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53222"/>
  <mc:AlternateContent xmlns:mc="http://schemas.openxmlformats.org/markup-compatibility/2006">
    <mc:Choice Requires="x15">
      <x15ac:absPath xmlns:x15ac="http://schemas.microsoft.com/office/spreadsheetml/2010/11/ac" url="\\Aa.ad.epa.gov\ord\RTP\Users\A-D\bwrigh02\Net MyDocuments\EPA Protocol Gases\2016 Protocol\"/>
    </mc:Choice>
  </mc:AlternateContent>
  <bookViews>
    <workbookView xWindow="120" yWindow="60" windowWidth="9720" windowHeight="6750" tabRatio="846" activeTab="1"/>
  </bookViews>
  <sheets>
    <sheet name="Readme" sheetId="1" r:id="rId1"/>
    <sheet name="Measurement Data" sheetId="2" r:id="rId2"/>
    <sheet name="Curves 1" sheetId="3" r:id="rId3"/>
    <sheet name="Residuals 1" sheetId="4" r:id="rId4"/>
    <sheet name="Curves 2" sheetId="5" r:id="rId5"/>
    <sheet name="Residuals 2" sheetId="6" r:id="rId6"/>
    <sheet name="Curves 3" sheetId="7" r:id="rId7"/>
    <sheet name="Residuals 3" sheetId="8" r:id="rId8"/>
    <sheet name="Curves 4" sheetId="9" r:id="rId9"/>
    <sheet name="Residuals 4" sheetId="10" r:id="rId10"/>
    <sheet name="Chart Data" sheetId="11" r:id="rId11"/>
  </sheets>
  <definedNames>
    <definedName name="_MatInverse_In" hidden="1">'Measurement Data'!$U$12:$W$14</definedName>
    <definedName name="_MatInverse_Out" hidden="1">'Measurement Data'!$Y$20:$Y$20</definedName>
    <definedName name="_MatMult_A" hidden="1">'Measurement Data'!$K$250:$N$253</definedName>
    <definedName name="_MatMult_AxB" hidden="1">'Measurement Data'!$O$250:$O$250</definedName>
    <definedName name="_MatMult_B" hidden="1">'Measurement Data'!$K$259:$N$262</definedName>
    <definedName name="aa">'Measurement Data'!$AE$187</definedName>
    <definedName name="bb">'Measurement Data'!#REF!</definedName>
    <definedName name="conc">'Measurement Data'!$D$165</definedName>
    <definedName name="df">'Measurement Data'!$K$34</definedName>
    <definedName name="n">'Measurement Data'!$K$56</definedName>
    <definedName name="nn">'Measurement Data'!$C$327</definedName>
    <definedName name="p">'Measurement Data'!$U$56</definedName>
    <definedName name="pp">'Measurement Data'!#REF!</definedName>
    <definedName name="_xlnm.Print_Area" localSheetId="1">'Measurement Data'!$A$2:$J$347</definedName>
    <definedName name="qq">'Measurement Data'!#REF!</definedName>
    <definedName name="reps">'Measurement Data'!$D$167</definedName>
    <definedName name="rr">'Measurement Data'!#REF!</definedName>
    <definedName name="t">'Measurement Data'!$K$37</definedName>
    <definedName name="X">'Measurement Data'!$C$12:$C$61</definedName>
    <definedName name="xcubed">'Measurement Data'!$AB$12:$AB$61</definedName>
    <definedName name="xsquared">'Measurement Data'!$S$12:$S$61</definedName>
    <definedName name="xx">'Measurement Data'!$B$307:$B$326</definedName>
    <definedName name="Y">'Measurement Data'!$D$12:$D$61</definedName>
    <definedName name="yy">'Measurement Data'!$C$307:$C$326</definedName>
  </definedNames>
  <calcPr calcId="152511" calcOnSave="0"/>
</workbook>
</file>

<file path=xl/calcChain.xml><?xml version="1.0" encoding="utf-8"?>
<calcChain xmlns="http://schemas.openxmlformats.org/spreadsheetml/2006/main">
  <c r="K31" i="2" l="1"/>
  <c r="F275" i="2"/>
  <c r="F281" i="2" s="1"/>
  <c r="F276" i="2"/>
  <c r="F280" i="2" s="1"/>
  <c r="F274" i="2"/>
  <c r="N252" i="2"/>
  <c r="K56" i="2"/>
  <c r="K34" i="2"/>
  <c r="U35" i="2" s="1"/>
  <c r="K37" i="2"/>
  <c r="A6" i="11"/>
  <c r="B63" i="11" s="1"/>
  <c r="B64" i="11" s="1"/>
  <c r="A7" i="11"/>
  <c r="C63" i="11"/>
  <c r="H7" i="11"/>
  <c r="C21" i="11"/>
  <c r="B21" i="11"/>
  <c r="C23" i="11"/>
  <c r="B23" i="11"/>
  <c r="C25" i="11"/>
  <c r="B25" i="11"/>
  <c r="C27" i="11"/>
  <c r="B27" i="11"/>
  <c r="C29" i="11"/>
  <c r="B29" i="11"/>
  <c r="C20" i="11"/>
  <c r="B20" i="11"/>
  <c r="C18" i="11"/>
  <c r="B18" i="11"/>
  <c r="C16" i="11"/>
  <c r="B16" i="11"/>
  <c r="C14" i="11"/>
  <c r="B14" i="11"/>
  <c r="B12" i="11"/>
  <c r="A8" i="11"/>
  <c r="C32" i="11"/>
  <c r="B32" i="11"/>
  <c r="C34" i="11"/>
  <c r="B34" i="11"/>
  <c r="C36" i="11"/>
  <c r="B36" i="11"/>
  <c r="C38" i="11"/>
  <c r="B38" i="11"/>
  <c r="C40" i="11"/>
  <c r="B40" i="11"/>
  <c r="C42" i="11"/>
  <c r="B42" i="11"/>
  <c r="C44" i="11"/>
  <c r="B44" i="11"/>
  <c r="C46" i="11"/>
  <c r="B46" i="11"/>
  <c r="C47" i="11"/>
  <c r="C48" i="11"/>
  <c r="B48" i="11"/>
  <c r="C49" i="11"/>
  <c r="C50" i="11"/>
  <c r="B50" i="11"/>
  <c r="C51" i="11"/>
  <c r="C52" i="11"/>
  <c r="B52" i="11"/>
  <c r="C53" i="11"/>
  <c r="C54" i="11"/>
  <c r="B54" i="11"/>
  <c r="C55" i="11"/>
  <c r="C56" i="11"/>
  <c r="B56" i="11"/>
  <c r="C57" i="11"/>
  <c r="C58" i="11"/>
  <c r="B58" i="11"/>
  <c r="C59" i="11"/>
  <c r="C60" i="11"/>
  <c r="B60" i="11"/>
  <c r="C61" i="11"/>
  <c r="C12" i="11"/>
  <c r="M265" i="2"/>
  <c r="U269" i="2"/>
  <c r="S312" i="2"/>
  <c r="BH195" i="2"/>
  <c r="AE195" i="2"/>
  <c r="X195" i="2"/>
  <c r="N195" i="2"/>
  <c r="E208" i="2"/>
  <c r="B31" i="2"/>
  <c r="AB220" i="2"/>
  <c r="AC220" i="2" s="1"/>
  <c r="AB221" i="2"/>
  <c r="AC221" i="2" s="1"/>
  <c r="AB222" i="2"/>
  <c r="AC222" i="2" s="1"/>
  <c r="AB223" i="2"/>
  <c r="AC223" i="2"/>
  <c r="AB224" i="2"/>
  <c r="AC224" i="2" s="1"/>
  <c r="AB225" i="2"/>
  <c r="AC225" i="2" s="1"/>
  <c r="AB226" i="2"/>
  <c r="AC226" i="2" s="1"/>
  <c r="BE220" i="2"/>
  <c r="BF220" i="2"/>
  <c r="BE221" i="2"/>
  <c r="BF221" i="2"/>
  <c r="BE222" i="2"/>
  <c r="BF222" i="2"/>
  <c r="BE223" i="2"/>
  <c r="BF223" i="2"/>
  <c r="BE224" i="2"/>
  <c r="BF224" i="2"/>
  <c r="BE225" i="2"/>
  <c r="BF225" i="2"/>
  <c r="BE226" i="2"/>
  <c r="BF226" i="2"/>
  <c r="H318" i="2"/>
  <c r="BE177" i="2"/>
  <c r="AB314" i="2"/>
  <c r="BE319" i="2"/>
  <c r="F282" i="2"/>
  <c r="C276" i="2"/>
  <c r="C274" i="2"/>
  <c r="D280" i="2"/>
  <c r="D282" i="2" s="1"/>
  <c r="D281" i="2"/>
  <c r="BE61" i="2"/>
  <c r="BE12" i="2"/>
  <c r="BE13" i="2"/>
  <c r="BE14" i="2"/>
  <c r="BE15" i="2"/>
  <c r="BE16" i="2"/>
  <c r="BE17" i="2"/>
  <c r="BE18" i="2"/>
  <c r="BK16" i="2" s="1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U12" i="2"/>
  <c r="AD12" i="2"/>
  <c r="K13" i="2"/>
  <c r="S12" i="2"/>
  <c r="S13" i="2"/>
  <c r="S14" i="2"/>
  <c r="S15" i="2"/>
  <c r="BI16" i="2" s="1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AB12" i="2"/>
  <c r="AB13" i="2"/>
  <c r="AB14" i="2"/>
  <c r="AB15" i="2"/>
  <c r="AG15" i="2" s="1"/>
  <c r="BJ15" i="2" s="1"/>
  <c r="BK14" i="2" s="1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E15" i="2"/>
  <c r="BH15" i="2" s="1"/>
  <c r="BK12" i="2" s="1"/>
  <c r="L13" i="2"/>
  <c r="V14" i="2"/>
  <c r="AF15" i="2"/>
  <c r="BI15" i="2" s="1"/>
  <c r="BK13" i="2" s="1"/>
  <c r="BJ16" i="2"/>
  <c r="BK15" i="2" s="1"/>
  <c r="BG16" i="2"/>
  <c r="K23" i="2"/>
  <c r="K24" i="2"/>
  <c r="U26" i="2" s="1"/>
  <c r="AD26" i="2" s="1"/>
  <c r="BG187" i="2"/>
  <c r="BE163" i="2"/>
  <c r="BE164" i="2"/>
  <c r="BE165" i="2"/>
  <c r="BE166" i="2"/>
  <c r="AD50" i="2"/>
  <c r="C111" i="2" s="1"/>
  <c r="BG50" i="2"/>
  <c r="C129" i="2" s="1"/>
  <c r="E32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AF254" i="2"/>
  <c r="AF255" i="2"/>
  <c r="AG254" i="2"/>
  <c r="AG255" i="2"/>
  <c r="AH254" i="2"/>
  <c r="D32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AF256" i="2"/>
  <c r="AB274" i="2"/>
  <c r="AB275" i="2"/>
  <c r="K12" i="2"/>
  <c r="U50" i="2"/>
  <c r="S272" i="2"/>
  <c r="S273" i="2"/>
  <c r="V255" i="2"/>
  <c r="X253" i="2"/>
  <c r="V254" i="2"/>
  <c r="W253" i="2" s="1"/>
  <c r="C327" i="2"/>
  <c r="W254" i="2"/>
  <c r="K268" i="2"/>
  <c r="K266" i="2"/>
  <c r="K267" i="2"/>
  <c r="N253" i="2"/>
  <c r="K250" i="2"/>
  <c r="K251" i="2"/>
  <c r="M252" i="2"/>
  <c r="M253" i="2"/>
  <c r="M256" i="2" s="1"/>
  <c r="Z268" i="2"/>
  <c r="P268" i="2"/>
  <c r="Z269" i="2"/>
  <c r="P269" i="2"/>
  <c r="Z270" i="2"/>
  <c r="P270" i="2"/>
  <c r="Z271" i="2"/>
  <c r="P271" i="2"/>
  <c r="Z272" i="2"/>
  <c r="P272" i="2"/>
  <c r="Z273" i="2"/>
  <c r="P273" i="2"/>
  <c r="Z274" i="2"/>
  <c r="P274" i="2"/>
  <c r="AD270" i="2"/>
  <c r="AK269" i="2"/>
  <c r="AK270" i="2"/>
  <c r="AK271" i="2"/>
  <c r="AK272" i="2"/>
  <c r="AK273" i="2"/>
  <c r="AK274" i="2"/>
  <c r="AK275" i="2"/>
  <c r="AD187" i="2"/>
  <c r="V269" i="2"/>
  <c r="S250" i="2"/>
  <c r="K309" i="2"/>
  <c r="N265" i="2"/>
  <c r="S164" i="2"/>
  <c r="S165" i="2"/>
  <c r="K164" i="2"/>
  <c r="BH274" i="2"/>
  <c r="F326" i="2"/>
  <c r="F307" i="2"/>
  <c r="F308" i="2"/>
  <c r="F309" i="2"/>
  <c r="BN259" i="2" s="1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BJ255" i="2"/>
  <c r="BL255" i="2"/>
  <c r="BJ256" i="2"/>
  <c r="BK256" i="2"/>
  <c r="BJ257" i="2"/>
  <c r="BM259" i="2"/>
  <c r="BN258" i="2" s="1"/>
  <c r="BG274" i="2"/>
  <c r="BE283" i="2"/>
  <c r="BE279" i="2"/>
  <c r="BE280" i="2"/>
  <c r="BP269" i="2"/>
  <c r="BP270" i="2"/>
  <c r="BP271" i="2"/>
  <c r="BP272" i="2"/>
  <c r="BP273" i="2"/>
  <c r="BP274" i="2"/>
  <c r="BP275" i="2"/>
  <c r="BI254" i="2"/>
  <c r="BH254" i="2"/>
  <c r="BG254" i="2"/>
  <c r="BE254" i="2"/>
  <c r="BI253" i="2"/>
  <c r="BH253" i="2"/>
  <c r="BG253" i="2"/>
  <c r="BF253" i="2"/>
  <c r="BI252" i="2"/>
  <c r="BI251" i="2"/>
  <c r="BI250" i="2"/>
  <c r="C124" i="2"/>
  <c r="C106" i="2"/>
  <c r="AB164" i="2"/>
  <c r="AB165" i="2"/>
  <c r="AB166" i="2"/>
  <c r="AB177" i="2"/>
  <c r="K176" i="2"/>
  <c r="S176" i="2"/>
  <c r="AE253" i="2"/>
  <c r="AD253" i="2"/>
  <c r="AC253" i="2"/>
  <c r="AB250" i="2"/>
  <c r="C275" i="2"/>
  <c r="S220" i="2"/>
  <c r="S221" i="2"/>
  <c r="S222" i="2"/>
  <c r="S223" i="2"/>
  <c r="S224" i="2"/>
  <c r="S225" i="2"/>
  <c r="S226" i="2"/>
  <c r="K220" i="2"/>
  <c r="K221" i="2"/>
  <c r="K222" i="2"/>
  <c r="K223" i="2"/>
  <c r="K224" i="2"/>
  <c r="K225" i="2"/>
  <c r="K226" i="2"/>
  <c r="B303" i="2"/>
  <c r="C86" i="2"/>
  <c r="C90" i="2"/>
  <c r="C85" i="2"/>
  <c r="C76" i="2"/>
  <c r="C75" i="2"/>
  <c r="B61" i="2"/>
  <c r="B60" i="2"/>
  <c r="B59" i="2"/>
  <c r="B58" i="2"/>
  <c r="B57" i="2"/>
  <c r="B56" i="2"/>
  <c r="B55" i="2"/>
  <c r="B54" i="2"/>
  <c r="B53" i="2"/>
  <c r="B52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15" i="2"/>
  <c r="B16" i="2" s="1"/>
  <c r="B17" i="2" s="1"/>
  <c r="B18" i="2" s="1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G27" i="2" l="1"/>
  <c r="BE275" i="2" s="1"/>
  <c r="AB271" i="2"/>
  <c r="X255" i="2"/>
  <c r="AF257" i="2"/>
  <c r="AG257" i="2"/>
  <c r="AH257" i="2"/>
  <c r="S274" i="2"/>
  <c r="AB276" i="2"/>
  <c r="BE281" i="2" s="1"/>
  <c r="W255" i="2"/>
  <c r="BK255" i="2"/>
  <c r="AI257" i="2"/>
  <c r="BM258" i="2" s="1"/>
  <c r="AB277" i="2"/>
  <c r="BE282" i="2" s="1"/>
  <c r="V253" i="2"/>
  <c r="AE270" i="2"/>
  <c r="AG14" i="2"/>
  <c r="W13" i="2"/>
  <c r="AE14" i="2"/>
  <c r="AD15" i="2"/>
  <c r="BG12" i="2"/>
  <c r="AE197" i="2"/>
  <c r="X197" i="2"/>
  <c r="BH197" i="2"/>
  <c r="N197" i="2"/>
  <c r="T252" i="2"/>
  <c r="S270" i="2"/>
  <c r="U27" i="2"/>
  <c r="U25" i="2"/>
  <c r="K265" i="2"/>
  <c r="AG13" i="2"/>
  <c r="V13" i="2"/>
  <c r="L251" i="2"/>
  <c r="AD28" i="2"/>
  <c r="U14" i="2"/>
  <c r="W14" i="2"/>
  <c r="U13" i="2"/>
  <c r="L12" i="2"/>
  <c r="BG30" i="2"/>
  <c r="BE278" i="2" s="1"/>
  <c r="BH16" i="2"/>
  <c r="BF254" i="2" s="1"/>
  <c r="B65" i="11"/>
  <c r="C64" i="11"/>
  <c r="D64" i="11"/>
  <c r="E64" i="11"/>
  <c r="BG35" i="2"/>
  <c r="C125" i="2" s="1"/>
  <c r="H9" i="11"/>
  <c r="AD35" i="2"/>
  <c r="C107" i="2" s="1"/>
  <c r="H8" i="11"/>
  <c r="H6" i="11"/>
  <c r="D63" i="11"/>
  <c r="E63" i="11"/>
  <c r="C22" i="11"/>
  <c r="C24" i="11"/>
  <c r="C26" i="11"/>
  <c r="C28" i="11"/>
  <c r="C30" i="11"/>
  <c r="C19" i="11"/>
  <c r="C17" i="11"/>
  <c r="C15" i="11"/>
  <c r="C13" i="11"/>
  <c r="C31" i="11"/>
  <c r="C33" i="11"/>
  <c r="C35" i="11"/>
  <c r="C37" i="11"/>
  <c r="C39" i="11"/>
  <c r="C41" i="11"/>
  <c r="C43" i="11"/>
  <c r="C45" i="11"/>
  <c r="B22" i="11"/>
  <c r="B24" i="11"/>
  <c r="B26" i="11"/>
  <c r="B28" i="11"/>
  <c r="B30" i="11"/>
  <c r="B19" i="11"/>
  <c r="B17" i="11"/>
  <c r="B15" i="11"/>
  <c r="B13" i="11"/>
  <c r="B31" i="11"/>
  <c r="B33" i="11"/>
  <c r="B35" i="11"/>
  <c r="B37" i="11"/>
  <c r="B39" i="11"/>
  <c r="B41" i="11"/>
  <c r="B43" i="11"/>
  <c r="B45" i="11"/>
  <c r="B47" i="11"/>
  <c r="B49" i="11"/>
  <c r="B51" i="11"/>
  <c r="B53" i="11"/>
  <c r="B55" i="11"/>
  <c r="B57" i="11"/>
  <c r="B59" i="11"/>
  <c r="B61" i="11"/>
  <c r="AD14" i="2" l="1"/>
  <c r="W12" i="2"/>
  <c r="S252" i="2"/>
  <c r="BH14" i="2"/>
  <c r="BF252" i="2" s="1"/>
  <c r="AC252" i="2"/>
  <c r="X254" i="2"/>
  <c r="AH256" i="2"/>
  <c r="BK258" i="2"/>
  <c r="BJ259" i="2" s="1"/>
  <c r="V12" i="2"/>
  <c r="L250" i="2"/>
  <c r="BG29" i="2"/>
  <c r="BE277" i="2" s="1"/>
  <c r="AB273" i="2"/>
  <c r="S269" i="2"/>
  <c r="AD25" i="2"/>
  <c r="AF13" i="2"/>
  <c r="U251" i="2"/>
  <c r="BJ258" i="2"/>
  <c r="AG256" i="2"/>
  <c r="K16" i="2"/>
  <c r="K20" i="2" s="1"/>
  <c r="L19" i="2" s="1"/>
  <c r="D65" i="11"/>
  <c r="B66" i="11"/>
  <c r="C65" i="11"/>
  <c r="E65" i="11"/>
  <c r="AD13" i="2"/>
  <c r="S251" i="2"/>
  <c r="AE13" i="2"/>
  <c r="T251" i="2"/>
  <c r="AD27" i="2"/>
  <c r="S271" i="2"/>
  <c r="BE250" i="2"/>
  <c r="BJ14" i="2"/>
  <c r="BH252" i="2" s="1"/>
  <c r="AE252" i="2"/>
  <c r="BN257" i="2"/>
  <c r="BL259" i="2"/>
  <c r="U252" i="2"/>
  <c r="AF14" i="2"/>
  <c r="BJ13" i="2"/>
  <c r="BH251" i="2" s="1"/>
  <c r="AE251" i="2"/>
  <c r="BG15" i="2"/>
  <c r="BE253" i="2" s="1"/>
  <c r="AG12" i="2"/>
  <c r="AB253" i="2"/>
  <c r="BL258" i="2"/>
  <c r="BK259" i="2" s="1"/>
  <c r="AI256" i="2"/>
  <c r="BM257" i="2" s="1"/>
  <c r="BN256" i="2" s="1"/>
  <c r="V264" i="2" l="1"/>
  <c r="BG13" i="2"/>
  <c r="BE251" i="2" s="1"/>
  <c r="AB251" i="2"/>
  <c r="BG26" i="2"/>
  <c r="AB270" i="2"/>
  <c r="C66" i="11"/>
  <c r="B67" i="11"/>
  <c r="D66" i="11"/>
  <c r="E66" i="11"/>
  <c r="AF12" i="2"/>
  <c r="U250" i="2"/>
  <c r="BH13" i="2"/>
  <c r="BF251" i="2" s="1"/>
  <c r="AC251" i="2"/>
  <c r="BJ12" i="2"/>
  <c r="BH250" i="2" s="1"/>
  <c r="AE250" i="2"/>
  <c r="K19" i="2"/>
  <c r="K27" i="2" s="1"/>
  <c r="L20" i="2"/>
  <c r="K28" i="2" s="1"/>
  <c r="BI13" i="2"/>
  <c r="BG251" i="2" s="1"/>
  <c r="AD251" i="2"/>
  <c r="K256" i="2"/>
  <c r="L256" i="2"/>
  <c r="AI255" i="2"/>
  <c r="BM256" i="2" s="1"/>
  <c r="BN255" i="2" s="1"/>
  <c r="BL257" i="2"/>
  <c r="BG14" i="2"/>
  <c r="BE252" i="2" s="1"/>
  <c r="AB252" i="2"/>
  <c r="BI14" i="2"/>
  <c r="BG252" i="2" s="1"/>
  <c r="AD252" i="2"/>
  <c r="AB272" i="2"/>
  <c r="BG28" i="2"/>
  <c r="BE276" i="2" s="1"/>
  <c r="AH255" i="2"/>
  <c r="BK257" i="2"/>
  <c r="AE12" i="2"/>
  <c r="U17" i="2"/>
  <c r="T250" i="2"/>
  <c r="U22" i="2"/>
  <c r="W20" i="2" s="1"/>
  <c r="V266" i="2"/>
  <c r="X264" i="2" s="1"/>
  <c r="W266" i="2"/>
  <c r="X265" i="2" s="1"/>
  <c r="U258" i="2"/>
  <c r="N27" i="2" l="1"/>
  <c r="C72" i="2"/>
  <c r="U20" i="2"/>
  <c r="V22" i="2"/>
  <c r="W21" i="2" s="1"/>
  <c r="V21" i="2"/>
  <c r="D67" i="11"/>
  <c r="E67" i="11"/>
  <c r="B68" i="11"/>
  <c r="C67" i="11"/>
  <c r="AD17" i="2"/>
  <c r="BH12" i="2"/>
  <c r="AG20" i="2"/>
  <c r="AE23" i="2"/>
  <c r="AC263" i="2" s="1"/>
  <c r="AG22" i="2"/>
  <c r="AE262" i="2" s="1"/>
  <c r="AE21" i="2"/>
  <c r="AC261" i="2" s="1"/>
  <c r="AC250" i="2"/>
  <c r="AE20" i="2"/>
  <c r="AE22" i="2"/>
  <c r="AC262" i="2" s="1"/>
  <c r="AD21" i="2"/>
  <c r="AB261" i="2" s="1"/>
  <c r="AD23" i="2"/>
  <c r="AB263" i="2" s="1"/>
  <c r="AF20" i="2"/>
  <c r="AF22" i="2"/>
  <c r="AD262" i="2" s="1"/>
  <c r="AG21" i="2"/>
  <c r="AE261" i="2" s="1"/>
  <c r="AG23" i="2"/>
  <c r="AE263" i="2" s="1"/>
  <c r="AD20" i="2"/>
  <c r="AD22" i="2"/>
  <c r="AB262" i="2" s="1"/>
  <c r="AF21" i="2"/>
  <c r="AD261" i="2" s="1"/>
  <c r="AF23" i="2"/>
  <c r="AD263" i="2" s="1"/>
  <c r="M262" i="2"/>
  <c r="N261" i="2" s="1"/>
  <c r="M261" i="2"/>
  <c r="L267" i="2" s="1"/>
  <c r="N262" i="2"/>
  <c r="K217" i="2"/>
  <c r="C71" i="2"/>
  <c r="K182" i="2"/>
  <c r="M225" i="2" s="1"/>
  <c r="K218" i="2"/>
  <c r="K219" i="2"/>
  <c r="L163" i="2"/>
  <c r="K170" i="2" s="1"/>
  <c r="N199" i="2"/>
  <c r="N201" i="2" s="1"/>
  <c r="N203" i="2" s="1"/>
  <c r="M27" i="2"/>
  <c r="F66" i="11"/>
  <c r="I29" i="11"/>
  <c r="I25" i="11"/>
  <c r="I21" i="11"/>
  <c r="F63" i="11"/>
  <c r="F67" i="11"/>
  <c r="I20" i="11"/>
  <c r="I16" i="11"/>
  <c r="I12" i="11"/>
  <c r="F64" i="11"/>
  <c r="F68" i="11"/>
  <c r="I27" i="11"/>
  <c r="I23" i="11"/>
  <c r="F65" i="11"/>
  <c r="I18" i="11"/>
  <c r="I14" i="11"/>
  <c r="K40" i="2"/>
  <c r="L181" i="2"/>
  <c r="M219" i="2" s="1"/>
  <c r="I19" i="11"/>
  <c r="I15" i="11"/>
  <c r="I24" i="11"/>
  <c r="I26" i="11"/>
  <c r="I13" i="11"/>
  <c r="I30" i="1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28" i="11"/>
  <c r="I17" i="11"/>
  <c r="I22" i="11"/>
  <c r="BI12" i="2"/>
  <c r="BG250" i="2" s="1"/>
  <c r="AD250" i="2"/>
  <c r="W22" i="2"/>
  <c r="U32" i="2" s="1"/>
  <c r="L260" i="2"/>
  <c r="K259" i="2"/>
  <c r="BE274" i="2"/>
  <c r="W265" i="2"/>
  <c r="X266" i="2"/>
  <c r="T274" i="2" s="1"/>
  <c r="V265" i="2"/>
  <c r="S258" i="2"/>
  <c r="T258" i="2"/>
  <c r="BL256" i="2"/>
  <c r="AI254" i="2"/>
  <c r="K260" i="2"/>
  <c r="L259" i="2" s="1"/>
  <c r="L266" i="2" s="1"/>
  <c r="U21" i="2"/>
  <c r="V20" i="2" s="1"/>
  <c r="U31" i="2" s="1"/>
  <c r="Y30" i="2" l="1"/>
  <c r="C82" i="2"/>
  <c r="X30" i="2"/>
  <c r="C81" i="2"/>
  <c r="V174" i="2"/>
  <c r="M223" i="2"/>
  <c r="U30" i="2"/>
  <c r="S218" i="2" s="1"/>
  <c r="AH264" i="2"/>
  <c r="AG265" i="2"/>
  <c r="AF266" i="2"/>
  <c r="BM255" i="2"/>
  <c r="AI264" i="2"/>
  <c r="AI267" i="2"/>
  <c r="AI265" i="2"/>
  <c r="AH266" i="2"/>
  <c r="AH265" i="2"/>
  <c r="AH267" i="2"/>
  <c r="AI266" i="2"/>
  <c r="AG267" i="2"/>
  <c r="AF265" i="2"/>
  <c r="AF267" i="2"/>
  <c r="AF264" i="2"/>
  <c r="AG264" i="2"/>
  <c r="AG266" i="2"/>
  <c r="S261" i="2"/>
  <c r="T269" i="2" s="1"/>
  <c r="U263" i="2"/>
  <c r="T262" i="2"/>
  <c r="T263" i="2"/>
  <c r="U262" i="2" s="1"/>
  <c r="S263" i="2"/>
  <c r="U261" i="2" s="1"/>
  <c r="L265" i="2"/>
  <c r="K46" i="2"/>
  <c r="K49" i="2" s="1"/>
  <c r="K43" i="2"/>
  <c r="K174" i="2"/>
  <c r="L268" i="2"/>
  <c r="P267" i="2" s="1"/>
  <c r="AB260" i="2"/>
  <c r="AD30" i="2"/>
  <c r="AD260" i="2"/>
  <c r="AD32" i="2"/>
  <c r="AC260" i="2"/>
  <c r="AD31" i="2"/>
  <c r="S262" i="2"/>
  <c r="T261" i="2" s="1"/>
  <c r="L228" i="2"/>
  <c r="L230" i="2" s="1"/>
  <c r="L229" i="2"/>
  <c r="L227" i="2"/>
  <c r="AE260" i="2"/>
  <c r="AD33" i="2"/>
  <c r="B69" i="11"/>
  <c r="C68" i="11"/>
  <c r="D68" i="11"/>
  <c r="E68" i="11"/>
  <c r="W264" i="2"/>
  <c r="T273" i="2" s="1"/>
  <c r="T272" i="2"/>
  <c r="BF250" i="2"/>
  <c r="BG21" i="2"/>
  <c r="BE264" i="2" s="1"/>
  <c r="BJ20" i="2"/>
  <c r="BH263" i="2" s="1"/>
  <c r="BH23" i="2"/>
  <c r="BF266" i="2" s="1"/>
  <c r="BJ22" i="2"/>
  <c r="BH265" i="2" s="1"/>
  <c r="BJ21" i="2"/>
  <c r="BH264" i="2" s="1"/>
  <c r="BG23" i="2"/>
  <c r="BE266" i="2" s="1"/>
  <c r="BI20" i="2"/>
  <c r="BG263" i="2" s="1"/>
  <c r="BG20" i="2"/>
  <c r="BE263" i="2" s="1"/>
  <c r="BH20" i="2"/>
  <c r="BF263" i="2" s="1"/>
  <c r="BK23" i="2"/>
  <c r="BI266" i="2" s="1"/>
  <c r="BH22" i="2"/>
  <c r="BF265" i="2" s="1"/>
  <c r="BK20" i="2"/>
  <c r="BI263" i="2" s="1"/>
  <c r="BK22" i="2"/>
  <c r="BI265" i="2" s="1"/>
  <c r="BH21" i="2"/>
  <c r="BF264" i="2" s="1"/>
  <c r="BI23" i="2"/>
  <c r="BG266" i="2" s="1"/>
  <c r="BH19" i="2"/>
  <c r="BK19" i="2"/>
  <c r="BI22" i="2"/>
  <c r="BG265" i="2" s="1"/>
  <c r="BG19" i="2"/>
  <c r="BJ23" i="2"/>
  <c r="BH266" i="2" s="1"/>
  <c r="BI19" i="2"/>
  <c r="BI21" i="2"/>
  <c r="BG264" i="2" s="1"/>
  <c r="BJ19" i="2"/>
  <c r="BK21" i="2"/>
  <c r="BI264" i="2" s="1"/>
  <c r="BG22" i="2"/>
  <c r="BE265" i="2" s="1"/>
  <c r="BH262" i="2" l="1"/>
  <c r="BI29" i="2"/>
  <c r="BE262" i="2"/>
  <c r="BI26" i="2"/>
  <c r="AM218" i="2"/>
  <c r="AM223" i="2"/>
  <c r="AG43" i="2"/>
  <c r="AM219" i="2"/>
  <c r="AM220" i="2"/>
  <c r="AM224" i="2"/>
  <c r="C101" i="2"/>
  <c r="AM217" i="2"/>
  <c r="AC271" i="2"/>
  <c r="AM222" i="2"/>
  <c r="AM226" i="2"/>
  <c r="AM221" i="2"/>
  <c r="AM225" i="2"/>
  <c r="AM184" i="2"/>
  <c r="AE175" i="2"/>
  <c r="AN184" i="2"/>
  <c r="C100" i="2"/>
  <c r="AN226" i="2"/>
  <c r="AN224" i="2"/>
  <c r="AN222" i="2"/>
  <c r="AN220" i="2"/>
  <c r="AC163" i="2"/>
  <c r="AB171" i="2" s="1"/>
  <c r="AD38" i="2"/>
  <c r="AN218" i="2"/>
  <c r="AN219" i="2"/>
  <c r="AN217" i="2"/>
  <c r="AC270" i="2"/>
  <c r="AE241" i="2"/>
  <c r="AE199" i="2"/>
  <c r="AE201" i="2" s="1"/>
  <c r="AE203" i="2" s="1"/>
  <c r="AF43" i="2"/>
  <c r="AN225" i="2"/>
  <c r="AN223" i="2"/>
  <c r="AN221" i="2"/>
  <c r="AG241" i="2"/>
  <c r="AG243" i="2" s="1"/>
  <c r="AG244" i="2" s="1"/>
  <c r="N67" i="11"/>
  <c r="N63" i="11"/>
  <c r="Q14" i="11"/>
  <c r="Q18" i="11"/>
  <c r="N66" i="11"/>
  <c r="Q23" i="11"/>
  <c r="Q27" i="11"/>
  <c r="N69" i="11"/>
  <c r="N65" i="11"/>
  <c r="Q12" i="11"/>
  <c r="Q16" i="11"/>
  <c r="Q20" i="11"/>
  <c r="N68" i="11"/>
  <c r="N64" i="11"/>
  <c r="Q21" i="11"/>
  <c r="Q25" i="11"/>
  <c r="Q29" i="11"/>
  <c r="Q28" i="11"/>
  <c r="Q17" i="11"/>
  <c r="Q22" i="11"/>
  <c r="Q19" i="11"/>
  <c r="Q15" i="11"/>
  <c r="Q30" i="1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54" i="11" s="1"/>
  <c r="Q55" i="11" s="1"/>
  <c r="Q56" i="11" s="1"/>
  <c r="Q57" i="11" s="1"/>
  <c r="Q58" i="11" s="1"/>
  <c r="Q59" i="11" s="1"/>
  <c r="Q60" i="11" s="1"/>
  <c r="Q61" i="11" s="1"/>
  <c r="Q26" i="11"/>
  <c r="Q24" i="11"/>
  <c r="Q13" i="11"/>
  <c r="AC274" i="2"/>
  <c r="P266" i="2"/>
  <c r="S219" i="2"/>
  <c r="BG262" i="2"/>
  <c r="BI28" i="2"/>
  <c r="Z265" i="2"/>
  <c r="Z266" i="2"/>
  <c r="Z276" i="2"/>
  <c r="Z267" i="2"/>
  <c r="S318" i="2"/>
  <c r="D69" i="11"/>
  <c r="B70" i="11"/>
  <c r="C69" i="11"/>
  <c r="E69" i="11"/>
  <c r="F69" i="11"/>
  <c r="L53" i="2"/>
  <c r="L52" i="2"/>
  <c r="K53" i="2"/>
  <c r="C73" i="2"/>
  <c r="K52" i="2"/>
  <c r="T304" i="2"/>
  <c r="V273" i="2"/>
  <c r="P265" i="2"/>
  <c r="S182" i="2"/>
  <c r="C103" i="2"/>
  <c r="AI43" i="2"/>
  <c r="AC273" i="2"/>
  <c r="L231" i="2"/>
  <c r="L232" i="2"/>
  <c r="AC272" i="2"/>
  <c r="AL221" i="2"/>
  <c r="AP221" i="2" s="1"/>
  <c r="AL225" i="2"/>
  <c r="AP225" i="2" s="1"/>
  <c r="C102" i="2"/>
  <c r="AH43" i="2"/>
  <c r="AL219" i="2"/>
  <c r="AP219" i="2" s="1"/>
  <c r="AL220" i="2"/>
  <c r="AP220" i="2" s="1"/>
  <c r="AL224" i="2"/>
  <c r="AP224" i="2" s="1"/>
  <c r="AL218" i="2"/>
  <c r="AP218" i="2" s="1"/>
  <c r="AL223" i="2"/>
  <c r="AP223" i="2" s="1"/>
  <c r="AL184" i="2"/>
  <c r="AP184" i="2" s="1"/>
  <c r="AL217" i="2"/>
  <c r="AL222" i="2"/>
  <c r="AP222" i="2" s="1"/>
  <c r="AL226" i="2"/>
  <c r="AP226" i="2" s="1"/>
  <c r="N268" i="2"/>
  <c r="AC277" i="2"/>
  <c r="AC276" i="2"/>
  <c r="BI262" i="2"/>
  <c r="BI30" i="2"/>
  <c r="BF262" i="2"/>
  <c r="BI27" i="2"/>
  <c r="T270" i="2"/>
  <c r="T305" i="2" s="1"/>
  <c r="T271" i="2"/>
  <c r="T306" i="2" s="1"/>
  <c r="AC275" i="2"/>
  <c r="BN267" i="2"/>
  <c r="BN270" i="2"/>
  <c r="BL271" i="2"/>
  <c r="BK269" i="2"/>
  <c r="BL268" i="2"/>
  <c r="BN269" i="2"/>
  <c r="BM268" i="2"/>
  <c r="BM267" i="2"/>
  <c r="BJ271" i="2"/>
  <c r="BL270" i="2"/>
  <c r="BL267" i="2"/>
  <c r="BM270" i="2"/>
  <c r="BJ268" i="2"/>
  <c r="BJ269" i="2"/>
  <c r="BJ270" i="2"/>
  <c r="BK267" i="2"/>
  <c r="BN271" i="2"/>
  <c r="BK268" i="2"/>
  <c r="BJ267" i="2"/>
  <c r="BK271" i="2"/>
  <c r="BL269" i="2"/>
  <c r="BM271" i="2"/>
  <c r="BN268" i="2"/>
  <c r="BM269" i="2"/>
  <c r="BK270" i="2"/>
  <c r="W30" i="2"/>
  <c r="C80" i="2"/>
  <c r="U38" i="2"/>
  <c r="J66" i="11"/>
  <c r="M23" i="11"/>
  <c r="M27" i="11"/>
  <c r="T163" i="2"/>
  <c r="S170" i="2" s="1"/>
  <c r="J63" i="11"/>
  <c r="J67" i="11"/>
  <c r="M16" i="11"/>
  <c r="M20" i="11"/>
  <c r="M12" i="11"/>
  <c r="X199" i="2"/>
  <c r="X201" i="2" s="1"/>
  <c r="X203" i="2" s="1"/>
  <c r="J64" i="11"/>
  <c r="J68" i="11"/>
  <c r="M21" i="11"/>
  <c r="M25" i="11"/>
  <c r="M29" i="11"/>
  <c r="J65" i="11"/>
  <c r="J69" i="11"/>
  <c r="M18" i="11"/>
  <c r="M14" i="11"/>
  <c r="M24" i="11"/>
  <c r="M13" i="11"/>
  <c r="M30" i="1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22" i="11"/>
  <c r="M17" i="11"/>
  <c r="M19" i="11"/>
  <c r="M15" i="11"/>
  <c r="M28" i="11"/>
  <c r="M26" i="11"/>
  <c r="S217" i="2"/>
  <c r="U44" i="2" l="1"/>
  <c r="U47" i="2" s="1"/>
  <c r="U41" i="2"/>
  <c r="BF280" i="2"/>
  <c r="BF282" i="2"/>
  <c r="T277" i="2"/>
  <c r="U277" i="2" s="1"/>
  <c r="S277" i="2"/>
  <c r="C70" i="11"/>
  <c r="D70" i="11"/>
  <c r="E70" i="11"/>
  <c r="B71" i="11"/>
  <c r="F70" i="11"/>
  <c r="BF283" i="2"/>
  <c r="S183" i="2"/>
  <c r="T181" i="2" s="1"/>
  <c r="U219" i="2" s="1"/>
  <c r="U225" i="2"/>
  <c r="P276" i="2"/>
  <c r="K315" i="2" s="1"/>
  <c r="P275" i="2"/>
  <c r="P278" i="2" s="1"/>
  <c r="P277" i="2"/>
  <c r="M163" i="2"/>
  <c r="V70" i="11"/>
  <c r="V68" i="11"/>
  <c r="V66" i="11"/>
  <c r="V64" i="11"/>
  <c r="V71" i="11"/>
  <c r="V69" i="11"/>
  <c r="V67" i="11"/>
  <c r="V65" i="11"/>
  <c r="G65" i="11" s="1"/>
  <c r="H65" i="11" s="1"/>
  <c r="V63" i="11"/>
  <c r="M181" i="2"/>
  <c r="D71" i="2"/>
  <c r="E71" i="2"/>
  <c r="M182" i="2"/>
  <c r="M164" i="2"/>
  <c r="AN275" i="2"/>
  <c r="AN273" i="2"/>
  <c r="AN271" i="2"/>
  <c r="AN269" i="2"/>
  <c r="AN277" i="2"/>
  <c r="AN266" i="2"/>
  <c r="AN268" i="2"/>
  <c r="AN267" i="2"/>
  <c r="AN272" i="2"/>
  <c r="AN274" i="2"/>
  <c r="AN270" i="2"/>
  <c r="AN314" i="2"/>
  <c r="AC305" i="2"/>
  <c r="AE274" i="2"/>
  <c r="AD44" i="2"/>
  <c r="AD47" i="2" s="1"/>
  <c r="AD41" i="2"/>
  <c r="AO221" i="2"/>
  <c r="AO217" i="2"/>
  <c r="AO219" i="2"/>
  <c r="BU185" i="2"/>
  <c r="BI43" i="2"/>
  <c r="BH241" i="2"/>
  <c r="BU217" i="2"/>
  <c r="BF162" i="2"/>
  <c r="BE171" i="2" s="1"/>
  <c r="BH199" i="2"/>
  <c r="BH201" i="2" s="1"/>
  <c r="BH203" i="2" s="1"/>
  <c r="BU219" i="2"/>
  <c r="BU266" i="2"/>
  <c r="BU268" i="2"/>
  <c r="BU221" i="2"/>
  <c r="BU223" i="2"/>
  <c r="BU225" i="2"/>
  <c r="BF274" i="2"/>
  <c r="C117" i="2"/>
  <c r="BU269" i="2"/>
  <c r="BU271" i="2"/>
  <c r="BU273" i="2"/>
  <c r="BU275" i="2"/>
  <c r="BJ241" i="2"/>
  <c r="BJ243" i="2" s="1"/>
  <c r="BJ244" i="2" s="1"/>
  <c r="BU267" i="2"/>
  <c r="BU220" i="2"/>
  <c r="BU222" i="2"/>
  <c r="BU224" i="2"/>
  <c r="BU226" i="2"/>
  <c r="BU218" i="2"/>
  <c r="BU270" i="2"/>
  <c r="BU272" i="2"/>
  <c r="BU274" i="2"/>
  <c r="U20" i="11"/>
  <c r="U16" i="11"/>
  <c r="U12" i="11"/>
  <c r="U27" i="11"/>
  <c r="U23" i="11"/>
  <c r="BU322" i="2"/>
  <c r="U14" i="11"/>
  <c r="U18" i="11"/>
  <c r="BU277" i="2"/>
  <c r="U29" i="11"/>
  <c r="U25" i="11"/>
  <c r="U21" i="11"/>
  <c r="U26" i="11"/>
  <c r="U17" i="11"/>
  <c r="U24" i="11"/>
  <c r="U28" i="11"/>
  <c r="U19" i="11"/>
  <c r="U15" i="11"/>
  <c r="U30" i="11"/>
  <c r="U31" i="11" s="1"/>
  <c r="U32" i="11" s="1"/>
  <c r="U33" i="11" s="1"/>
  <c r="U34" i="11" s="1"/>
  <c r="U35" i="11" s="1"/>
  <c r="U36" i="11" s="1"/>
  <c r="U37" i="11" s="1"/>
  <c r="U38" i="11" s="1"/>
  <c r="U39" i="11" s="1"/>
  <c r="U40" i="11" s="1"/>
  <c r="U41" i="11" s="1"/>
  <c r="U42" i="11" s="1"/>
  <c r="U43" i="11" s="1"/>
  <c r="U44" i="11" s="1"/>
  <c r="U45" i="11" s="1"/>
  <c r="U46" i="11" s="1"/>
  <c r="U47" i="11" s="1"/>
  <c r="U48" i="11" s="1"/>
  <c r="U49" i="11" s="1"/>
  <c r="U50" i="11" s="1"/>
  <c r="U51" i="11" s="1"/>
  <c r="U52" i="11" s="1"/>
  <c r="U53" i="11" s="1"/>
  <c r="U54" i="11" s="1"/>
  <c r="U55" i="11" s="1"/>
  <c r="U56" i="11" s="1"/>
  <c r="U57" i="11" s="1"/>
  <c r="U58" i="11" s="1"/>
  <c r="U59" i="11" s="1"/>
  <c r="U60" i="11" s="1"/>
  <c r="U61" i="11" s="1"/>
  <c r="U13" i="11"/>
  <c r="U22" i="11"/>
  <c r="BG38" i="2"/>
  <c r="T228" i="2"/>
  <c r="T230" i="2" s="1"/>
  <c r="T229" i="2"/>
  <c r="T227" i="2"/>
  <c r="C121" i="2"/>
  <c r="BM43" i="2"/>
  <c r="BF278" i="2"/>
  <c r="BF312" i="2" s="1"/>
  <c r="AZ219" i="2"/>
  <c r="BB219" i="2" s="1"/>
  <c r="BA219" i="2" s="1"/>
  <c r="BC219" i="2"/>
  <c r="AC308" i="2"/>
  <c r="E73" i="2"/>
  <c r="E74" i="2" s="1"/>
  <c r="D73" i="2"/>
  <c r="D74" i="2" s="1"/>
  <c r="C74" i="2"/>
  <c r="E72" i="2"/>
  <c r="D72" i="2"/>
  <c r="Z277" i="2"/>
  <c r="Z279" i="2" s="1"/>
  <c r="Z275" i="2"/>
  <c r="Z278" i="2" s="1"/>
  <c r="Z280" i="2" s="1"/>
  <c r="S174" i="2"/>
  <c r="BF279" i="2"/>
  <c r="BF281" i="2"/>
  <c r="AM277" i="2"/>
  <c r="AO277" i="2" s="1"/>
  <c r="AM266" i="2"/>
  <c r="AM268" i="2"/>
  <c r="AM315" i="2"/>
  <c r="AM274" i="2"/>
  <c r="AM272" i="2"/>
  <c r="AM270" i="2"/>
  <c r="AO270" i="2" s="1"/>
  <c r="AM316" i="2"/>
  <c r="AM267" i="2"/>
  <c r="AM273" i="2"/>
  <c r="AO273" i="2" s="1"/>
  <c r="AM269" i="2"/>
  <c r="AO269" i="2" s="1"/>
  <c r="AM314" i="2"/>
  <c r="AM275" i="2"/>
  <c r="AM271" i="2"/>
  <c r="AL315" i="2"/>
  <c r="AL267" i="2"/>
  <c r="AP267" i="2" s="1"/>
  <c r="AL268" i="2"/>
  <c r="AP268" i="2" s="1"/>
  <c r="AL277" i="2"/>
  <c r="AL314" i="2"/>
  <c r="AP314" i="2" s="1"/>
  <c r="AL316" i="2"/>
  <c r="AL266" i="2"/>
  <c r="AP266" i="2" s="1"/>
  <c r="AL269" i="2"/>
  <c r="AL270" i="2"/>
  <c r="AL271" i="2"/>
  <c r="AP271" i="2" s="1"/>
  <c r="AL272" i="2"/>
  <c r="AP272" i="2" s="1"/>
  <c r="AL273" i="2"/>
  <c r="AL274" i="2"/>
  <c r="AL275" i="2"/>
  <c r="AP275" i="2" s="1"/>
  <c r="L271" i="2"/>
  <c r="M271" i="2" s="1"/>
  <c r="K271" i="2"/>
  <c r="AC307" i="2"/>
  <c r="BS277" i="2"/>
  <c r="BV277" i="2" s="1"/>
  <c r="BS266" i="2"/>
  <c r="BV266" i="2" s="1"/>
  <c r="BS323" i="2"/>
  <c r="BV323" i="2" s="1"/>
  <c r="BS273" i="2"/>
  <c r="BV273" i="2" s="1"/>
  <c r="BS269" i="2"/>
  <c r="BV269" i="2" s="1"/>
  <c r="BS223" i="2"/>
  <c r="BV223" i="2" s="1"/>
  <c r="BS185" i="2"/>
  <c r="BV185" i="2" s="1"/>
  <c r="BS217" i="2"/>
  <c r="BV217" i="2" s="1"/>
  <c r="BS274" i="2"/>
  <c r="BV274" i="2" s="1"/>
  <c r="BS270" i="2"/>
  <c r="BV270" i="2" s="1"/>
  <c r="BS224" i="2"/>
  <c r="BV224" i="2" s="1"/>
  <c r="BS220" i="2"/>
  <c r="BV220" i="2" s="1"/>
  <c r="BF276" i="2"/>
  <c r="BS268" i="2"/>
  <c r="BV268" i="2" s="1"/>
  <c r="BS272" i="2"/>
  <c r="BV272" i="2" s="1"/>
  <c r="BS222" i="2"/>
  <c r="BV222" i="2" s="1"/>
  <c r="BS271" i="2"/>
  <c r="BV271" i="2" s="1"/>
  <c r="BS221" i="2"/>
  <c r="BV221" i="2" s="1"/>
  <c r="C119" i="2"/>
  <c r="BS218" i="2"/>
  <c r="BV218" i="2" s="1"/>
  <c r="BS324" i="2"/>
  <c r="BV324" i="2" s="1"/>
  <c r="BS322" i="2"/>
  <c r="BV322" i="2" s="1"/>
  <c r="BS226" i="2"/>
  <c r="BV226" i="2" s="1"/>
  <c r="BK43" i="2"/>
  <c r="BS219" i="2"/>
  <c r="BV219" i="2" s="1"/>
  <c r="BS267" i="2"/>
  <c r="BV267" i="2" s="1"/>
  <c r="BS275" i="2"/>
  <c r="BV275" i="2" s="1"/>
  <c r="BS225" i="2"/>
  <c r="BV225" i="2" s="1"/>
  <c r="AO184" i="2"/>
  <c r="AO222" i="2"/>
  <c r="AO224" i="2"/>
  <c r="AO223" i="2"/>
  <c r="BR324" i="2"/>
  <c r="BR218" i="2"/>
  <c r="BR267" i="2"/>
  <c r="BR220" i="2"/>
  <c r="BR224" i="2"/>
  <c r="BR270" i="2"/>
  <c r="BR274" i="2"/>
  <c r="BR323" i="2"/>
  <c r="BR219" i="2"/>
  <c r="BR268" i="2"/>
  <c r="BR221" i="2"/>
  <c r="BR225" i="2"/>
  <c r="BR271" i="2"/>
  <c r="BR275" i="2"/>
  <c r="BR185" i="2"/>
  <c r="BF277" i="2"/>
  <c r="BF311" i="2" s="1"/>
  <c r="BR222" i="2"/>
  <c r="BR226" i="2"/>
  <c r="BR272" i="2"/>
  <c r="BR277" i="2"/>
  <c r="BL43" i="2"/>
  <c r="BR217" i="2"/>
  <c r="BR266" i="2"/>
  <c r="C120" i="2"/>
  <c r="BR223" i="2"/>
  <c r="BR269" i="2"/>
  <c r="BR273" i="2"/>
  <c r="BR322" i="2"/>
  <c r="AB175" i="2"/>
  <c r="AO226" i="2"/>
  <c r="AZ226" i="2" s="1"/>
  <c r="J70" i="11"/>
  <c r="BT219" i="2"/>
  <c r="BT268" i="2"/>
  <c r="BT275" i="2"/>
  <c r="BT271" i="2"/>
  <c r="BT225" i="2"/>
  <c r="BT221" i="2"/>
  <c r="BT218" i="2"/>
  <c r="BT324" i="2"/>
  <c r="BF275" i="2"/>
  <c r="BF309" i="2" s="1"/>
  <c r="BT267" i="2"/>
  <c r="BT322" i="2"/>
  <c r="BT272" i="2"/>
  <c r="BT226" i="2"/>
  <c r="BT222" i="2"/>
  <c r="BJ43" i="2"/>
  <c r="BT185" i="2"/>
  <c r="BT270" i="2"/>
  <c r="BT220" i="2"/>
  <c r="BT277" i="2"/>
  <c r="BT323" i="2"/>
  <c r="BT269" i="2"/>
  <c r="BT217" i="2"/>
  <c r="BT266" i="2"/>
  <c r="BT274" i="2"/>
  <c r="BT224" i="2"/>
  <c r="C118" i="2"/>
  <c r="BT273" i="2"/>
  <c r="BT223" i="2"/>
  <c r="BH175" i="2"/>
  <c r="AP217" i="2"/>
  <c r="AZ224" i="2"/>
  <c r="BC224" i="2" s="1"/>
  <c r="BB224" i="2"/>
  <c r="W71" i="11"/>
  <c r="W69" i="11"/>
  <c r="G69" i="11" s="1"/>
  <c r="H69" i="11" s="1"/>
  <c r="W67" i="11"/>
  <c r="W65" i="11"/>
  <c r="W63" i="11"/>
  <c r="W66" i="11"/>
  <c r="W64" i="11"/>
  <c r="W70" i="11"/>
  <c r="W68" i="11"/>
  <c r="N70" i="11"/>
  <c r="AE243" i="2"/>
  <c r="AE244" i="2" s="1"/>
  <c r="AO225" i="2"/>
  <c r="AC306" i="2"/>
  <c r="AO220" i="2"/>
  <c r="AO218" i="2"/>
  <c r="AZ218" i="2" s="1"/>
  <c r="BC218" i="2" l="1"/>
  <c r="BB218" i="2"/>
  <c r="BA218" i="2" s="1"/>
  <c r="BC226" i="2"/>
  <c r="BB226" i="2"/>
  <c r="BA224" i="2"/>
  <c r="BX217" i="2"/>
  <c r="BW217" i="2"/>
  <c r="BY217" i="2" s="1"/>
  <c r="CB217" i="2" s="1"/>
  <c r="BX268" i="2"/>
  <c r="BZ268" i="2" s="1"/>
  <c r="BW268" i="2"/>
  <c r="BY268" i="2" s="1"/>
  <c r="CB268" i="2" s="1"/>
  <c r="AQ222" i="2"/>
  <c r="BH243" i="2"/>
  <c r="BH244" i="2" s="1"/>
  <c r="AQ217" i="2"/>
  <c r="BX223" i="2"/>
  <c r="BZ223" i="2" s="1"/>
  <c r="BW223" i="2"/>
  <c r="BY223" i="2" s="1"/>
  <c r="CB223" i="2" s="1"/>
  <c r="BX271" i="2"/>
  <c r="BW271" i="2"/>
  <c r="BY271" i="2" s="1"/>
  <c r="CB271" i="2" s="1"/>
  <c r="BX224" i="2"/>
  <c r="BW224" i="2"/>
  <c r="BY224" i="2" s="1"/>
  <c r="CB224" i="2" s="1"/>
  <c r="AO271" i="2"/>
  <c r="AZ271" i="2" s="1"/>
  <c r="AQ273" i="2"/>
  <c r="AO272" i="2"/>
  <c r="AO266" i="2"/>
  <c r="Z281" i="2"/>
  <c r="T232" i="2"/>
  <c r="T231" i="2"/>
  <c r="AT221" i="2"/>
  <c r="AW221" i="2" s="1"/>
  <c r="AQ221" i="2"/>
  <c r="AR221" i="2" s="1"/>
  <c r="AS221" i="2" s="1"/>
  <c r="AV221" i="2" s="1"/>
  <c r="G64" i="11"/>
  <c r="H64" i="11" s="1"/>
  <c r="BX322" i="2"/>
  <c r="BW322" i="2"/>
  <c r="BY322" i="2" s="1"/>
  <c r="CB322" i="2" s="1"/>
  <c r="BW277" i="2"/>
  <c r="BY277" i="2" s="1"/>
  <c r="CB277" i="2" s="1"/>
  <c r="BX277" i="2"/>
  <c r="BX225" i="2"/>
  <c r="BW225" i="2"/>
  <c r="BY225" i="2" s="1"/>
  <c r="CB225" i="2" s="1"/>
  <c r="BX220" i="2"/>
  <c r="BW220" i="2"/>
  <c r="BY220" i="2" s="1"/>
  <c r="CB220" i="2" s="1"/>
  <c r="AQ223" i="2"/>
  <c r="AR223" i="2" s="1"/>
  <c r="BZ225" i="2"/>
  <c r="BZ220" i="2"/>
  <c r="BZ217" i="2"/>
  <c r="AR222" i="2"/>
  <c r="AS222" i="2" s="1"/>
  <c r="AV222" i="2" s="1"/>
  <c r="AP274" i="2"/>
  <c r="AP270" i="2"/>
  <c r="AO275" i="2"/>
  <c r="AO267" i="2"/>
  <c r="AO274" i="2"/>
  <c r="AQ277" i="2"/>
  <c r="BG41" i="2"/>
  <c r="BG44" i="2"/>
  <c r="BG47" i="2" s="1"/>
  <c r="BH278" i="2"/>
  <c r="BF308" i="2"/>
  <c r="BE175" i="2"/>
  <c r="N181" i="2"/>
  <c r="G66" i="11"/>
  <c r="H66" i="11" s="1"/>
  <c r="N163" i="2"/>
  <c r="H70" i="11"/>
  <c r="G70" i="11"/>
  <c r="AD61" i="2"/>
  <c r="AE59" i="2"/>
  <c r="AG61" i="2"/>
  <c r="W59" i="2"/>
  <c r="V59" i="2"/>
  <c r="AF61" i="2"/>
  <c r="D102" i="2" s="1"/>
  <c r="E102" i="2" s="1"/>
  <c r="AD53" i="2"/>
  <c r="AD56" i="2" s="1"/>
  <c r="AD62" i="2"/>
  <c r="AF62" i="2"/>
  <c r="AG60" i="2"/>
  <c r="U61" i="2"/>
  <c r="AG62" i="2"/>
  <c r="D103" i="2" s="1"/>
  <c r="E103" i="2" s="1"/>
  <c r="W61" i="2"/>
  <c r="U59" i="2"/>
  <c r="C83" i="2"/>
  <c r="AD59" i="2"/>
  <c r="AE62" i="2"/>
  <c r="AF60" i="2"/>
  <c r="AG59" i="2"/>
  <c r="U60" i="2"/>
  <c r="AD60" i="2"/>
  <c r="AE61" i="2"/>
  <c r="AF59" i="2"/>
  <c r="W60" i="2"/>
  <c r="V61" i="2"/>
  <c r="AE60" i="2"/>
  <c r="D101" i="2" s="1"/>
  <c r="E101" i="2" s="1"/>
  <c r="V60" i="2"/>
  <c r="U53" i="2"/>
  <c r="AQ220" i="2"/>
  <c r="AZ217" i="2"/>
  <c r="BB217" i="2"/>
  <c r="AR217" i="2"/>
  <c r="AU217" i="2" s="1"/>
  <c r="AX217" i="2" s="1"/>
  <c r="AQ226" i="2"/>
  <c r="BX269" i="2"/>
  <c r="BW269" i="2"/>
  <c r="BY269" i="2" s="1"/>
  <c r="CB269" i="2" s="1"/>
  <c r="BX226" i="2"/>
  <c r="BW226" i="2"/>
  <c r="BY226" i="2" s="1"/>
  <c r="CB226" i="2" s="1"/>
  <c r="BX275" i="2"/>
  <c r="BW275" i="2"/>
  <c r="BY275" i="2" s="1"/>
  <c r="CB275" i="2" s="1"/>
  <c r="BW270" i="2"/>
  <c r="BY270" i="2" s="1"/>
  <c r="CB270" i="2" s="1"/>
  <c r="BX270" i="2"/>
  <c r="BZ270" i="2" s="1"/>
  <c r="BW218" i="2"/>
  <c r="BY218" i="2" s="1"/>
  <c r="CB218" i="2" s="1"/>
  <c r="BX218" i="2"/>
  <c r="BZ322" i="2"/>
  <c r="AZ222" i="2"/>
  <c r="N298" i="2"/>
  <c r="M298" i="2"/>
  <c r="N299" i="2"/>
  <c r="K298" i="2"/>
  <c r="N296" i="2"/>
  <c r="L299" i="2"/>
  <c r="N297" i="2"/>
  <c r="M296" i="2"/>
  <c r="M299" i="2"/>
  <c r="K296" i="2"/>
  <c r="L297" i="2"/>
  <c r="L298" i="2"/>
  <c r="K297" i="2"/>
  <c r="N271" i="2"/>
  <c r="M297" i="2"/>
  <c r="L296" i="2"/>
  <c r="K299" i="2"/>
  <c r="AZ266" i="2"/>
  <c r="BC266" i="2" s="1"/>
  <c r="AQ269" i="2"/>
  <c r="AQ270" i="2"/>
  <c r="AO268" i="2"/>
  <c r="AC280" i="2"/>
  <c r="AD280" i="2" s="1"/>
  <c r="AB280" i="2"/>
  <c r="BX222" i="2"/>
  <c r="BW222" i="2"/>
  <c r="BY222" i="2" s="1"/>
  <c r="CB222" i="2" s="1"/>
  <c r="BW219" i="2"/>
  <c r="BY219" i="2" s="1"/>
  <c r="CB219" i="2" s="1"/>
  <c r="BX219" i="2"/>
  <c r="AQ184" i="2"/>
  <c r="AR184" i="2" s="1"/>
  <c r="BZ219" i="2"/>
  <c r="BZ271" i="2"/>
  <c r="BF310" i="2"/>
  <c r="BZ269" i="2"/>
  <c r="R68" i="11"/>
  <c r="R64" i="11"/>
  <c r="R67" i="11"/>
  <c r="R63" i="11"/>
  <c r="R70" i="11"/>
  <c r="R66" i="11"/>
  <c r="R69" i="11"/>
  <c r="R65" i="11"/>
  <c r="G67" i="11"/>
  <c r="H67" i="11" s="1"/>
  <c r="AQ225" i="2"/>
  <c r="AR225" i="2" s="1"/>
  <c r="AU225" i="2" s="1"/>
  <c r="AX225" i="2" s="1"/>
  <c r="AS225" i="2"/>
  <c r="AV225" i="2" s="1"/>
  <c r="AQ218" i="2"/>
  <c r="AR218" i="2" s="1"/>
  <c r="AT218" i="2"/>
  <c r="AW218" i="2" s="1"/>
  <c r="AS218" i="2"/>
  <c r="AV218" i="2" s="1"/>
  <c r="AY218" i="2" s="1"/>
  <c r="AB218" i="2" s="1"/>
  <c r="AC218" i="2" s="1"/>
  <c r="AU218" i="2"/>
  <c r="AX218" i="2" s="1"/>
  <c r="BX273" i="2"/>
  <c r="BW273" i="2"/>
  <c r="BY273" i="2" s="1"/>
  <c r="CB273" i="2" s="1"/>
  <c r="BX266" i="2"/>
  <c r="BW266" i="2"/>
  <c r="BY266" i="2" s="1"/>
  <c r="CB266" i="2" s="1"/>
  <c r="BW272" i="2"/>
  <c r="BY272" i="2" s="1"/>
  <c r="CB272" i="2" s="1"/>
  <c r="BX272" i="2"/>
  <c r="BZ272" i="2" s="1"/>
  <c r="BW185" i="2"/>
  <c r="BY185" i="2" s="1"/>
  <c r="CB185" i="2" s="1"/>
  <c r="BX185" i="2"/>
  <c r="BX221" i="2"/>
  <c r="BW221" i="2"/>
  <c r="BY221" i="2" s="1"/>
  <c r="CB221" i="2" s="1"/>
  <c r="BW274" i="2"/>
  <c r="BY274" i="2" s="1"/>
  <c r="CB274" i="2" s="1"/>
  <c r="BX274" i="2"/>
  <c r="BX267" i="2"/>
  <c r="BW267" i="2"/>
  <c r="BY267" i="2" s="1"/>
  <c r="CB267" i="2" s="1"/>
  <c r="AS224" i="2"/>
  <c r="AV224" i="2" s="1"/>
  <c r="AY224" i="2" s="1"/>
  <c r="AU224" i="2"/>
  <c r="AX224" i="2" s="1"/>
  <c r="AQ224" i="2"/>
  <c r="AR224" i="2" s="1"/>
  <c r="AT224" i="2" s="1"/>
  <c r="AW224" i="2" s="1"/>
  <c r="BZ275" i="2"/>
  <c r="BZ226" i="2"/>
  <c r="BZ224" i="2"/>
  <c r="BZ185" i="2"/>
  <c r="AP273" i="2"/>
  <c r="AP269" i="2"/>
  <c r="AP277" i="2"/>
  <c r="AO314" i="2"/>
  <c r="AZ314" i="2" s="1"/>
  <c r="AO316" i="2"/>
  <c r="AO315" i="2"/>
  <c r="AZ221" i="2"/>
  <c r="AR226" i="2"/>
  <c r="AS226" i="2" s="1"/>
  <c r="AV226" i="2" s="1"/>
  <c r="AT219" i="2"/>
  <c r="AW219" i="2" s="1"/>
  <c r="AQ219" i="2"/>
  <c r="AR219" i="2" s="1"/>
  <c r="AS219" i="2" s="1"/>
  <c r="AV219" i="2" s="1"/>
  <c r="C104" i="2"/>
  <c r="BG53" i="2"/>
  <c r="BG56" i="2" s="1"/>
  <c r="G63" i="11"/>
  <c r="H63" i="11" s="1"/>
  <c r="G68" i="11"/>
  <c r="H68" i="11" s="1"/>
  <c r="P279" i="2"/>
  <c r="P281" i="2" s="1"/>
  <c r="U223" i="2"/>
  <c r="AZ225" i="2"/>
  <c r="AR220" i="2"/>
  <c r="AU220" i="2" s="1"/>
  <c r="AX220" i="2" s="1"/>
  <c r="AZ184" i="2"/>
  <c r="D71" i="11"/>
  <c r="E71" i="11"/>
  <c r="C71" i="11"/>
  <c r="R71" i="11" s="1"/>
  <c r="B72" i="11"/>
  <c r="F71" i="11"/>
  <c r="J71" i="11"/>
  <c r="N71" i="11"/>
  <c r="AZ220" i="2"/>
  <c r="V300" i="2"/>
  <c r="X299" i="2"/>
  <c r="W299" i="2"/>
  <c r="W301" i="2"/>
  <c r="S296" i="2"/>
  <c r="V301" i="2"/>
  <c r="X300" i="2"/>
  <c r="T297" i="2"/>
  <c r="U298" i="2"/>
  <c r="V299" i="2"/>
  <c r="W300" i="2"/>
  <c r="X301" i="2"/>
  <c r="U296" i="2"/>
  <c r="S297" i="2"/>
  <c r="X297" i="2"/>
  <c r="W298" i="2"/>
  <c r="U299" i="2"/>
  <c r="S301" i="2"/>
  <c r="V296" i="2"/>
  <c r="U297" i="2"/>
  <c r="S298" i="2"/>
  <c r="X298" i="2"/>
  <c r="S300" i="2"/>
  <c r="T301" i="2"/>
  <c r="V277" i="2"/>
  <c r="W296" i="2"/>
  <c r="V297" i="2"/>
  <c r="T298" i="2"/>
  <c r="S299" i="2"/>
  <c r="T300" i="2"/>
  <c r="U301" i="2"/>
  <c r="T296" i="2"/>
  <c r="X296" i="2"/>
  <c r="W297" i="2"/>
  <c r="V298" i="2"/>
  <c r="T299" i="2"/>
  <c r="U300" i="2"/>
  <c r="AZ223" i="2"/>
  <c r="CA268" i="2" l="1"/>
  <c r="CG268" i="2" s="1"/>
  <c r="CC268" i="2"/>
  <c r="CC272" i="2"/>
  <c r="CA272" i="2"/>
  <c r="CG272" i="2"/>
  <c r="CH272" i="2"/>
  <c r="AR268" i="2"/>
  <c r="AT268" i="2" s="1"/>
  <c r="AW268" i="2" s="1"/>
  <c r="BB271" i="2"/>
  <c r="BA271" i="2" s="1"/>
  <c r="BC271" i="2"/>
  <c r="AY219" i="2"/>
  <c r="AB219" i="2" s="1"/>
  <c r="AC219" i="2" s="1"/>
  <c r="AT184" i="2"/>
  <c r="AW184" i="2" s="1"/>
  <c r="AS184" i="2"/>
  <c r="AV184" i="2" s="1"/>
  <c r="AU184" i="2"/>
  <c r="AX184" i="2" s="1"/>
  <c r="CC270" i="2"/>
  <c r="CF270" i="2" s="1"/>
  <c r="CA270" i="2"/>
  <c r="CG270" i="2"/>
  <c r="CH270" i="2"/>
  <c r="BC314" i="2"/>
  <c r="BB314" i="2"/>
  <c r="AR267" i="2"/>
  <c r="AT267" i="2" s="1"/>
  <c r="AW267" i="2" s="1"/>
  <c r="AT223" i="2"/>
  <c r="AW223" i="2" s="1"/>
  <c r="AS223" i="2"/>
  <c r="AV223" i="2" s="1"/>
  <c r="AU223" i="2"/>
  <c r="AX223" i="2" s="1"/>
  <c r="CH223" i="2"/>
  <c r="CC223" i="2"/>
  <c r="CA223" i="2"/>
  <c r="CG223" i="2" s="1"/>
  <c r="U304" i="2"/>
  <c r="W304" i="2" s="1"/>
  <c r="V304" i="2"/>
  <c r="AZ269" i="2"/>
  <c r="AR269" i="2"/>
  <c r="U305" i="2"/>
  <c r="W305" i="2" s="1"/>
  <c r="V305" i="2"/>
  <c r="BC220" i="2"/>
  <c r="BB220" i="2"/>
  <c r="BA220" i="2" s="1"/>
  <c r="AZ273" i="2"/>
  <c r="AR273" i="2"/>
  <c r="BB222" i="2"/>
  <c r="BC222" i="2"/>
  <c r="CD226" i="2"/>
  <c r="AS220" i="2"/>
  <c r="AV220" i="2" s="1"/>
  <c r="AY220" i="2" s="1"/>
  <c r="AB72" i="11"/>
  <c r="AB71" i="11"/>
  <c r="AB70" i="11"/>
  <c r="AB69" i="11"/>
  <c r="AB68" i="11"/>
  <c r="AB67" i="11"/>
  <c r="AB66" i="11"/>
  <c r="AB65" i="11"/>
  <c r="AB64" i="11"/>
  <c r="AB63" i="11"/>
  <c r="D82" i="2"/>
  <c r="E82" i="2"/>
  <c r="U182" i="2"/>
  <c r="U164" i="2"/>
  <c r="AC71" i="11"/>
  <c r="AC70" i="11"/>
  <c r="AC69" i="11"/>
  <c r="AC68" i="11"/>
  <c r="AC67" i="11"/>
  <c r="AC66" i="11"/>
  <c r="AC65" i="11"/>
  <c r="AC64" i="11"/>
  <c r="AC63" i="11"/>
  <c r="BF286" i="2"/>
  <c r="BG286" i="2" s="1"/>
  <c r="BE286" i="2"/>
  <c r="CC220" i="2"/>
  <c r="CA220" i="2"/>
  <c r="CG220" i="2" s="1"/>
  <c r="CH220" i="2"/>
  <c r="AU221" i="2"/>
  <c r="AX221" i="2" s="1"/>
  <c r="AQ272" i="2"/>
  <c r="AZ275" i="2"/>
  <c r="AS217" i="2"/>
  <c r="AV217" i="2" s="1"/>
  <c r="AY217" i="2" s="1"/>
  <c r="AB217" i="2" s="1"/>
  <c r="AR272" i="2"/>
  <c r="AT272" i="2" s="1"/>
  <c r="AW272" i="2" s="1"/>
  <c r="AT222" i="2"/>
  <c r="AW222" i="2" s="1"/>
  <c r="AY222" i="2" s="1"/>
  <c r="U306" i="2"/>
  <c r="V306" i="2"/>
  <c r="BC225" i="2"/>
  <c r="BB225" i="2"/>
  <c r="CC224" i="2"/>
  <c r="CA224" i="2"/>
  <c r="CG224" i="2"/>
  <c r="CH224" i="2"/>
  <c r="G71" i="11"/>
  <c r="H71" i="11" s="1"/>
  <c r="AQ316" i="2"/>
  <c r="CG275" i="2"/>
  <c r="CH275" i="2"/>
  <c r="CC275" i="2"/>
  <c r="CD275" i="2" s="1"/>
  <c r="CA275" i="2"/>
  <c r="P280" i="2"/>
  <c r="B73" i="11"/>
  <c r="C72" i="11"/>
  <c r="AC72" i="11" s="1"/>
  <c r="D72" i="11"/>
  <c r="E72" i="11"/>
  <c r="F72" i="11"/>
  <c r="J72" i="11"/>
  <c r="N72" i="11"/>
  <c r="W72" i="11"/>
  <c r="V72" i="11"/>
  <c r="AY184" i="2"/>
  <c r="AB183" i="2" s="1"/>
  <c r="BC184" i="2"/>
  <c r="BB184" i="2"/>
  <c r="BA184" i="2" s="1"/>
  <c r="AU219" i="2"/>
  <c r="AX219" i="2" s="1"/>
  <c r="AQ314" i="2"/>
  <c r="AS314" i="2"/>
  <c r="AV314" i="2" s="1"/>
  <c r="CD185" i="2"/>
  <c r="CF272" i="2"/>
  <c r="CD272" i="2"/>
  <c r="CE272" i="2"/>
  <c r="AT225" i="2"/>
  <c r="AW225" i="2" s="1"/>
  <c r="AY225" i="2" s="1"/>
  <c r="CG271" i="2"/>
  <c r="CH271" i="2"/>
  <c r="CC271" i="2"/>
  <c r="CA271" i="2"/>
  <c r="CD219" i="2"/>
  <c r="BB266" i="2"/>
  <c r="BA266" i="2" s="1"/>
  <c r="L303" i="2"/>
  <c r="M303" i="2"/>
  <c r="BZ266" i="2"/>
  <c r="CE270" i="2"/>
  <c r="CE275" i="2"/>
  <c r="AT226" i="2"/>
  <c r="AW226" i="2" s="1"/>
  <c r="AY226" i="2" s="1"/>
  <c r="BC217" i="2"/>
  <c r="AT220" i="2"/>
  <c r="AW220" i="2" s="1"/>
  <c r="U56" i="2"/>
  <c r="C150" i="2"/>
  <c r="F150" i="2" s="1"/>
  <c r="B153" i="2"/>
  <c r="B92" i="2" s="1"/>
  <c r="B175" i="2"/>
  <c r="B302" i="2" s="1"/>
  <c r="B152" i="2"/>
  <c r="B91" i="2" s="1"/>
  <c r="C89" i="2"/>
  <c r="Y68" i="11"/>
  <c r="Y64" i="11"/>
  <c r="Y69" i="11"/>
  <c r="Y65" i="11"/>
  <c r="Y70" i="11"/>
  <c r="Y66" i="11"/>
  <c r="Y67" i="11"/>
  <c r="Y71" i="11"/>
  <c r="Y63" i="11"/>
  <c r="AA72" i="11"/>
  <c r="AA71" i="11"/>
  <c r="AA70" i="11"/>
  <c r="AA69" i="11"/>
  <c r="AA68" i="11"/>
  <c r="AA67" i="11"/>
  <c r="AA66" i="11"/>
  <c r="AA65" i="11"/>
  <c r="AA64" i="11"/>
  <c r="AA63" i="11"/>
  <c r="AD163" i="2"/>
  <c r="AE163" i="2" s="1"/>
  <c r="D100" i="2"/>
  <c r="E100" i="2" s="1"/>
  <c r="AD72" i="11"/>
  <c r="AD71" i="11"/>
  <c r="AD70" i="11"/>
  <c r="AD69" i="11"/>
  <c r="AD68" i="11"/>
  <c r="AD67" i="11"/>
  <c r="AD66" i="11"/>
  <c r="AD65" i="11"/>
  <c r="AD64" i="11"/>
  <c r="AD63" i="11"/>
  <c r="U165" i="2"/>
  <c r="U183" i="2"/>
  <c r="M170" i="2"/>
  <c r="L170" i="2"/>
  <c r="L174" i="2"/>
  <c r="L176" i="2" s="1"/>
  <c r="L177" i="2" s="1"/>
  <c r="M174" i="2"/>
  <c r="M176" i="2" s="1"/>
  <c r="M177" i="2" s="1"/>
  <c r="BI61" i="2"/>
  <c r="D119" i="2" s="1"/>
  <c r="E119" i="2" s="1"/>
  <c r="C122" i="2"/>
  <c r="BH60" i="2"/>
  <c r="D118" i="2" s="1"/>
  <c r="E118" i="2" s="1"/>
  <c r="BG59" i="2"/>
  <c r="BK63" i="2"/>
  <c r="D121" i="2" s="1"/>
  <c r="E121" i="2" s="1"/>
  <c r="BJ62" i="2"/>
  <c r="D120" i="2" s="1"/>
  <c r="E120" i="2" s="1"/>
  <c r="BG62" i="2"/>
  <c r="BH62" i="2"/>
  <c r="BI62" i="2"/>
  <c r="BJ61" i="2"/>
  <c r="BK61" i="2"/>
  <c r="BG63" i="2"/>
  <c r="BH63" i="2"/>
  <c r="BI63" i="2"/>
  <c r="BJ63" i="2"/>
  <c r="BK62" i="2"/>
  <c r="BG60" i="2"/>
  <c r="BH59" i="2"/>
  <c r="BI59" i="2"/>
  <c r="BJ59" i="2"/>
  <c r="BK59" i="2"/>
  <c r="BG61" i="2"/>
  <c r="BH61" i="2"/>
  <c r="BI60" i="2"/>
  <c r="BJ60" i="2"/>
  <c r="BK60" i="2"/>
  <c r="AQ274" i="2"/>
  <c r="AT274" i="2"/>
  <c r="AW274" i="2" s="1"/>
  <c r="AZ270" i="2"/>
  <c r="BB270" i="2" s="1"/>
  <c r="AR270" i="2"/>
  <c r="BZ222" i="2"/>
  <c r="CD220" i="2"/>
  <c r="CE220" i="2"/>
  <c r="CF220" i="2"/>
  <c r="AS271" i="2"/>
  <c r="AV271" i="2" s="1"/>
  <c r="AY271" i="2" s="1"/>
  <c r="AU271" i="2"/>
  <c r="AX271" i="2" s="1"/>
  <c r="AQ271" i="2"/>
  <c r="AR271" i="2" s="1"/>
  <c r="AT271" i="2"/>
  <c r="AW271" i="2" s="1"/>
  <c r="CE223" i="2"/>
  <c r="CF223" i="2"/>
  <c r="CD223" i="2"/>
  <c r="AU222" i="2"/>
  <c r="AX222" i="2" s="1"/>
  <c r="CE268" i="2"/>
  <c r="CF268" i="2"/>
  <c r="CD268" i="2"/>
  <c r="BA226" i="2"/>
  <c r="C105" i="2"/>
  <c r="D104" i="2"/>
  <c r="D105" i="2" s="1"/>
  <c r="E104" i="2"/>
  <c r="E105" i="2" s="1"/>
  <c r="CC226" i="2"/>
  <c r="CE226" i="2" s="1"/>
  <c r="CA226" i="2"/>
  <c r="CG226" i="2" s="1"/>
  <c r="CH226" i="2"/>
  <c r="AY223" i="2"/>
  <c r="BB223" i="2"/>
  <c r="BA223" i="2" s="1"/>
  <c r="BC223" i="2"/>
  <c r="S315" i="2"/>
  <c r="O71" i="11"/>
  <c r="P71" i="11"/>
  <c r="V223" i="2"/>
  <c r="V225" i="2" s="1"/>
  <c r="AY221" i="2"/>
  <c r="BB221" i="2"/>
  <c r="BA221" i="2" s="1"/>
  <c r="BC221" i="2"/>
  <c r="AZ277" i="2"/>
  <c r="BC277" i="2" s="1"/>
  <c r="AR277" i="2"/>
  <c r="CH185" i="2"/>
  <c r="CA185" i="2"/>
  <c r="CG185" i="2"/>
  <c r="CC185" i="2"/>
  <c r="CE185" i="2" s="1"/>
  <c r="CH219" i="2"/>
  <c r="CC219" i="2"/>
  <c r="CE219" i="2" s="1"/>
  <c r="CA219" i="2"/>
  <c r="CG219" i="2" s="1"/>
  <c r="AQ268" i="2"/>
  <c r="M302" i="2"/>
  <c r="L302" i="2"/>
  <c r="AU226" i="2"/>
  <c r="AX226" i="2" s="1"/>
  <c r="E81" i="2"/>
  <c r="D81" i="2"/>
  <c r="AD165" i="2"/>
  <c r="AD166" i="2"/>
  <c r="D83" i="2"/>
  <c r="D84" i="2" s="1"/>
  <c r="C84" i="2"/>
  <c r="E83" i="2"/>
  <c r="E84" i="2" s="1"/>
  <c r="C110" i="2"/>
  <c r="Z71" i="11"/>
  <c r="Z67" i="11"/>
  <c r="Z63" i="11"/>
  <c r="Z72" i="11"/>
  <c r="Z68" i="11"/>
  <c r="Z64" i="11"/>
  <c r="Z69" i="11"/>
  <c r="Z65" i="11"/>
  <c r="Z66" i="11"/>
  <c r="Z70" i="11"/>
  <c r="AU267" i="2"/>
  <c r="AX267" i="2" s="1"/>
  <c r="AQ267" i="2"/>
  <c r="AR314" i="2"/>
  <c r="AU314" i="2" s="1"/>
  <c r="AX314" i="2" s="1"/>
  <c r="BC274" i="2"/>
  <c r="AZ274" i="2"/>
  <c r="BB274" i="2"/>
  <c r="AR274" i="2"/>
  <c r="AS274" i="2" s="1"/>
  <c r="AV274" i="2" s="1"/>
  <c r="BZ273" i="2"/>
  <c r="BZ218" i="2"/>
  <c r="AZ267" i="2"/>
  <c r="BZ277" i="2"/>
  <c r="CD271" i="2"/>
  <c r="CE271" i="2"/>
  <c r="CF271" i="2"/>
  <c r="AT217" i="2"/>
  <c r="AW217" i="2" s="1"/>
  <c r="AZ272" i="2"/>
  <c r="BZ221" i="2"/>
  <c r="AQ315" i="2"/>
  <c r="CG269" i="2"/>
  <c r="CH269" i="2"/>
  <c r="CC269" i="2"/>
  <c r="CE269" i="2" s="1"/>
  <c r="CA269" i="2"/>
  <c r="AE300" i="2"/>
  <c r="AF301" i="2"/>
  <c r="AG303" i="2"/>
  <c r="AC303" i="2"/>
  <c r="AF302" i="2"/>
  <c r="AB302" i="2"/>
  <c r="AC301" i="2"/>
  <c r="AD300" i="2"/>
  <c r="AH299" i="2"/>
  <c r="AI298" i="2"/>
  <c r="AE298" i="2"/>
  <c r="AH297" i="2"/>
  <c r="AD297" i="2"/>
  <c r="AG296" i="2"/>
  <c r="AC296" i="2"/>
  <c r="AI303" i="2"/>
  <c r="AF299" i="2"/>
  <c r="AG300" i="2"/>
  <c r="AF303" i="2"/>
  <c r="AB303" i="2"/>
  <c r="AE302" i="2"/>
  <c r="AI301" i="2"/>
  <c r="AB301" i="2"/>
  <c r="AC300" i="2"/>
  <c r="AD299" i="2"/>
  <c r="AH298" i="2"/>
  <c r="AC298" i="2"/>
  <c r="AG297" i="2"/>
  <c r="AB297" i="2"/>
  <c r="AF296" i="2"/>
  <c r="AB296" i="2"/>
  <c r="AE280" i="2"/>
  <c r="AE301" i="2"/>
  <c r="AD298" i="2"/>
  <c r="AE303" i="2"/>
  <c r="AI302" i="2"/>
  <c r="AD302" i="2"/>
  <c r="AH301" i="2"/>
  <c r="AI300" i="2"/>
  <c r="AB300" i="2"/>
  <c r="AC299" i="2"/>
  <c r="AG298" i="2"/>
  <c r="AB298" i="2"/>
  <c r="AF297" i="2"/>
  <c r="AI296" i="2"/>
  <c r="AE296" i="2"/>
  <c r="AF300" i="2"/>
  <c r="AC297" i="2"/>
  <c r="AG299" i="2"/>
  <c r="AH302" i="2"/>
  <c r="AH303" i="2"/>
  <c r="AD303" i="2"/>
  <c r="AG302" i="2"/>
  <c r="AC302" i="2"/>
  <c r="AD301" i="2"/>
  <c r="AH300" i="2"/>
  <c r="AI299" i="2"/>
  <c r="AB299" i="2"/>
  <c r="AF298" i="2"/>
  <c r="AI297" i="2"/>
  <c r="AE297" i="2"/>
  <c r="AH296" i="2"/>
  <c r="AD296" i="2"/>
  <c r="AG301" i="2"/>
  <c r="AE299" i="2"/>
  <c r="CC322" i="2"/>
  <c r="CE322" i="2" s="1"/>
  <c r="CA322" i="2"/>
  <c r="CG322" i="2"/>
  <c r="CH322" i="2"/>
  <c r="CD269" i="2"/>
  <c r="BA217" i="2"/>
  <c r="X69" i="11"/>
  <c r="K69" i="11" s="1"/>
  <c r="L69" i="11" s="1"/>
  <c r="X65" i="11"/>
  <c r="K65" i="11" s="1"/>
  <c r="L65" i="11" s="1"/>
  <c r="X70" i="11"/>
  <c r="K70" i="11" s="1"/>
  <c r="L70" i="11" s="1"/>
  <c r="X66" i="11"/>
  <c r="K66" i="11" s="1"/>
  <c r="L66" i="11" s="1"/>
  <c r="X71" i="11"/>
  <c r="K71" i="11" s="1"/>
  <c r="L71" i="11" s="1"/>
  <c r="X67" i="11"/>
  <c r="K67" i="11" s="1"/>
  <c r="L67" i="11" s="1"/>
  <c r="X63" i="11"/>
  <c r="K63" i="11" s="1"/>
  <c r="L63" i="11" s="1"/>
  <c r="X72" i="11"/>
  <c r="U163" i="2"/>
  <c r="V163" i="2" s="1"/>
  <c r="U181" i="2"/>
  <c r="V181" i="2" s="1"/>
  <c r="X64" i="11"/>
  <c r="K64" i="11" s="1"/>
  <c r="L64" i="11" s="1"/>
  <c r="X68" i="11"/>
  <c r="K68" i="11" s="1"/>
  <c r="L68" i="11" s="1"/>
  <c r="D80" i="2"/>
  <c r="E80" i="2"/>
  <c r="AD164" i="2"/>
  <c r="N219" i="2"/>
  <c r="O219" i="2"/>
  <c r="N223" i="2"/>
  <c r="AQ275" i="2"/>
  <c r="AR275" i="2" s="1"/>
  <c r="CG217" i="2"/>
  <c r="CA217" i="2"/>
  <c r="CC217" i="2"/>
  <c r="CF217" i="2" s="1"/>
  <c r="CC225" i="2"/>
  <c r="CE225" i="2" s="1"/>
  <c r="CA225" i="2"/>
  <c r="CF225" i="2"/>
  <c r="CD225" i="2"/>
  <c r="AQ266" i="2"/>
  <c r="AR266" i="2" s="1"/>
  <c r="AS266" i="2" s="1"/>
  <c r="AV266" i="2" s="1"/>
  <c r="AT266" i="2"/>
  <c r="AW266" i="2" s="1"/>
  <c r="BZ274" i="2"/>
  <c r="CD224" i="2"/>
  <c r="CE224" i="2"/>
  <c r="CF224" i="2"/>
  <c r="AZ268" i="2"/>
  <c r="BZ267" i="2"/>
  <c r="AC217" i="2" l="1"/>
  <c r="AC228" i="2"/>
  <c r="AC230" i="2" s="1"/>
  <c r="AC227" i="2"/>
  <c r="AC229" i="2"/>
  <c r="AT275" i="2"/>
  <c r="AW275" i="2" s="1"/>
  <c r="AY275" i="2" s="1"/>
  <c r="AS275" i="2"/>
  <c r="AV275" i="2" s="1"/>
  <c r="AU275" i="2"/>
  <c r="AX275" i="2" s="1"/>
  <c r="BG163" i="2"/>
  <c r="O70" i="11"/>
  <c r="P70" i="11" s="1"/>
  <c r="CI217" i="2"/>
  <c r="CJ217" i="2" s="1"/>
  <c r="N225" i="2"/>
  <c r="N226" i="2" s="1"/>
  <c r="L233" i="2" s="1"/>
  <c r="O223" i="2"/>
  <c r="O225" i="2" s="1"/>
  <c r="O226" i="2" s="1"/>
  <c r="AD307" i="2"/>
  <c r="AE307" i="2"/>
  <c r="CC277" i="2"/>
  <c r="CA277" i="2"/>
  <c r="CG277" i="2" s="1"/>
  <c r="CH277" i="2"/>
  <c r="AS267" i="2"/>
  <c r="AV267" i="2" s="1"/>
  <c r="AU268" i="2"/>
  <c r="AX268" i="2" s="1"/>
  <c r="W223" i="2"/>
  <c r="BG166" i="2"/>
  <c r="AF69" i="11"/>
  <c r="AF65" i="11"/>
  <c r="AF72" i="11"/>
  <c r="AF68" i="11"/>
  <c r="AF71" i="11"/>
  <c r="AF67" i="11"/>
  <c r="AF70" i="11"/>
  <c r="AF66" i="11"/>
  <c r="AF64" i="11"/>
  <c r="AF63" i="11"/>
  <c r="O63" i="11"/>
  <c r="P63" i="11" s="1"/>
  <c r="O67" i="11"/>
  <c r="P67" i="11" s="1"/>
  <c r="Y72" i="11"/>
  <c r="I318" i="2"/>
  <c r="K312" i="2" s="1"/>
  <c r="B333" i="2"/>
  <c r="I321" i="2"/>
  <c r="D230" i="2"/>
  <c r="D234" i="2"/>
  <c r="E185" i="2"/>
  <c r="I315" i="2"/>
  <c r="I311" i="2"/>
  <c r="I307" i="2"/>
  <c r="E211" i="2"/>
  <c r="C277" i="2"/>
  <c r="D283" i="2" s="1"/>
  <c r="D284" i="2" s="1"/>
  <c r="D240" i="2"/>
  <c r="D242" i="2"/>
  <c r="D231" i="2"/>
  <c r="D235" i="2"/>
  <c r="E184" i="2"/>
  <c r="I314" i="2"/>
  <c r="I310" i="2"/>
  <c r="D238" i="2"/>
  <c r="B248" i="2" s="1"/>
  <c r="E210" i="2"/>
  <c r="I317" i="2"/>
  <c r="F277" i="2"/>
  <c r="F283" i="2" s="1"/>
  <c r="F284" i="2" s="1"/>
  <c r="D239" i="2"/>
  <c r="D228" i="2"/>
  <c r="D232" i="2"/>
  <c r="D236" i="2"/>
  <c r="E180" i="2"/>
  <c r="D243" i="2"/>
  <c r="E242" i="2" s="1"/>
  <c r="I313" i="2"/>
  <c r="I309" i="2"/>
  <c r="E209" i="2"/>
  <c r="B340" i="2"/>
  <c r="D241" i="2"/>
  <c r="D229" i="2"/>
  <c r="D233" i="2"/>
  <c r="D237" i="2"/>
  <c r="I316" i="2"/>
  <c r="I312" i="2"/>
  <c r="I308" i="2"/>
  <c r="CF275" i="2"/>
  <c r="CD270" i="2"/>
  <c r="N303" i="2"/>
  <c r="CI271" i="2"/>
  <c r="CJ271" i="2" s="1"/>
  <c r="R72" i="11"/>
  <c r="CF185" i="2"/>
  <c r="AT314" i="2"/>
  <c r="AW314" i="2" s="1"/>
  <c r="AY314" i="2" s="1"/>
  <c r="AB320" i="2" s="1"/>
  <c r="O72" i="11"/>
  <c r="P72" i="11" s="1"/>
  <c r="CI275" i="2"/>
  <c r="CJ275" i="2" s="1"/>
  <c r="CI224" i="2"/>
  <c r="CJ224" i="2" s="1"/>
  <c r="CE217" i="2"/>
  <c r="AU272" i="2"/>
  <c r="AX272" i="2" s="1"/>
  <c r="BJ301" i="2"/>
  <c r="BF297" i="2"/>
  <c r="BH286" i="2"/>
  <c r="BG296" i="2"/>
  <c r="BK296" i="2"/>
  <c r="BE297" i="2"/>
  <c r="BJ297" i="2"/>
  <c r="BN297" i="2"/>
  <c r="BI298" i="2"/>
  <c r="BM298" i="2"/>
  <c r="BI299" i="2"/>
  <c r="BM299" i="2"/>
  <c r="BG300" i="2"/>
  <c r="BM300" i="2"/>
  <c r="BG301" i="2"/>
  <c r="BL301" i="2"/>
  <c r="BF302" i="2"/>
  <c r="BJ302" i="2"/>
  <c r="BE303" i="2"/>
  <c r="BI303" i="2"/>
  <c r="BE304" i="2"/>
  <c r="BI304" i="2"/>
  <c r="BE305" i="2"/>
  <c r="BI305" i="2"/>
  <c r="BM305" i="2"/>
  <c r="BK303" i="2"/>
  <c r="BG298" i="2"/>
  <c r="BG310" i="2" s="1"/>
  <c r="BK302" i="2"/>
  <c r="BH299" i="2"/>
  <c r="BG311" i="2" s="1"/>
  <c r="BH296" i="2"/>
  <c r="BL296" i="2"/>
  <c r="BG297" i="2"/>
  <c r="BK297" i="2"/>
  <c r="BE298" i="2"/>
  <c r="BJ298" i="2"/>
  <c r="BN298" i="2"/>
  <c r="BJ299" i="2"/>
  <c r="BN299" i="2"/>
  <c r="BJ300" i="2"/>
  <c r="BN300" i="2"/>
  <c r="BH301" i="2"/>
  <c r="BM301" i="2"/>
  <c r="BG302" i="2"/>
  <c r="BL302" i="2"/>
  <c r="BF303" i="2"/>
  <c r="BJ303" i="2"/>
  <c r="BF304" i="2"/>
  <c r="BJ304" i="2"/>
  <c r="BL303" i="2"/>
  <c r="BM304" i="2"/>
  <c r="BI296" i="2"/>
  <c r="BM296" i="2"/>
  <c r="BH297" i="2"/>
  <c r="BL297" i="2"/>
  <c r="BF298" i="2"/>
  <c r="BK298" i="2"/>
  <c r="BE299" i="2"/>
  <c r="BK299" i="2"/>
  <c r="BE300" i="2"/>
  <c r="BK300" i="2"/>
  <c r="BE301" i="2"/>
  <c r="BI301" i="2"/>
  <c r="BN301" i="2"/>
  <c r="BH302" i="2"/>
  <c r="BM302" i="2"/>
  <c r="BG303" i="2"/>
  <c r="BM303" i="2"/>
  <c r="BE296" i="2"/>
  <c r="BF296" i="2"/>
  <c r="BJ296" i="2"/>
  <c r="BN296" i="2"/>
  <c r="BI297" i="2"/>
  <c r="BM297" i="2"/>
  <c r="BH298" i="2"/>
  <c r="BL298" i="2"/>
  <c r="BF299" i="2"/>
  <c r="BL299" i="2"/>
  <c r="BF300" i="2"/>
  <c r="BL300" i="2"/>
  <c r="BF301" i="2"/>
  <c r="BK301" i="2"/>
  <c r="BE302" i="2"/>
  <c r="BI302" i="2"/>
  <c r="BN302" i="2"/>
  <c r="BH303" i="2"/>
  <c r="BN303" i="2"/>
  <c r="BH304" i="2"/>
  <c r="BN304" i="2"/>
  <c r="BG304" i="2"/>
  <c r="BH305" i="2"/>
  <c r="BI300" i="2"/>
  <c r="BL304" i="2"/>
  <c r="BK304" i="2"/>
  <c r="BJ305" i="2"/>
  <c r="BN305" i="2"/>
  <c r="BH300" i="2"/>
  <c r="BF305" i="2"/>
  <c r="BK305" i="2"/>
  <c r="BG299" i="2"/>
  <c r="BG305" i="2"/>
  <c r="BL305" i="2"/>
  <c r="BA222" i="2"/>
  <c r="BC273" i="2"/>
  <c r="BB269" i="2"/>
  <c r="BA314" i="2"/>
  <c r="U170" i="2"/>
  <c r="G180" i="2" s="1"/>
  <c r="T170" i="2"/>
  <c r="F180" i="2" s="1"/>
  <c r="U174" i="2"/>
  <c r="T174" i="2"/>
  <c r="U312" i="2"/>
  <c r="T318" i="2" s="1"/>
  <c r="T319" i="2" s="1"/>
  <c r="V312" i="2"/>
  <c r="U318" i="2" s="1"/>
  <c r="U319" i="2" s="1"/>
  <c r="V315" i="2"/>
  <c r="D336" i="2" s="1"/>
  <c r="AT270" i="2"/>
  <c r="AW270" i="2" s="1"/>
  <c r="AS270" i="2"/>
  <c r="AV270" i="2" s="1"/>
  <c r="AU270" i="2"/>
  <c r="AX270" i="2" s="1"/>
  <c r="E122" i="2"/>
  <c r="E123" i="2" s="1"/>
  <c r="C123" i="2"/>
  <c r="D122" i="2"/>
  <c r="D123" i="2" s="1"/>
  <c r="O66" i="11"/>
  <c r="P66" i="11" s="1"/>
  <c r="CF269" i="2"/>
  <c r="AE308" i="2"/>
  <c r="AD308" i="2"/>
  <c r="AF308" i="2" s="1"/>
  <c r="BA274" i="2"/>
  <c r="AS268" i="2"/>
  <c r="AV268" i="2" s="1"/>
  <c r="AY268" i="2" s="1"/>
  <c r="AK268" i="2" s="1"/>
  <c r="CI219" i="2"/>
  <c r="CJ219" i="2" s="1"/>
  <c r="AT277" i="2"/>
  <c r="AW277" i="2" s="1"/>
  <c r="AU277" i="2"/>
  <c r="AX277" i="2" s="1"/>
  <c r="AS277" i="2"/>
  <c r="AV277" i="2" s="1"/>
  <c r="AY277" i="2" s="1"/>
  <c r="AK277" i="2" s="1"/>
  <c r="CI226" i="2"/>
  <c r="CJ226" i="2" s="1"/>
  <c r="C128" i="2"/>
  <c r="CF322" i="2"/>
  <c r="AY270" i="2"/>
  <c r="AU274" i="2"/>
  <c r="AX274" i="2" s="1"/>
  <c r="BG165" i="2"/>
  <c r="AI71" i="11"/>
  <c r="AI67" i="11"/>
  <c r="AI63" i="11"/>
  <c r="AI70" i="11"/>
  <c r="AI66" i="11"/>
  <c r="AI69" i="11"/>
  <c r="AI65" i="11"/>
  <c r="AI72" i="11"/>
  <c r="AI68" i="11"/>
  <c r="AI64" i="11"/>
  <c r="AE72" i="11"/>
  <c r="AE68" i="11"/>
  <c r="AE64" i="11"/>
  <c r="AE71" i="11"/>
  <c r="AE67" i="11"/>
  <c r="AE70" i="11"/>
  <c r="S70" i="11" s="1"/>
  <c r="T70" i="11" s="1"/>
  <c r="AE66" i="11"/>
  <c r="AE69" i="11"/>
  <c r="AE65" i="11"/>
  <c r="S65" i="11" s="1"/>
  <c r="T65" i="11" s="1"/>
  <c r="AE63" i="11"/>
  <c r="BG162" i="2"/>
  <c r="BH162" i="2" s="1"/>
  <c r="D117" i="2"/>
  <c r="E117" i="2" s="1"/>
  <c r="O64" i="11"/>
  <c r="P64" i="11" s="1"/>
  <c r="O68" i="11"/>
  <c r="P68" i="11" s="1"/>
  <c r="CF219" i="2"/>
  <c r="AB184" i="2"/>
  <c r="AC182" i="2" s="1"/>
  <c r="AD219" i="2" s="1"/>
  <c r="AB185" i="2"/>
  <c r="AD225" i="2"/>
  <c r="K72" i="11"/>
  <c r="L72" i="11" s="1"/>
  <c r="CD217" i="2"/>
  <c r="BB275" i="2"/>
  <c r="BA275" i="2" s="1"/>
  <c r="BC275" i="2"/>
  <c r="AS272" i="2"/>
  <c r="AV272" i="2" s="1"/>
  <c r="AY272" i="2" s="1"/>
  <c r="CI220" i="2"/>
  <c r="CJ220" i="2" s="1"/>
  <c r="CF226" i="2"/>
  <c r="AU273" i="2"/>
  <c r="AX273" i="2" s="1"/>
  <c r="AT273" i="2"/>
  <c r="AW273" i="2" s="1"/>
  <c r="AY273" i="2" s="1"/>
  <c r="AS273" i="2"/>
  <c r="AV273" i="2" s="1"/>
  <c r="BC269" i="2"/>
  <c r="CI223" i="2"/>
  <c r="CJ223" i="2" s="1"/>
  <c r="CI268" i="2"/>
  <c r="CJ268" i="2" s="1"/>
  <c r="AD305" i="2"/>
  <c r="AE305" i="2"/>
  <c r="BC272" i="2"/>
  <c r="BB272" i="2"/>
  <c r="CG273" i="2"/>
  <c r="CC273" i="2"/>
  <c r="CA273" i="2"/>
  <c r="V226" i="2"/>
  <c r="T233" i="2" s="1"/>
  <c r="D244" i="2" s="1"/>
  <c r="B251" i="2" s="1"/>
  <c r="W225" i="2"/>
  <c r="W226" i="2" s="1"/>
  <c r="CD322" i="2"/>
  <c r="AG70" i="11"/>
  <c r="AG66" i="11"/>
  <c r="AG69" i="11"/>
  <c r="AG65" i="11"/>
  <c r="AG72" i="11"/>
  <c r="AG68" i="11"/>
  <c r="AG71" i="11"/>
  <c r="AG67" i="11"/>
  <c r="AG64" i="11"/>
  <c r="AG63" i="11"/>
  <c r="AD171" i="2"/>
  <c r="AC171" i="2"/>
  <c r="AD175" i="2"/>
  <c r="AD177" i="2" s="1"/>
  <c r="AD178" i="2" s="1"/>
  <c r="AC175" i="2"/>
  <c r="AC177" i="2" s="1"/>
  <c r="AC178" i="2" s="1"/>
  <c r="CC267" i="2"/>
  <c r="CH267" i="2"/>
  <c r="CA267" i="2"/>
  <c r="AU266" i="2"/>
  <c r="AX266" i="2" s="1"/>
  <c r="AY266" i="2" s="1"/>
  <c r="AK266" i="2" s="1"/>
  <c r="CH225" i="2"/>
  <c r="V219" i="2"/>
  <c r="S234" i="2" s="1"/>
  <c r="C245" i="2" s="1"/>
  <c r="D251" i="2" s="1"/>
  <c r="W219" i="2"/>
  <c r="AY267" i="2"/>
  <c r="AK267" i="2" s="1"/>
  <c r="BC267" i="2"/>
  <c r="BB267" i="2"/>
  <c r="BA267" i="2" s="1"/>
  <c r="BB268" i="2"/>
  <c r="BA268" i="2" s="1"/>
  <c r="BC268" i="2"/>
  <c r="CC274" i="2"/>
  <c r="CA274" i="2"/>
  <c r="CG274" i="2"/>
  <c r="CG225" i="2"/>
  <c r="CI225" i="2" s="1"/>
  <c r="CJ225" i="2" s="1"/>
  <c r="CH217" i="2"/>
  <c r="K234" i="2"/>
  <c r="CI322" i="2"/>
  <c r="CJ322" i="2" s="1"/>
  <c r="AD306" i="2"/>
  <c r="AF306" i="2" s="1"/>
  <c r="AE306" i="2"/>
  <c r="CI269" i="2"/>
  <c r="CJ269" i="2" s="1"/>
  <c r="CC221" i="2"/>
  <c r="CA221" i="2"/>
  <c r="CG221" i="2"/>
  <c r="CC218" i="2"/>
  <c r="CA218" i="2"/>
  <c r="CG218" i="2" s="1"/>
  <c r="CH218" i="2"/>
  <c r="AY274" i="2"/>
  <c r="B113" i="2"/>
  <c r="B112" i="2"/>
  <c r="N302" i="2"/>
  <c r="K305" i="2" s="1"/>
  <c r="CI185" i="2"/>
  <c r="CJ185" i="2" s="1"/>
  <c r="BB277" i="2"/>
  <c r="BA277" i="2" s="1"/>
  <c r="CC222" i="2"/>
  <c r="CA222" i="2"/>
  <c r="BC270" i="2"/>
  <c r="BA270" i="2" s="1"/>
  <c r="BG164" i="2"/>
  <c r="AH71" i="11"/>
  <c r="AH67" i="11"/>
  <c r="AH63" i="11"/>
  <c r="AH70" i="11"/>
  <c r="AH66" i="11"/>
  <c r="AH69" i="11"/>
  <c r="AH72" i="11"/>
  <c r="AH68" i="11"/>
  <c r="AH65" i="11"/>
  <c r="AH64" i="11"/>
  <c r="O65" i="11"/>
  <c r="P65" i="11" s="1"/>
  <c r="O69" i="11"/>
  <c r="P69" i="11" s="1"/>
  <c r="CH266" i="2"/>
  <c r="CC266" i="2"/>
  <c r="CA266" i="2"/>
  <c r="CG266" i="2"/>
  <c r="G72" i="11"/>
  <c r="H72" i="11" s="1"/>
  <c r="D73" i="11"/>
  <c r="B74" i="11"/>
  <c r="C73" i="11"/>
  <c r="E73" i="11"/>
  <c r="AE73" i="11" s="1"/>
  <c r="F73" i="11"/>
  <c r="J73" i="11"/>
  <c r="N73" i="11"/>
  <c r="W73" i="11"/>
  <c r="V73" i="11"/>
  <c r="BA225" i="2"/>
  <c r="W306" i="2"/>
  <c r="S308" i="2" s="1"/>
  <c r="B329" i="2" s="1"/>
  <c r="BB273" i="2"/>
  <c r="BA273" i="2" s="1"/>
  <c r="AT269" i="2"/>
  <c r="AW269" i="2" s="1"/>
  <c r="AS269" i="2"/>
  <c r="AV269" i="2" s="1"/>
  <c r="AY269" i="2" s="1"/>
  <c r="AU269" i="2"/>
  <c r="AX269" i="2" s="1"/>
  <c r="CI270" i="2"/>
  <c r="CJ270" i="2" s="1"/>
  <c r="CI272" i="2"/>
  <c r="CJ272" i="2" s="1"/>
  <c r="CH268" i="2"/>
  <c r="CK225" i="2" l="1"/>
  <c r="CN225" i="2" s="1"/>
  <c r="CR225" i="2" s="1"/>
  <c r="CM225" i="2"/>
  <c r="CQ225" i="2" s="1"/>
  <c r="CL225" i="2"/>
  <c r="CO225" i="2" s="1"/>
  <c r="CS225" i="2" s="1"/>
  <c r="AK278" i="2"/>
  <c r="AK276" i="2"/>
  <c r="AK279" i="2" s="1"/>
  <c r="AD223" i="2"/>
  <c r="AG277" i="2"/>
  <c r="AG276" i="2"/>
  <c r="AG275" i="2"/>
  <c r="V176" i="2"/>
  <c r="T176" i="2"/>
  <c r="BG312" i="2"/>
  <c r="BH310" i="2"/>
  <c r="BI310" i="2" s="1"/>
  <c r="CK271" i="2"/>
  <c r="CM271" i="2" s="1"/>
  <c r="CQ271" i="2" s="1"/>
  <c r="CL271" i="2"/>
  <c r="CP271" i="2"/>
  <c r="CT271" i="2" s="1"/>
  <c r="CO271" i="2"/>
  <c r="CS271" i="2" s="1"/>
  <c r="N312" i="2"/>
  <c r="N309" i="2"/>
  <c r="M315" i="2" s="1"/>
  <c r="M316" i="2" s="1"/>
  <c r="M309" i="2"/>
  <c r="L315" i="2" s="1"/>
  <c r="L316" i="2" s="1"/>
  <c r="AF73" i="11"/>
  <c r="CM217" i="2"/>
  <c r="CQ217" i="2" s="1"/>
  <c r="CK217" i="2"/>
  <c r="CN217" i="2" s="1"/>
  <c r="CR217" i="2" s="1"/>
  <c r="CL217" i="2"/>
  <c r="CO217" i="2" s="1"/>
  <c r="CS217" i="2" s="1"/>
  <c r="CP217" i="2"/>
  <c r="CT217" i="2" s="1"/>
  <c r="AA73" i="11"/>
  <c r="AD73" i="11"/>
  <c r="Z73" i="11"/>
  <c r="X73" i="11"/>
  <c r="Y73" i="11"/>
  <c r="AC73" i="11"/>
  <c r="CF222" i="2"/>
  <c r="CD222" i="2"/>
  <c r="CE222" i="2"/>
  <c r="CI221" i="2"/>
  <c r="CJ221" i="2" s="1"/>
  <c r="S309" i="2"/>
  <c r="B330" i="2" s="1"/>
  <c r="BA272" i="2"/>
  <c r="AF305" i="2"/>
  <c r="CM220" i="2"/>
  <c r="CQ220" i="2" s="1"/>
  <c r="CK220" i="2"/>
  <c r="CN220" i="2" s="1"/>
  <c r="CR220" i="2" s="1"/>
  <c r="CL220" i="2"/>
  <c r="CP220" i="2"/>
  <c r="CT220" i="2" s="1"/>
  <c r="CO220" i="2"/>
  <c r="CS220" i="2" s="1"/>
  <c r="S69" i="11"/>
  <c r="T69" i="11" s="1"/>
  <c r="S66" i="11"/>
  <c r="T66" i="11" s="1"/>
  <c r="S67" i="11"/>
  <c r="T67" i="11" s="1"/>
  <c r="S64" i="11"/>
  <c r="T64" i="11" s="1"/>
  <c r="AI73" i="11"/>
  <c r="S319" i="2"/>
  <c r="B336" i="2" s="1"/>
  <c r="W176" i="2"/>
  <c r="U176" i="2"/>
  <c r="BG309" i="2"/>
  <c r="CN224" i="2"/>
  <c r="CR224" i="2" s="1"/>
  <c r="CM224" i="2"/>
  <c r="CQ224" i="2" s="1"/>
  <c r="CK224" i="2"/>
  <c r="CL224" i="2"/>
  <c r="CP224" i="2" s="1"/>
  <c r="CT224" i="2" s="1"/>
  <c r="K306" i="2"/>
  <c r="G184" i="2"/>
  <c r="AF307" i="2"/>
  <c r="AB73" i="11"/>
  <c r="O73" i="11" s="1"/>
  <c r="P73" i="11" s="1"/>
  <c r="AC231" i="2"/>
  <c r="AC232" i="2"/>
  <c r="AD184" i="2"/>
  <c r="AD185" i="2"/>
  <c r="AD183" i="2"/>
  <c r="AD182" i="2"/>
  <c r="CK272" i="2"/>
  <c r="CN272" i="2" s="1"/>
  <c r="CR272" i="2" s="1"/>
  <c r="CL272" i="2"/>
  <c r="CP272" i="2" s="1"/>
  <c r="CT272" i="2" s="1"/>
  <c r="K73" i="11"/>
  <c r="L73" i="11" s="1"/>
  <c r="CD274" i="2"/>
  <c r="CE274" i="2"/>
  <c r="CF274" i="2"/>
  <c r="CF273" i="2"/>
  <c r="CE273" i="2"/>
  <c r="CD273" i="2"/>
  <c r="BG171" i="2"/>
  <c r="BF171" i="2"/>
  <c r="BF175" i="2"/>
  <c r="BF177" i="2" s="1"/>
  <c r="BF178" i="2" s="1"/>
  <c r="BG175" i="2"/>
  <c r="BG177" i="2" s="1"/>
  <c r="BG178" i="2" s="1"/>
  <c r="BG179" i="2" s="1"/>
  <c r="S68" i="11"/>
  <c r="T68" i="11" s="1"/>
  <c r="B130" i="2"/>
  <c r="B131" i="2"/>
  <c r="BA269" i="2"/>
  <c r="BI311" i="2"/>
  <c r="BH311" i="2"/>
  <c r="CK275" i="2"/>
  <c r="CM275" i="2" s="1"/>
  <c r="CQ275" i="2" s="1"/>
  <c r="CL275" i="2"/>
  <c r="CP275" i="2" s="1"/>
  <c r="CT275" i="2" s="1"/>
  <c r="CN275" i="2"/>
  <c r="CR275" i="2" s="1"/>
  <c r="H323" i="2"/>
  <c r="I319" i="2"/>
  <c r="I320" i="2" s="1"/>
  <c r="G326" i="2" s="1"/>
  <c r="H322" i="2"/>
  <c r="H324" i="2"/>
  <c r="CI277" i="2"/>
  <c r="CJ277" i="2" s="1"/>
  <c r="CE266" i="2"/>
  <c r="CF266" i="2"/>
  <c r="CD266" i="2"/>
  <c r="CK269" i="2"/>
  <c r="CM269" i="2" s="1"/>
  <c r="CQ269" i="2" s="1"/>
  <c r="CL269" i="2"/>
  <c r="CO269" i="2" s="1"/>
  <c r="CS269" i="2" s="1"/>
  <c r="CN269" i="2"/>
  <c r="CR269" i="2" s="1"/>
  <c r="CD267" i="2"/>
  <c r="CF267" i="2"/>
  <c r="CE267" i="2"/>
  <c r="R73" i="11"/>
  <c r="C74" i="11"/>
  <c r="B75" i="11"/>
  <c r="D74" i="11"/>
  <c r="AD74" i="11" s="1"/>
  <c r="E74" i="11"/>
  <c r="F74" i="11"/>
  <c r="J74" i="11"/>
  <c r="N74" i="11"/>
  <c r="V74" i="11"/>
  <c r="W74" i="11"/>
  <c r="AA74" i="11"/>
  <c r="X74" i="11"/>
  <c r="Y74" i="11"/>
  <c r="Z74" i="11"/>
  <c r="CH222" i="2"/>
  <c r="CI218" i="2"/>
  <c r="CJ218" i="2" s="1"/>
  <c r="CD221" i="2"/>
  <c r="CF221" i="2"/>
  <c r="CE221" i="2"/>
  <c r="CP268" i="2"/>
  <c r="CT268" i="2" s="1"/>
  <c r="CL268" i="2"/>
  <c r="CK268" i="2"/>
  <c r="CN268" i="2" s="1"/>
  <c r="CR268" i="2" s="1"/>
  <c r="CO268" i="2"/>
  <c r="CS268" i="2" s="1"/>
  <c r="AG223" i="2"/>
  <c r="S71" i="11"/>
  <c r="T71" i="11" s="1"/>
  <c r="CM270" i="2"/>
  <c r="CQ270" i="2" s="1"/>
  <c r="CK270" i="2"/>
  <c r="CN270" i="2" s="1"/>
  <c r="CR270" i="2" s="1"/>
  <c r="CL270" i="2"/>
  <c r="CO270" i="2"/>
  <c r="CS270" i="2" s="1"/>
  <c r="CP270" i="2"/>
  <c r="CT270" i="2" s="1"/>
  <c r="G73" i="11"/>
  <c r="H73" i="11" s="1"/>
  <c r="CI266" i="2"/>
  <c r="CJ266" i="2" s="1"/>
  <c r="AH73" i="11"/>
  <c r="CG222" i="2"/>
  <c r="CI222" i="2" s="1"/>
  <c r="CJ222" i="2" s="1"/>
  <c r="CL185" i="2"/>
  <c r="CO185" i="2"/>
  <c r="CS185" i="2" s="1"/>
  <c r="CK185" i="2"/>
  <c r="CM185" i="2" s="1"/>
  <c r="CQ185" i="2" s="1"/>
  <c r="CP185" i="2"/>
  <c r="CT185" i="2" s="1"/>
  <c r="CF218" i="2"/>
  <c r="CD218" i="2"/>
  <c r="CE218" i="2"/>
  <c r="CH221" i="2"/>
  <c r="CN322" i="2"/>
  <c r="CR322" i="2" s="1"/>
  <c r="CM322" i="2"/>
  <c r="CQ322" i="2" s="1"/>
  <c r="CK322" i="2"/>
  <c r="CL322" i="2"/>
  <c r="CP322" i="2"/>
  <c r="CT322" i="2" s="1"/>
  <c r="CO322" i="2"/>
  <c r="CS322" i="2" s="1"/>
  <c r="CH274" i="2"/>
  <c r="CI274" i="2" s="1"/>
  <c r="CJ274" i="2" s="1"/>
  <c r="CG267" i="2"/>
  <c r="CI267" i="2" s="1"/>
  <c r="CJ267" i="2" s="1"/>
  <c r="AG73" i="11"/>
  <c r="CH273" i="2"/>
  <c r="CI273" i="2" s="1"/>
  <c r="CJ273" i="2" s="1"/>
  <c r="CL223" i="2"/>
  <c r="CO223" i="2" s="1"/>
  <c r="CS223" i="2" s="1"/>
  <c r="CN223" i="2"/>
  <c r="CR223" i="2" s="1"/>
  <c r="CK223" i="2"/>
  <c r="CM223" i="2" s="1"/>
  <c r="CQ223" i="2" s="1"/>
  <c r="S63" i="11"/>
  <c r="T63" i="11" s="1"/>
  <c r="CM226" i="2"/>
  <c r="CQ226" i="2" s="1"/>
  <c r="CK226" i="2"/>
  <c r="CN226" i="2" s="1"/>
  <c r="CR226" i="2" s="1"/>
  <c r="CL226" i="2"/>
  <c r="CO226" i="2" s="1"/>
  <c r="CS226" i="2" s="1"/>
  <c r="CP226" i="2"/>
  <c r="CT226" i="2" s="1"/>
  <c r="CM219" i="2"/>
  <c r="CQ219" i="2" s="1"/>
  <c r="CP219" i="2"/>
  <c r="CT219" i="2" s="1"/>
  <c r="CL219" i="2"/>
  <c r="CO219" i="2"/>
  <c r="CS219" i="2" s="1"/>
  <c r="CK219" i="2"/>
  <c r="CN219" i="2" s="1"/>
  <c r="CR219" i="2" s="1"/>
  <c r="BG308" i="2"/>
  <c r="S72" i="11"/>
  <c r="T72" i="11"/>
  <c r="F184" i="2"/>
  <c r="C340" i="2"/>
  <c r="CD277" i="2"/>
  <c r="CE277" i="2"/>
  <c r="CF277" i="2"/>
  <c r="CL267" i="2" l="1"/>
  <c r="CO267" i="2" s="1"/>
  <c r="CS267" i="2" s="1"/>
  <c r="CK267" i="2"/>
  <c r="CM267" i="2" s="1"/>
  <c r="CQ267" i="2" s="1"/>
  <c r="CP267" i="2"/>
  <c r="CT267" i="2" s="1"/>
  <c r="CK222" i="2"/>
  <c r="CM222" i="2" s="1"/>
  <c r="CQ222" i="2" s="1"/>
  <c r="CL222" i="2"/>
  <c r="CO222" i="2" s="1"/>
  <c r="CS222" i="2" s="1"/>
  <c r="CN274" i="2"/>
  <c r="CR274" i="2" s="1"/>
  <c r="CM274" i="2"/>
  <c r="CQ274" i="2" s="1"/>
  <c r="CK274" i="2"/>
  <c r="CL274" i="2"/>
  <c r="CO274" i="2"/>
  <c r="CS274" i="2" s="1"/>
  <c r="CP274" i="2"/>
  <c r="CT274" i="2" s="1"/>
  <c r="CK273" i="2"/>
  <c r="CM273" i="2" s="1"/>
  <c r="CQ273" i="2" s="1"/>
  <c r="CL273" i="2"/>
  <c r="CP273" i="2" s="1"/>
  <c r="CT273" i="2" s="1"/>
  <c r="CO273" i="2"/>
  <c r="CS273" i="2" s="1"/>
  <c r="CP269" i="2"/>
  <c r="CT269" i="2" s="1"/>
  <c r="CU269" i="2" s="1"/>
  <c r="U177" i="2"/>
  <c r="G185" i="2"/>
  <c r="CL221" i="2"/>
  <c r="CO221" i="2" s="1"/>
  <c r="CS221" i="2" s="1"/>
  <c r="CN221" i="2"/>
  <c r="CR221" i="2" s="1"/>
  <c r="CK221" i="2"/>
  <c r="CM221" i="2" s="1"/>
  <c r="CQ221" i="2" s="1"/>
  <c r="CP223" i="2"/>
  <c r="CT223" i="2" s="1"/>
  <c r="CU223" i="2" s="1"/>
  <c r="CN185" i="2"/>
  <c r="CR185" i="2" s="1"/>
  <c r="CU185" i="2" s="1"/>
  <c r="BE183" i="2" s="1"/>
  <c r="CK266" i="2"/>
  <c r="CO266" i="2"/>
  <c r="CS266" i="2" s="1"/>
  <c r="CP266" i="2"/>
  <c r="CT266" i="2" s="1"/>
  <c r="CM266" i="2"/>
  <c r="CQ266" i="2" s="1"/>
  <c r="CL266" i="2"/>
  <c r="CN266" i="2"/>
  <c r="CR266" i="2" s="1"/>
  <c r="R74" i="11"/>
  <c r="K74" i="11"/>
  <c r="L74" i="11" s="1"/>
  <c r="D75" i="11"/>
  <c r="AD75" i="11" s="1"/>
  <c r="E75" i="11"/>
  <c r="B76" i="11"/>
  <c r="C75" i="11"/>
  <c r="F75" i="11"/>
  <c r="N75" i="11"/>
  <c r="J75" i="11"/>
  <c r="W75" i="11"/>
  <c r="V75" i="11"/>
  <c r="X75" i="11"/>
  <c r="AC75" i="11"/>
  <c r="Y75" i="11"/>
  <c r="Z75" i="11"/>
  <c r="AI75" i="11"/>
  <c r="AH75" i="11"/>
  <c r="AF75" i="11"/>
  <c r="CO275" i="2"/>
  <c r="CS275" i="2" s="1"/>
  <c r="CU275" i="2" s="1"/>
  <c r="CO272" i="2"/>
  <c r="CS272" i="2" s="1"/>
  <c r="CM272" i="2"/>
  <c r="CQ272" i="2" s="1"/>
  <c r="CU272" i="2" s="1"/>
  <c r="CO224" i="2"/>
  <c r="CS224" i="2" s="1"/>
  <c r="CN271" i="2"/>
  <c r="CR271" i="2" s="1"/>
  <c r="CU271" i="2" s="1"/>
  <c r="AK283" i="2"/>
  <c r="AJ284" i="2" s="1"/>
  <c r="AK280" i="2"/>
  <c r="AK282" i="2" s="1"/>
  <c r="CP225" i="2"/>
  <c r="CT225" i="2" s="1"/>
  <c r="CU225" i="2" s="1"/>
  <c r="CU226" i="2"/>
  <c r="CK277" i="2"/>
  <c r="CN277" i="2" s="1"/>
  <c r="CR277" i="2" s="1"/>
  <c r="CL277" i="2"/>
  <c r="CP277" i="2" s="1"/>
  <c r="CT277" i="2" s="1"/>
  <c r="CO277" i="2"/>
  <c r="CS277" i="2" s="1"/>
  <c r="CU220" i="2"/>
  <c r="CU217" i="2"/>
  <c r="BE217" i="2" s="1"/>
  <c r="AF74" i="11"/>
  <c r="BH308" i="2"/>
  <c r="BI308" i="2" s="1"/>
  <c r="AI74" i="11"/>
  <c r="CM268" i="2"/>
  <c r="CQ268" i="2" s="1"/>
  <c r="CU268" i="2" s="1"/>
  <c r="BP268" i="2" s="1"/>
  <c r="AC74" i="11"/>
  <c r="AB74" i="11"/>
  <c r="O74" i="11" s="1"/>
  <c r="P74" i="11" s="1"/>
  <c r="H74" i="11"/>
  <c r="G74" i="11"/>
  <c r="AG74" i="11"/>
  <c r="AH74" i="11"/>
  <c r="AB311" i="2"/>
  <c r="AB310" i="2"/>
  <c r="BH312" i="2"/>
  <c r="BI312" i="2" s="1"/>
  <c r="AH277" i="2"/>
  <c r="AH275" i="2"/>
  <c r="AH276" i="2"/>
  <c r="AH274" i="2"/>
  <c r="AB317" i="2" s="1"/>
  <c r="CU270" i="2"/>
  <c r="CK218" i="2"/>
  <c r="CN218" i="2" s="1"/>
  <c r="CR218" i="2" s="1"/>
  <c r="CP218" i="2"/>
  <c r="CT218" i="2" s="1"/>
  <c r="CL218" i="2"/>
  <c r="CO218" i="2" s="1"/>
  <c r="CS218" i="2" s="1"/>
  <c r="AE74" i="11"/>
  <c r="CU322" i="2"/>
  <c r="BE325" i="2" s="1"/>
  <c r="S73" i="11"/>
  <c r="T73" i="11"/>
  <c r="AE182" i="2"/>
  <c r="AE219" i="2" s="1"/>
  <c r="CU224" i="2"/>
  <c r="BH309" i="2"/>
  <c r="BI309" i="2" s="1"/>
  <c r="T177" i="2"/>
  <c r="F185" i="2"/>
  <c r="CU219" i="2"/>
  <c r="BE219" i="2" s="1"/>
  <c r="BF219" i="2" s="1"/>
  <c r="BE315" i="2" l="1"/>
  <c r="BE316" i="2"/>
  <c r="BE185" i="2"/>
  <c r="BE186" i="2"/>
  <c r="BG225" i="2"/>
  <c r="BE184" i="2"/>
  <c r="BF182" i="2"/>
  <c r="BG219" i="2" s="1"/>
  <c r="BG186" i="2"/>
  <c r="BG184" i="2"/>
  <c r="BG185" i="2"/>
  <c r="BG182" i="2"/>
  <c r="BH182" i="2" s="1"/>
  <c r="BG183" i="2"/>
  <c r="AE223" i="2"/>
  <c r="CM218" i="2"/>
  <c r="CQ218" i="2" s="1"/>
  <c r="CU218" i="2" s="1"/>
  <c r="BE218" i="2" s="1"/>
  <c r="BF218" i="2" s="1"/>
  <c r="BF217" i="2"/>
  <c r="AE75" i="11"/>
  <c r="AA75" i="11"/>
  <c r="AB75" i="11"/>
  <c r="K75" i="11"/>
  <c r="L75" i="11" s="1"/>
  <c r="B77" i="11"/>
  <c r="C76" i="11"/>
  <c r="D76" i="11"/>
  <c r="R76" i="11" s="1"/>
  <c r="E76" i="11"/>
  <c r="F76" i="11"/>
  <c r="N76" i="11"/>
  <c r="J76" i="11"/>
  <c r="V76" i="11"/>
  <c r="W76" i="11"/>
  <c r="AC76" i="11"/>
  <c r="X76" i="11"/>
  <c r="Y76" i="11"/>
  <c r="AD76" i="11"/>
  <c r="Z76" i="11"/>
  <c r="AE76" i="11"/>
  <c r="CU266" i="2"/>
  <c r="BP266" i="2" s="1"/>
  <c r="CP221" i="2"/>
  <c r="CT221" i="2" s="1"/>
  <c r="CU221" i="2" s="1"/>
  <c r="CN273" i="2"/>
  <c r="CR273" i="2" s="1"/>
  <c r="CU273" i="2" s="1"/>
  <c r="CP222" i="2"/>
  <c r="CT222" i="2" s="1"/>
  <c r="CN222" i="2"/>
  <c r="CR222" i="2" s="1"/>
  <c r="CU222" i="2" s="1"/>
  <c r="CN267" i="2"/>
  <c r="CR267" i="2" s="1"/>
  <c r="CU267" i="2" s="1"/>
  <c r="BP267" i="2" s="1"/>
  <c r="AB234" i="2"/>
  <c r="AF219" i="2"/>
  <c r="R75" i="11"/>
  <c r="O75" i="11"/>
  <c r="P75" i="11" s="1"/>
  <c r="S74" i="11"/>
  <c r="T74" i="11"/>
  <c r="CU274" i="2"/>
  <c r="G75" i="11"/>
  <c r="H75" i="11" s="1"/>
  <c r="AE317" i="2"/>
  <c r="AF322" i="2" s="1"/>
  <c r="AD314" i="2"/>
  <c r="AN315" i="2" s="1"/>
  <c r="AP315" i="2" s="1"/>
  <c r="AE314" i="2"/>
  <c r="AN316" i="2" s="1"/>
  <c r="AP316" i="2" s="1"/>
  <c r="CM277" i="2"/>
  <c r="CQ277" i="2" s="1"/>
  <c r="CU277" i="2" s="1"/>
  <c r="BP277" i="2" s="1"/>
  <c r="AG75" i="11"/>
  <c r="AK281" i="2"/>
  <c r="F186" i="2"/>
  <c r="AZ316" i="2" l="1"/>
  <c r="AY316" i="2" s="1"/>
  <c r="AD320" i="2" s="1"/>
  <c r="AD321" i="2" s="1"/>
  <c r="AR316" i="2"/>
  <c r="AF76" i="11"/>
  <c r="S76" i="11" s="1"/>
  <c r="T76" i="11" s="1"/>
  <c r="AB76" i="11"/>
  <c r="G76" i="11"/>
  <c r="H76" i="11" s="1"/>
  <c r="D77" i="11"/>
  <c r="B78" i="11"/>
  <c r="C77" i="11"/>
  <c r="E77" i="11"/>
  <c r="F77" i="11"/>
  <c r="N77" i="11"/>
  <c r="J77" i="11"/>
  <c r="V77" i="11"/>
  <c r="W77" i="11"/>
  <c r="R77" i="11"/>
  <c r="AA77" i="11"/>
  <c r="AD77" i="11"/>
  <c r="Z77" i="11"/>
  <c r="X77" i="11"/>
  <c r="AC77" i="11"/>
  <c r="AB77" i="11"/>
  <c r="Y77" i="11"/>
  <c r="AE77" i="11"/>
  <c r="AG77" i="11"/>
  <c r="AI77" i="11"/>
  <c r="AF77" i="11"/>
  <c r="AH77" i="11"/>
  <c r="BF229" i="2"/>
  <c r="BJ223" i="2"/>
  <c r="AZ315" i="2"/>
  <c r="AY315" i="2" s="1"/>
  <c r="AC320" i="2" s="1"/>
  <c r="AC321" i="2" s="1"/>
  <c r="AR315" i="2"/>
  <c r="BB315" i="2"/>
  <c r="AI76" i="11"/>
  <c r="BF228" i="2"/>
  <c r="BF230" i="2" s="1"/>
  <c r="S75" i="11"/>
  <c r="T75" i="11"/>
  <c r="BG223" i="2"/>
  <c r="BH219" i="2"/>
  <c r="BI219" i="2" s="1"/>
  <c r="BP276" i="2"/>
  <c r="BP279" i="2" s="1"/>
  <c r="BP278" i="2"/>
  <c r="K76" i="11"/>
  <c r="L76" i="11" s="1"/>
  <c r="BJ282" i="2"/>
  <c r="BJ279" i="2"/>
  <c r="BJ280" i="2"/>
  <c r="BJ281" i="2"/>
  <c r="AH76" i="11"/>
  <c r="AG76" i="11"/>
  <c r="AA76" i="11"/>
  <c r="O76" i="11" s="1"/>
  <c r="P76" i="11" s="1"/>
  <c r="BF227" i="2"/>
  <c r="AE225" i="2"/>
  <c r="AE226" i="2" s="1"/>
  <c r="AC233" i="2" s="1"/>
  <c r="AF223" i="2"/>
  <c r="AF225" i="2" s="1"/>
  <c r="AF226" i="2" s="1"/>
  <c r="S77" i="11" l="1"/>
  <c r="T77" i="11" s="1"/>
  <c r="O77" i="11"/>
  <c r="P77" i="11" s="1"/>
  <c r="C78" i="11"/>
  <c r="Z78" i="11" s="1"/>
  <c r="D78" i="11"/>
  <c r="E78" i="11"/>
  <c r="B79" i="11"/>
  <c r="F78" i="11"/>
  <c r="N78" i="11"/>
  <c r="J78" i="11"/>
  <c r="V78" i="11"/>
  <c r="W78" i="11"/>
  <c r="AB78" i="11"/>
  <c r="AA78" i="11"/>
  <c r="AC78" i="11"/>
  <c r="Y78" i="11"/>
  <c r="AI78" i="11"/>
  <c r="AE78" i="11"/>
  <c r="AF78" i="11"/>
  <c r="AG78" i="11"/>
  <c r="AH78" i="11"/>
  <c r="AB321" i="2"/>
  <c r="BC315" i="2"/>
  <c r="BA315" i="2" s="1"/>
  <c r="G77" i="11"/>
  <c r="H77" i="11" s="1"/>
  <c r="BB316" i="2"/>
  <c r="BF232" i="2"/>
  <c r="BF231" i="2"/>
  <c r="AT315" i="2"/>
  <c r="AW315" i="2" s="1"/>
  <c r="AU315" i="2"/>
  <c r="AX315" i="2" s="1"/>
  <c r="AS315" i="2"/>
  <c r="AV315" i="2" s="1"/>
  <c r="BC316" i="2"/>
  <c r="BK280" i="2"/>
  <c r="BK281" i="2"/>
  <c r="BK282" i="2"/>
  <c r="BK278" i="2"/>
  <c r="BE322" i="2" s="1"/>
  <c r="BK279" i="2"/>
  <c r="BP280" i="2"/>
  <c r="BP282" i="2" s="1"/>
  <c r="BP283" i="2"/>
  <c r="BO284" i="2" s="1"/>
  <c r="BI223" i="2"/>
  <c r="BI225" i="2" s="1"/>
  <c r="BI226" i="2" s="1"/>
  <c r="BH223" i="2"/>
  <c r="BH225" i="2" s="1"/>
  <c r="BH226" i="2" s="1"/>
  <c r="K77" i="11"/>
  <c r="L77" i="11"/>
  <c r="AT316" i="2"/>
  <c r="AW316" i="2" s="1"/>
  <c r="AS316" i="2"/>
  <c r="AV316" i="2" s="1"/>
  <c r="AU316" i="2"/>
  <c r="AX316" i="2" s="1"/>
  <c r="R78" i="11" l="1"/>
  <c r="G78" i="11"/>
  <c r="H78" i="11" s="1"/>
  <c r="BG319" i="2"/>
  <c r="BH322" i="2"/>
  <c r="BI327" i="2" s="1"/>
  <c r="BE234" i="2"/>
  <c r="X78" i="11"/>
  <c r="D79" i="11"/>
  <c r="E79" i="11"/>
  <c r="C79" i="11"/>
  <c r="B80" i="11"/>
  <c r="F79" i="11"/>
  <c r="N79" i="11"/>
  <c r="J79" i="11"/>
  <c r="V79" i="11"/>
  <c r="W79" i="11"/>
  <c r="R79" i="11"/>
  <c r="AB79" i="11"/>
  <c r="X79" i="11"/>
  <c r="AC79" i="11"/>
  <c r="Z79" i="11"/>
  <c r="Y79" i="11"/>
  <c r="AA79" i="11"/>
  <c r="AD79" i="11"/>
  <c r="AH79" i="11"/>
  <c r="AG79" i="11"/>
  <c r="AE79" i="11"/>
  <c r="AF79" i="11"/>
  <c r="AI79" i="11"/>
  <c r="BF233" i="2"/>
  <c r="BA316" i="2"/>
  <c r="AD78" i="11"/>
  <c r="O78" i="11" s="1"/>
  <c r="P78" i="11" s="1"/>
  <c r="K78" i="11"/>
  <c r="L78" i="11" s="1"/>
  <c r="BP281" i="2"/>
  <c r="K79" i="11" l="1"/>
  <c r="L79" i="11" s="1"/>
  <c r="S79" i="11"/>
  <c r="T79" i="11" s="1"/>
  <c r="O79" i="11"/>
  <c r="P79" i="11" s="1"/>
  <c r="G79" i="11"/>
  <c r="H79" i="11" s="1"/>
  <c r="BH319" i="2"/>
  <c r="BU324" i="2" s="1"/>
  <c r="BU323" i="2"/>
  <c r="B81" i="11"/>
  <c r="C80" i="11"/>
  <c r="D80" i="11"/>
  <c r="R80" i="11" s="1"/>
  <c r="E80" i="11"/>
  <c r="F80" i="11"/>
  <c r="N80" i="11"/>
  <c r="J80" i="11"/>
  <c r="W80" i="11"/>
  <c r="V80" i="11"/>
  <c r="AC80" i="11"/>
  <c r="Y80" i="11"/>
  <c r="AA80" i="11"/>
  <c r="AD80" i="11"/>
  <c r="X80" i="11"/>
  <c r="AB80" i="11"/>
  <c r="Z80" i="11"/>
  <c r="AI80" i="11"/>
  <c r="AG80" i="11"/>
  <c r="AF80" i="11"/>
  <c r="AE80" i="11"/>
  <c r="AH80" i="11"/>
  <c r="S78" i="11"/>
  <c r="T78" i="11" s="1"/>
  <c r="S80" i="11" l="1"/>
  <c r="T80" i="11" s="1"/>
  <c r="O80" i="11"/>
  <c r="P80" i="11" s="1"/>
  <c r="G80" i="11"/>
  <c r="H80" i="11" s="1"/>
  <c r="D81" i="11"/>
  <c r="AA81" i="11" s="1"/>
  <c r="B82" i="11"/>
  <c r="C81" i="11"/>
  <c r="E81" i="11"/>
  <c r="F81" i="11"/>
  <c r="N81" i="11"/>
  <c r="J81" i="11"/>
  <c r="V81" i="11"/>
  <c r="W81" i="11"/>
  <c r="AD81" i="11"/>
  <c r="Y81" i="11"/>
  <c r="Z81" i="11"/>
  <c r="X81" i="11"/>
  <c r="AB81" i="11"/>
  <c r="AC81" i="11"/>
  <c r="AI81" i="11"/>
  <c r="AF81" i="11"/>
  <c r="AG81" i="11"/>
  <c r="AH81" i="11"/>
  <c r="AE81" i="11"/>
  <c r="BX323" i="2"/>
  <c r="BW323" i="2"/>
  <c r="K80" i="11"/>
  <c r="L80" i="11" s="1"/>
  <c r="BX324" i="2"/>
  <c r="BW324" i="2"/>
  <c r="R81" i="11" l="1"/>
  <c r="O81" i="11"/>
  <c r="P81" i="11" s="1"/>
  <c r="C82" i="11"/>
  <c r="B83" i="11"/>
  <c r="D82" i="11"/>
  <c r="R82" i="11" s="1"/>
  <c r="E82" i="11"/>
  <c r="F82" i="11"/>
  <c r="N82" i="11"/>
  <c r="J82" i="11"/>
  <c r="W82" i="11"/>
  <c r="V82" i="11"/>
  <c r="Z82" i="11"/>
  <c r="AB82" i="11"/>
  <c r="Y82" i="11"/>
  <c r="X82" i="11"/>
  <c r="AC82" i="11"/>
  <c r="AA82" i="11"/>
  <c r="AD82" i="11"/>
  <c r="AF82" i="11"/>
  <c r="AG82" i="11"/>
  <c r="AH82" i="11"/>
  <c r="AE82" i="11"/>
  <c r="AI82" i="11"/>
  <c r="G81" i="11"/>
  <c r="H81" i="11" s="1"/>
  <c r="BY324" i="2"/>
  <c r="CB324" i="2" s="1"/>
  <c r="BZ324" i="2"/>
  <c r="BY323" i="2"/>
  <c r="CB323" i="2" s="1"/>
  <c r="BZ323" i="2"/>
  <c r="K81" i="11"/>
  <c r="L81" i="11" s="1"/>
  <c r="S82" i="11" l="1"/>
  <c r="T82" i="11" s="1"/>
  <c r="G82" i="11"/>
  <c r="H82" i="11" s="1"/>
  <c r="CA323" i="2"/>
  <c r="CC323" i="2"/>
  <c r="CH323" i="2"/>
  <c r="K82" i="11"/>
  <c r="L82" i="11" s="1"/>
  <c r="CE323" i="2"/>
  <c r="CF323" i="2"/>
  <c r="CD323" i="2"/>
  <c r="CC324" i="2"/>
  <c r="CF324" i="2" s="1"/>
  <c r="CA324" i="2"/>
  <c r="CG324" i="2"/>
  <c r="CH324" i="2"/>
  <c r="O82" i="11"/>
  <c r="P82" i="11" s="1"/>
  <c r="D83" i="11"/>
  <c r="AB83" i="11" s="1"/>
  <c r="E83" i="11"/>
  <c r="AF83" i="11" s="1"/>
  <c r="B84" i="11"/>
  <c r="C83" i="11"/>
  <c r="F83" i="11"/>
  <c r="N83" i="11"/>
  <c r="J83" i="11"/>
  <c r="V83" i="11"/>
  <c r="W83" i="11"/>
  <c r="R83" i="11"/>
  <c r="Z83" i="11"/>
  <c r="AC83" i="11"/>
  <c r="Y83" i="11"/>
  <c r="X83" i="11"/>
  <c r="AD83" i="11"/>
  <c r="AH83" i="11"/>
  <c r="AI83" i="11"/>
  <c r="AE83" i="11"/>
  <c r="AG83" i="11"/>
  <c r="S81" i="11"/>
  <c r="T81" i="11" s="1"/>
  <c r="S83" i="11" l="1"/>
  <c r="T83" i="11" s="1"/>
  <c r="O83" i="11"/>
  <c r="P83" i="11" s="1"/>
  <c r="CI323" i="2"/>
  <c r="CJ323" i="2" s="1"/>
  <c r="CE324" i="2"/>
  <c r="G83" i="11"/>
  <c r="H83" i="11" s="1"/>
  <c r="CD324" i="2"/>
  <c r="AA83" i="11"/>
  <c r="CI324" i="2"/>
  <c r="CJ324" i="2" s="1"/>
  <c r="K83" i="11"/>
  <c r="L83" i="11" s="1"/>
  <c r="B85" i="11"/>
  <c r="C84" i="11"/>
  <c r="X84" i="11" s="1"/>
  <c r="D84" i="11"/>
  <c r="E84" i="11"/>
  <c r="F84" i="11"/>
  <c r="J84" i="11"/>
  <c r="N84" i="11"/>
  <c r="V84" i="11"/>
  <c r="W84" i="11"/>
  <c r="R84" i="11"/>
  <c r="Y84" i="11"/>
  <c r="AI84" i="11"/>
  <c r="AG84" i="11"/>
  <c r="CG323" i="2"/>
  <c r="AE84" i="11" l="1"/>
  <c r="AA84" i="11"/>
  <c r="O84" i="11" s="1"/>
  <c r="P84" i="11" s="1"/>
  <c r="AC84" i="11"/>
  <c r="AH84" i="11"/>
  <c r="Z84" i="11"/>
  <c r="K84" i="11" s="1"/>
  <c r="L84" i="11" s="1"/>
  <c r="AB84" i="11"/>
  <c r="G84" i="11"/>
  <c r="H84" i="11" s="1"/>
  <c r="D85" i="11"/>
  <c r="B86" i="11"/>
  <c r="C85" i="11"/>
  <c r="E85" i="11"/>
  <c r="F85" i="11"/>
  <c r="J85" i="11"/>
  <c r="N85" i="11"/>
  <c r="W85" i="11"/>
  <c r="V85" i="11"/>
  <c r="R85" i="11"/>
  <c r="Y85" i="11"/>
  <c r="AA85" i="11"/>
  <c r="AD85" i="11"/>
  <c r="AC85" i="11"/>
  <c r="AB85" i="11"/>
  <c r="Z85" i="11"/>
  <c r="X85" i="11"/>
  <c r="AF85" i="11"/>
  <c r="AG85" i="11"/>
  <c r="AH85" i="11"/>
  <c r="AI85" i="11"/>
  <c r="AE85" i="11"/>
  <c r="CL324" i="2"/>
  <c r="CK324" i="2"/>
  <c r="CN324" i="2" s="1"/>
  <c r="CR324" i="2" s="1"/>
  <c r="CO324" i="2"/>
  <c r="CS324" i="2" s="1"/>
  <c r="CP324" i="2"/>
  <c r="CT324" i="2" s="1"/>
  <c r="AF84" i="11"/>
  <c r="S84" i="11" s="1"/>
  <c r="T84" i="11" s="1"/>
  <c r="AD84" i="11"/>
  <c r="CM323" i="2"/>
  <c r="CQ323" i="2" s="1"/>
  <c r="CK323" i="2"/>
  <c r="CN323" i="2" s="1"/>
  <c r="CR323" i="2" s="1"/>
  <c r="CL323" i="2"/>
  <c r="CP323" i="2" s="1"/>
  <c r="CT323" i="2" s="1"/>
  <c r="S85" i="11" l="1"/>
  <c r="T85" i="11" s="1"/>
  <c r="K85" i="11"/>
  <c r="L85" i="11" s="1"/>
  <c r="C86" i="11"/>
  <c r="D86" i="11"/>
  <c r="E86" i="11"/>
  <c r="R86" i="11" s="1"/>
  <c r="B87" i="11"/>
  <c r="F86" i="11"/>
  <c r="N86" i="11"/>
  <c r="J86" i="11"/>
  <c r="V86" i="11"/>
  <c r="W86" i="11"/>
  <c r="Y86" i="11"/>
  <c r="AA86" i="11"/>
  <c r="AD86" i="11"/>
  <c r="AB86" i="11"/>
  <c r="AC86" i="11"/>
  <c r="Z86" i="11"/>
  <c r="X86" i="11"/>
  <c r="AF86" i="11"/>
  <c r="AG86" i="11"/>
  <c r="AH86" i="11"/>
  <c r="AE86" i="11"/>
  <c r="AI86" i="11"/>
  <c r="G85" i="11"/>
  <c r="H85" i="11" s="1"/>
  <c r="CO323" i="2"/>
  <c r="CS323" i="2" s="1"/>
  <c r="CM324" i="2"/>
  <c r="CQ324" i="2" s="1"/>
  <c r="CU324" i="2" s="1"/>
  <c r="BG325" i="2" s="1"/>
  <c r="BG326" i="2" s="1"/>
  <c r="BE326" i="2" s="1"/>
  <c r="CU323" i="2"/>
  <c r="BF325" i="2" s="1"/>
  <c r="BF326" i="2" s="1"/>
  <c r="O85" i="11"/>
  <c r="P85" i="11" s="1"/>
  <c r="S86" i="11" l="1"/>
  <c r="T86" i="11" s="1"/>
  <c r="D87" i="11"/>
  <c r="E87" i="11"/>
  <c r="C87" i="11"/>
  <c r="B88" i="11"/>
  <c r="F87" i="11"/>
  <c r="J87" i="11"/>
  <c r="N87" i="11"/>
  <c r="V87" i="11"/>
  <c r="W87" i="11"/>
  <c r="R87" i="11"/>
  <c r="AB87" i="11"/>
  <c r="Y87" i="11"/>
  <c r="AC87" i="11"/>
  <c r="Z87" i="11"/>
  <c r="AA87" i="11"/>
  <c r="AD87" i="11"/>
  <c r="X87" i="11"/>
  <c r="AF87" i="11"/>
  <c r="AE87" i="11"/>
  <c r="AH87" i="11"/>
  <c r="AI87" i="11"/>
  <c r="AG87" i="11"/>
  <c r="K86" i="11"/>
  <c r="L86" i="11" s="1"/>
  <c r="O86" i="11"/>
  <c r="P86" i="11" s="1"/>
  <c r="G86" i="11"/>
  <c r="H86" i="11" s="1"/>
  <c r="S87" i="11" l="1"/>
  <c r="T87" i="11" s="1"/>
  <c r="K87" i="11"/>
  <c r="L87" i="11" s="1"/>
  <c r="G87" i="11"/>
  <c r="H87" i="11" s="1"/>
  <c r="B89" i="11"/>
  <c r="C88" i="11"/>
  <c r="D88" i="11"/>
  <c r="E88" i="11"/>
  <c r="F88" i="11"/>
  <c r="J88" i="11"/>
  <c r="N88" i="11"/>
  <c r="W88" i="11"/>
  <c r="V88" i="11"/>
  <c r="R88" i="11"/>
  <c r="AC88" i="11"/>
  <c r="Z88" i="11"/>
  <c r="AA88" i="11"/>
  <c r="AD88" i="11"/>
  <c r="X88" i="11"/>
  <c r="Y88" i="11"/>
  <c r="AB88" i="11"/>
  <c r="AF88" i="11"/>
  <c r="AE88" i="11"/>
  <c r="AH88" i="11"/>
  <c r="AG88" i="11"/>
  <c r="AI88" i="11"/>
  <c r="O87" i="11"/>
  <c r="P87" i="11" s="1"/>
  <c r="S88" i="11" l="1"/>
  <c r="T88" i="11" s="1"/>
  <c r="K88" i="11"/>
  <c r="L88" i="11" s="1"/>
  <c r="G88" i="11"/>
  <c r="H88" i="11" s="1"/>
  <c r="D89" i="11"/>
  <c r="AA89" i="11" s="1"/>
  <c r="B90" i="11"/>
  <c r="C89" i="11"/>
  <c r="E89" i="11"/>
  <c r="F89" i="11"/>
  <c r="N89" i="11"/>
  <c r="J89" i="11"/>
  <c r="V89" i="11"/>
  <c r="W89" i="11"/>
  <c r="R89" i="11"/>
  <c r="AD89" i="11"/>
  <c r="X89" i="11"/>
  <c r="AC89" i="11"/>
  <c r="Z89" i="11"/>
  <c r="AB89" i="11"/>
  <c r="Y89" i="11"/>
  <c r="AG89" i="11"/>
  <c r="AH89" i="11"/>
  <c r="AE89" i="11"/>
  <c r="AI89" i="11"/>
  <c r="AF89" i="11"/>
  <c r="O88" i="11"/>
  <c r="P88" i="11"/>
  <c r="S89" i="11" l="1"/>
  <c r="T89" i="11" s="1"/>
  <c r="O89" i="11"/>
  <c r="P89" i="11" s="1"/>
  <c r="C90" i="11"/>
  <c r="B91" i="11"/>
  <c r="D90" i="11"/>
  <c r="R90" i="11" s="1"/>
  <c r="E90" i="11"/>
  <c r="F90" i="11"/>
  <c r="J90" i="11"/>
  <c r="N90" i="11"/>
  <c r="V90" i="11"/>
  <c r="W90" i="11"/>
  <c r="X90" i="11"/>
  <c r="Z90" i="11"/>
  <c r="AD90" i="11"/>
  <c r="AC90" i="11"/>
  <c r="Y90" i="11"/>
  <c r="AE90" i="11"/>
  <c r="AH90" i="11"/>
  <c r="AI90" i="11"/>
  <c r="AG90" i="11"/>
  <c r="AF90" i="11"/>
  <c r="G89" i="11"/>
  <c r="H89" i="11" s="1"/>
  <c r="K89" i="11"/>
  <c r="L89" i="11"/>
  <c r="S90" i="11" l="1"/>
  <c r="T90" i="11" s="1"/>
  <c r="AB90" i="11"/>
  <c r="O90" i="11"/>
  <c r="P90" i="11" s="1"/>
  <c r="AA90" i="11"/>
  <c r="K90" i="11"/>
  <c r="L90" i="11" s="1"/>
  <c r="D91" i="11"/>
  <c r="E91" i="11"/>
  <c r="B92" i="11"/>
  <c r="C91" i="11"/>
  <c r="AC91" i="11" s="1"/>
  <c r="F91" i="11"/>
  <c r="N91" i="11"/>
  <c r="J91" i="11"/>
  <c r="W91" i="11"/>
  <c r="V91" i="11"/>
  <c r="AB91" i="11"/>
  <c r="Y91" i="11"/>
  <c r="X91" i="11"/>
  <c r="AA91" i="11"/>
  <c r="AD91" i="11"/>
  <c r="AI91" i="11"/>
  <c r="AE91" i="11"/>
  <c r="AG91" i="11"/>
  <c r="AH91" i="11"/>
  <c r="AF91" i="11"/>
  <c r="G90" i="11"/>
  <c r="H90" i="11" s="1"/>
  <c r="B93" i="11" l="1"/>
  <c r="C92" i="11"/>
  <c r="D92" i="11"/>
  <c r="E92" i="11"/>
  <c r="F92" i="11"/>
  <c r="N92" i="11"/>
  <c r="J92" i="11"/>
  <c r="V92" i="11"/>
  <c r="W92" i="11"/>
  <c r="R92" i="11"/>
  <c r="AC92" i="11"/>
  <c r="Z92" i="11"/>
  <c r="Y92" i="11"/>
  <c r="AA92" i="11"/>
  <c r="AD92" i="11"/>
  <c r="AB92" i="11"/>
  <c r="X92" i="11"/>
  <c r="AG92" i="11"/>
  <c r="AH92" i="11"/>
  <c r="AI92" i="11"/>
  <c r="AF92" i="11"/>
  <c r="AE92" i="11"/>
  <c r="R91" i="11"/>
  <c r="O91" i="11"/>
  <c r="P91" i="11" s="1"/>
  <c r="Z91" i="11"/>
  <c r="K91" i="11" s="1"/>
  <c r="L91" i="11" s="1"/>
  <c r="G91" i="11"/>
  <c r="H91" i="11" s="1"/>
  <c r="S92" i="11" l="1"/>
  <c r="T92" i="11" s="1"/>
  <c r="O92" i="11"/>
  <c r="P92" i="11" s="1"/>
  <c r="G92" i="11"/>
  <c r="H92" i="11" s="1"/>
  <c r="D93" i="11"/>
  <c r="AA93" i="11" s="1"/>
  <c r="B94" i="11"/>
  <c r="C93" i="11"/>
  <c r="E93" i="11"/>
  <c r="F93" i="11"/>
  <c r="N93" i="11"/>
  <c r="J93" i="11"/>
  <c r="V93" i="11"/>
  <c r="W93" i="11"/>
  <c r="AD93" i="11"/>
  <c r="Z93" i="11"/>
  <c r="X93" i="11"/>
  <c r="Y93" i="11"/>
  <c r="AC93" i="11"/>
  <c r="AE93" i="11"/>
  <c r="AI93" i="11"/>
  <c r="AH93" i="11"/>
  <c r="AG93" i="11"/>
  <c r="AF93" i="11"/>
  <c r="S91" i="11"/>
  <c r="T91" i="11"/>
  <c r="K92" i="11"/>
  <c r="L92" i="11" s="1"/>
  <c r="R93" i="11" l="1"/>
  <c r="C94" i="11"/>
  <c r="D94" i="11"/>
  <c r="E94" i="11"/>
  <c r="R94" i="11" s="1"/>
  <c r="B95" i="11"/>
  <c r="F94" i="11"/>
  <c r="N94" i="11"/>
  <c r="J94" i="11"/>
  <c r="V94" i="11"/>
  <c r="W94" i="11"/>
  <c r="Z94" i="11"/>
  <c r="X94" i="11"/>
  <c r="AB94" i="11"/>
  <c r="AC94" i="11"/>
  <c r="Y94" i="11"/>
  <c r="AA94" i="11"/>
  <c r="AD94" i="11"/>
  <c r="AI94" i="11"/>
  <c r="AF94" i="11"/>
  <c r="AG94" i="11"/>
  <c r="AH94" i="11"/>
  <c r="AE94" i="11"/>
  <c r="G93" i="11"/>
  <c r="H93" i="11"/>
  <c r="AB93" i="11"/>
  <c r="O93" i="11" s="1"/>
  <c r="P93" i="11" s="1"/>
  <c r="K93" i="11"/>
  <c r="L93" i="11"/>
  <c r="S94" i="11" l="1"/>
  <c r="T94" i="11" s="1"/>
  <c r="G94" i="11"/>
  <c r="H94" i="11" s="1"/>
  <c r="K94" i="11"/>
  <c r="L94" i="11" s="1"/>
  <c r="D95" i="11"/>
  <c r="E95" i="11"/>
  <c r="C95" i="11"/>
  <c r="B96" i="11"/>
  <c r="F95" i="11"/>
  <c r="N95" i="11"/>
  <c r="J95" i="11"/>
  <c r="V95" i="11"/>
  <c r="W95" i="11"/>
  <c r="R95" i="11"/>
  <c r="AB95" i="11"/>
  <c r="X95" i="11"/>
  <c r="AC95" i="11"/>
  <c r="Z95" i="11"/>
  <c r="Y95" i="11"/>
  <c r="AA95" i="11"/>
  <c r="AD95" i="11"/>
  <c r="AH95" i="11"/>
  <c r="AG95" i="11"/>
  <c r="AF95" i="11"/>
  <c r="AI95" i="11"/>
  <c r="AE95" i="11"/>
  <c r="O94" i="11"/>
  <c r="P94" i="11" s="1"/>
  <c r="S93" i="11"/>
  <c r="T93" i="11" s="1"/>
  <c r="S95" i="11" l="1"/>
  <c r="T95" i="11" s="1"/>
  <c r="O95" i="11"/>
  <c r="P95" i="11" s="1"/>
  <c r="G95" i="11"/>
  <c r="H95" i="11" s="1"/>
  <c r="B97" i="11"/>
  <c r="C96" i="11"/>
  <c r="D96" i="11"/>
  <c r="E96" i="11"/>
  <c r="F96" i="11"/>
  <c r="N96" i="11"/>
  <c r="J96" i="11"/>
  <c r="W96" i="11"/>
  <c r="V96" i="11"/>
  <c r="R96" i="11"/>
  <c r="AC96" i="11"/>
  <c r="Y96" i="11"/>
  <c r="X96" i="11"/>
  <c r="AB96" i="11"/>
  <c r="AA96" i="11"/>
  <c r="AD96" i="11"/>
  <c r="Z96" i="11"/>
  <c r="AI96" i="11"/>
  <c r="AG96" i="11"/>
  <c r="AF96" i="11"/>
  <c r="AE96" i="11"/>
  <c r="AH96" i="11"/>
  <c r="K95" i="11"/>
  <c r="L95" i="11"/>
  <c r="S96" i="11" l="1"/>
  <c r="T96" i="11" s="1"/>
  <c r="O96" i="11"/>
  <c r="P96" i="11" s="1"/>
  <c r="G96" i="11"/>
  <c r="H96" i="11" s="1"/>
  <c r="D97" i="11"/>
  <c r="AA97" i="11" s="1"/>
  <c r="B98" i="11"/>
  <c r="C97" i="11"/>
  <c r="E97" i="11"/>
  <c r="F97" i="11"/>
  <c r="N97" i="11"/>
  <c r="J97" i="11"/>
  <c r="V97" i="11"/>
  <c r="W97" i="11"/>
  <c r="Z97" i="11"/>
  <c r="X97" i="11"/>
  <c r="Y97" i="11"/>
  <c r="AC97" i="11"/>
  <c r="AB97" i="11"/>
  <c r="AI97" i="11"/>
  <c r="AE97" i="11"/>
  <c r="AF97" i="11"/>
  <c r="AG97" i="11"/>
  <c r="AH97" i="11"/>
  <c r="K96" i="11"/>
  <c r="L96" i="11"/>
  <c r="R97" i="11" l="1"/>
  <c r="C98" i="11"/>
  <c r="B99" i="11"/>
  <c r="D98" i="11"/>
  <c r="R98" i="11" s="1"/>
  <c r="E98" i="11"/>
  <c r="F98" i="11"/>
  <c r="N98" i="11"/>
  <c r="J98" i="11"/>
  <c r="W98" i="11"/>
  <c r="V98" i="11"/>
  <c r="AA98" i="11"/>
  <c r="AD98" i="11"/>
  <c r="AB98" i="11"/>
  <c r="Y98" i="11"/>
  <c r="Z98" i="11"/>
  <c r="X98" i="11"/>
  <c r="AC98" i="11"/>
  <c r="AG98" i="11"/>
  <c r="AH98" i="11"/>
  <c r="AF98" i="11"/>
  <c r="AE98" i="11"/>
  <c r="AI98" i="11"/>
  <c r="G97" i="11"/>
  <c r="H97" i="11" s="1"/>
  <c r="AD97" i="11"/>
  <c r="O97" i="11" s="1"/>
  <c r="P97" i="11" s="1"/>
  <c r="K97" i="11"/>
  <c r="L97" i="11"/>
  <c r="S98" i="11" l="1"/>
  <c r="T98" i="11" s="1"/>
  <c r="G98" i="11"/>
  <c r="H98" i="11" s="1"/>
  <c r="K98" i="11"/>
  <c r="L98" i="11" s="1"/>
  <c r="O98" i="11"/>
  <c r="P98" i="11" s="1"/>
  <c r="D99" i="11"/>
  <c r="E99" i="11"/>
  <c r="B100" i="11"/>
  <c r="C99" i="11"/>
  <c r="R99" i="11" s="1"/>
  <c r="F99" i="11"/>
  <c r="N99" i="11"/>
  <c r="J99" i="11"/>
  <c r="V99" i="11"/>
  <c r="W99" i="11"/>
  <c r="AB99" i="11"/>
  <c r="Z99" i="11"/>
  <c r="AC99" i="11"/>
  <c r="X99" i="11"/>
  <c r="AA99" i="11"/>
  <c r="AD99" i="11"/>
  <c r="AH99" i="11"/>
  <c r="AF99" i="11"/>
  <c r="AI99" i="11"/>
  <c r="AE99" i="11"/>
  <c r="AG99" i="11"/>
  <c r="S97" i="11"/>
  <c r="T97" i="11" s="1"/>
  <c r="S99" i="11" l="1"/>
  <c r="T99" i="11" s="1"/>
  <c r="B101" i="11"/>
  <c r="C100" i="11"/>
  <c r="D100" i="11"/>
  <c r="AA100" i="11" s="1"/>
  <c r="E100" i="11"/>
  <c r="F100" i="11"/>
  <c r="J100" i="11"/>
  <c r="N100" i="11"/>
  <c r="V100" i="11"/>
  <c r="W100" i="11"/>
  <c r="AC100" i="11"/>
  <c r="X100" i="11"/>
  <c r="Z100" i="11"/>
  <c r="Y100" i="11"/>
  <c r="AI100" i="11"/>
  <c r="AH100" i="11"/>
  <c r="AF100" i="11"/>
  <c r="AE100" i="11"/>
  <c r="AG100" i="11"/>
  <c r="Y99" i="11"/>
  <c r="K99" i="11" s="1"/>
  <c r="L99" i="11" s="1"/>
  <c r="O99" i="11"/>
  <c r="P99" i="11" s="1"/>
  <c r="G99" i="11"/>
  <c r="H99" i="11"/>
  <c r="AD100" i="11" l="1"/>
  <c r="R100" i="11"/>
  <c r="K100" i="11"/>
  <c r="L100" i="11"/>
  <c r="AB100" i="11"/>
  <c r="O100" i="11" s="1"/>
  <c r="P100" i="11" s="1"/>
  <c r="G100" i="11"/>
  <c r="H100" i="11" s="1"/>
  <c r="D101" i="11"/>
  <c r="AA101" i="11" s="1"/>
  <c r="B102" i="11"/>
  <c r="C101" i="11"/>
  <c r="E101" i="11"/>
  <c r="F101" i="11"/>
  <c r="J101" i="11"/>
  <c r="N101" i="11"/>
  <c r="W101" i="11"/>
  <c r="V101" i="11"/>
  <c r="Y101" i="11"/>
  <c r="AD101" i="11"/>
  <c r="Z101" i="11"/>
  <c r="X101" i="11"/>
  <c r="AE101" i="11"/>
  <c r="AG101" i="11" l="1"/>
  <c r="AB101" i="11"/>
  <c r="O101" i="11"/>
  <c r="P101" i="11" s="1"/>
  <c r="S100" i="11"/>
  <c r="T100" i="11"/>
  <c r="AI101" i="11"/>
  <c r="AF101" i="11"/>
  <c r="AC101" i="11"/>
  <c r="R101" i="11"/>
  <c r="K101" i="11"/>
  <c r="L101" i="11" s="1"/>
  <c r="C102" i="11"/>
  <c r="D102" i="11"/>
  <c r="E102" i="11"/>
  <c r="AE102" i="11" s="1"/>
  <c r="B103" i="11"/>
  <c r="F102" i="11"/>
  <c r="N102" i="11"/>
  <c r="J102" i="11"/>
  <c r="V102" i="11"/>
  <c r="W102" i="11"/>
  <c r="Y102" i="11"/>
  <c r="AD102" i="11"/>
  <c r="AB102" i="11"/>
  <c r="AA102" i="11"/>
  <c r="AC102" i="11"/>
  <c r="Z102" i="11"/>
  <c r="X102" i="11"/>
  <c r="AG102" i="11"/>
  <c r="G101" i="11"/>
  <c r="H101" i="11" s="1"/>
  <c r="AH101" i="11"/>
  <c r="AI102" i="11" l="1"/>
  <c r="AH102" i="11"/>
  <c r="D103" i="11"/>
  <c r="AB103" i="11" s="1"/>
  <c r="E103" i="11"/>
  <c r="C103" i="11"/>
  <c r="B104" i="11"/>
  <c r="F103" i="11"/>
  <c r="J103" i="11"/>
  <c r="N103" i="11"/>
  <c r="V103" i="11"/>
  <c r="W103" i="11"/>
  <c r="R103" i="11"/>
  <c r="Y103" i="11"/>
  <c r="AC103" i="11"/>
  <c r="Z103" i="11"/>
  <c r="AA103" i="11"/>
  <c r="AD103" i="11"/>
  <c r="X103" i="11"/>
  <c r="AF103" i="11"/>
  <c r="AI103" i="11"/>
  <c r="AE103" i="11"/>
  <c r="AG103" i="11"/>
  <c r="AH103" i="11"/>
  <c r="AF102" i="11"/>
  <c r="R102" i="11"/>
  <c r="O102" i="11"/>
  <c r="P102" i="11" s="1"/>
  <c r="S101" i="11"/>
  <c r="T101" i="11"/>
  <c r="K102" i="11"/>
  <c r="L102" i="11" s="1"/>
  <c r="G102" i="11"/>
  <c r="H102" i="11" s="1"/>
  <c r="S103" i="11" l="1"/>
  <c r="T103" i="11" s="1"/>
  <c r="K103" i="11"/>
  <c r="L103" i="11" s="1"/>
  <c r="G103" i="11"/>
  <c r="H103" i="11" s="1"/>
  <c r="S102" i="11"/>
  <c r="T102" i="11" s="1"/>
  <c r="B105" i="11"/>
  <c r="C104" i="11"/>
  <c r="D104" i="11"/>
  <c r="AG104" i="11" s="1"/>
  <c r="E104" i="11"/>
  <c r="F104" i="11"/>
  <c r="N104" i="11"/>
  <c r="J104" i="11"/>
  <c r="W104" i="11"/>
  <c r="V104" i="11"/>
  <c r="AC104" i="11"/>
  <c r="Z104" i="11"/>
  <c r="AB104" i="11"/>
  <c r="X104" i="11"/>
  <c r="Y104" i="11"/>
  <c r="AE104" i="11"/>
  <c r="AH104" i="11"/>
  <c r="AI104" i="11"/>
  <c r="O103" i="11"/>
  <c r="P103" i="11" s="1"/>
  <c r="AA104" i="11" l="1"/>
  <c r="K104" i="11"/>
  <c r="L104" i="11" s="1"/>
  <c r="AD104" i="11"/>
  <c r="R104" i="11"/>
  <c r="O104" i="11"/>
  <c r="P104" i="11" s="1"/>
  <c r="AF104" i="11"/>
  <c r="G104" i="11"/>
  <c r="H104" i="11" s="1"/>
  <c r="D105" i="11"/>
  <c r="B106" i="11"/>
  <c r="C105" i="11"/>
  <c r="E105" i="11"/>
  <c r="AH105" i="11" s="1"/>
  <c r="F105" i="11"/>
  <c r="N105" i="11"/>
  <c r="J105" i="11"/>
  <c r="V105" i="11"/>
  <c r="W105" i="11"/>
  <c r="R105" i="11"/>
  <c r="AA105" i="11"/>
  <c r="AD105" i="11"/>
  <c r="Y105" i="11"/>
  <c r="AB105" i="11"/>
  <c r="Z105" i="11"/>
  <c r="X105" i="11"/>
  <c r="AC105" i="11"/>
  <c r="AG105" i="11"/>
  <c r="AE105" i="11"/>
  <c r="AI105" i="11"/>
  <c r="AF105" i="11"/>
  <c r="S105" i="11" l="1"/>
  <c r="T105" i="11" s="1"/>
  <c r="O105" i="11"/>
  <c r="P105" i="11" s="1"/>
  <c r="C106" i="11"/>
  <c r="R106" i="11" s="1"/>
  <c r="B107" i="11"/>
  <c r="D106" i="11"/>
  <c r="E106" i="11"/>
  <c r="F106" i="11"/>
  <c r="J106" i="11"/>
  <c r="N106" i="11"/>
  <c r="V106" i="11"/>
  <c r="W106" i="11"/>
  <c r="AA106" i="11"/>
  <c r="AC106" i="11"/>
  <c r="AG106" i="11"/>
  <c r="G105" i="11"/>
  <c r="H105" i="11" s="1"/>
  <c r="K105" i="11"/>
  <c r="L105" i="11" s="1"/>
  <c r="S104" i="11"/>
  <c r="T104" i="11" s="1"/>
  <c r="G106" i="11" l="1"/>
  <c r="H106" i="11" s="1"/>
  <c r="AF106" i="11"/>
  <c r="AB106" i="11"/>
  <c r="Y106" i="11"/>
  <c r="Z106" i="11"/>
  <c r="X106" i="11"/>
  <c r="AI106" i="11"/>
  <c r="AH106" i="11"/>
  <c r="AE106" i="11"/>
  <c r="S106" i="11" s="1"/>
  <c r="T106" i="11" s="1"/>
  <c r="AD106" i="11"/>
  <c r="O106" i="11" s="1"/>
  <c r="P106" i="11" s="1"/>
  <c r="K106" i="11"/>
  <c r="L106" i="11" s="1"/>
  <c r="D107" i="11"/>
  <c r="E107" i="11"/>
  <c r="B108" i="11"/>
  <c r="C107" i="11"/>
  <c r="F107" i="11"/>
  <c r="N107" i="11"/>
  <c r="J107" i="11"/>
  <c r="V107" i="11"/>
  <c r="W107" i="11"/>
  <c r="R107" i="11"/>
  <c r="X107" i="11"/>
  <c r="AB107" i="11"/>
  <c r="Y107" i="11"/>
  <c r="AC107" i="11"/>
  <c r="AA107" i="11"/>
  <c r="AD107" i="11"/>
  <c r="Z107" i="11"/>
  <c r="AI107" i="11"/>
  <c r="AE107" i="11"/>
  <c r="AG107" i="11"/>
  <c r="AH107" i="11"/>
  <c r="AF107" i="11"/>
  <c r="K107" i="11" l="1"/>
  <c r="L107" i="11" s="1"/>
  <c r="B109" i="11"/>
  <c r="C108" i="11"/>
  <c r="AB108" i="11" s="1"/>
  <c r="D108" i="11"/>
  <c r="E108" i="11"/>
  <c r="F108" i="11"/>
  <c r="N108" i="11"/>
  <c r="J108" i="11"/>
  <c r="V108" i="11"/>
  <c r="W108" i="11"/>
  <c r="R108" i="11"/>
  <c r="Y108" i="11"/>
  <c r="AG108" i="11"/>
  <c r="AF108" i="11"/>
  <c r="S107" i="11"/>
  <c r="T107" i="11" s="1"/>
  <c r="O107" i="11"/>
  <c r="P107" i="11"/>
  <c r="H107" i="11"/>
  <c r="G107" i="11"/>
  <c r="AI108" i="11" l="1"/>
  <c r="X108" i="11"/>
  <c r="AA108" i="11"/>
  <c r="O108" i="11" s="1"/>
  <c r="P108" i="11" s="1"/>
  <c r="G108" i="11"/>
  <c r="H108" i="11" s="1"/>
  <c r="D109" i="11"/>
  <c r="B110" i="11"/>
  <c r="C109" i="11"/>
  <c r="E109" i="11"/>
  <c r="F109" i="11"/>
  <c r="N109" i="11"/>
  <c r="J109" i="11"/>
  <c r="V109" i="11"/>
  <c r="W109" i="11"/>
  <c r="R109" i="11"/>
  <c r="AA109" i="11"/>
  <c r="Z109" i="11"/>
  <c r="X109" i="11"/>
  <c r="AC109" i="11"/>
  <c r="AD109" i="11"/>
  <c r="AB109" i="11"/>
  <c r="Y109" i="11"/>
  <c r="AE109" i="11"/>
  <c r="AI109" i="11"/>
  <c r="AH109" i="11"/>
  <c r="AF109" i="11"/>
  <c r="AG109" i="11"/>
  <c r="AH108" i="11"/>
  <c r="AD108" i="11"/>
  <c r="AC108" i="11"/>
  <c r="AE108" i="11"/>
  <c r="S108" i="11" s="1"/>
  <c r="T108" i="11" s="1"/>
  <c r="Z108" i="11"/>
  <c r="K108" i="11"/>
  <c r="L108" i="11" s="1"/>
  <c r="K109" i="11" l="1"/>
  <c r="L109" i="11"/>
  <c r="S109" i="11"/>
  <c r="T109" i="11"/>
  <c r="O109" i="11"/>
  <c r="P109" i="11"/>
  <c r="C110" i="11"/>
  <c r="D110" i="11"/>
  <c r="AD110" i="11" s="1"/>
  <c r="E110" i="11"/>
  <c r="B111" i="11"/>
  <c r="F110" i="11"/>
  <c r="N110" i="11"/>
  <c r="J110" i="11"/>
  <c r="V110" i="11"/>
  <c r="W110" i="11"/>
  <c r="R110" i="11"/>
  <c r="Z110" i="11"/>
  <c r="X110" i="11"/>
  <c r="AC110" i="11"/>
  <c r="Y110" i="11"/>
  <c r="AA110" i="11"/>
  <c r="AI110" i="11"/>
  <c r="AF110" i="11"/>
  <c r="AH110" i="11"/>
  <c r="G109" i="11"/>
  <c r="H109" i="11"/>
  <c r="O110" i="11" l="1"/>
  <c r="P110" i="11" s="1"/>
  <c r="AG110" i="11"/>
  <c r="AB110" i="11"/>
  <c r="H110" i="11"/>
  <c r="G110" i="11"/>
  <c r="D111" i="11"/>
  <c r="E111" i="11"/>
  <c r="C111" i="11"/>
  <c r="AC111" i="11" s="1"/>
  <c r="B112" i="11"/>
  <c r="F111" i="11"/>
  <c r="N111" i="11"/>
  <c r="J111" i="11"/>
  <c r="V111" i="11"/>
  <c r="W111" i="11"/>
  <c r="X111" i="11"/>
  <c r="Y111" i="11"/>
  <c r="AE111" i="11"/>
  <c r="AE110" i="11"/>
  <c r="S110" i="11" s="1"/>
  <c r="T110" i="11" s="1"/>
  <c r="K110" i="11"/>
  <c r="L110" i="11" s="1"/>
  <c r="AF111" i="11" l="1"/>
  <c r="AA111" i="11"/>
  <c r="AB111" i="11"/>
  <c r="B113" i="11"/>
  <c r="C112" i="11"/>
  <c r="D112" i="11"/>
  <c r="E112" i="11"/>
  <c r="F112" i="11"/>
  <c r="N112" i="11"/>
  <c r="J112" i="11"/>
  <c r="W112" i="11"/>
  <c r="V112" i="11"/>
  <c r="R112" i="11"/>
  <c r="AC112" i="11"/>
  <c r="Y112" i="11"/>
  <c r="AA112" i="11"/>
  <c r="X112" i="11"/>
  <c r="AB112" i="11"/>
  <c r="AD112" i="11"/>
  <c r="Z112" i="11"/>
  <c r="AI112" i="11"/>
  <c r="AF112" i="11"/>
  <c r="AE112" i="11"/>
  <c r="AH112" i="11"/>
  <c r="AG112" i="11"/>
  <c r="AG111" i="11"/>
  <c r="AH111" i="11"/>
  <c r="Z111" i="11"/>
  <c r="R111" i="11"/>
  <c r="K111" i="11"/>
  <c r="L111" i="11" s="1"/>
  <c r="AI111" i="11"/>
  <c r="AD111" i="11"/>
  <c r="O111" i="11" s="1"/>
  <c r="P111" i="11" s="1"/>
  <c r="G111" i="11"/>
  <c r="H111" i="11" s="1"/>
  <c r="G112" i="11" l="1"/>
  <c r="H112" i="11" s="1"/>
  <c r="D113" i="11"/>
  <c r="C113" i="11"/>
  <c r="E113" i="11"/>
  <c r="F113" i="11"/>
  <c r="N113" i="11"/>
  <c r="J113" i="11"/>
  <c r="V113" i="11"/>
  <c r="W113" i="11"/>
  <c r="R113" i="11"/>
  <c r="AB113" i="11"/>
  <c r="Y113" i="11"/>
  <c r="AD113" i="11"/>
  <c r="AC113" i="11"/>
  <c r="AA113" i="11"/>
  <c r="Z113" i="11"/>
  <c r="X113" i="11"/>
  <c r="AI113" i="11"/>
  <c r="AF113" i="11"/>
  <c r="AG113" i="11"/>
  <c r="AH113" i="11"/>
  <c r="AE113" i="11"/>
  <c r="K112" i="11"/>
  <c r="L112" i="11" s="1"/>
  <c r="S111" i="11"/>
  <c r="T111" i="11" s="1"/>
  <c r="S112" i="11"/>
  <c r="T112" i="11" s="1"/>
  <c r="O112" i="11"/>
  <c r="P112" i="11" s="1"/>
  <c r="K113" i="11" l="1"/>
  <c r="L113" i="11" s="1"/>
  <c r="S113" i="11"/>
  <c r="T113" i="11"/>
  <c r="O113" i="11"/>
  <c r="P113" i="11" s="1"/>
  <c r="G113" i="11"/>
  <c r="H113" i="1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U53" authorId="0" shapeId="0">
      <text>
        <r>
          <rPr>
            <sz val="8"/>
            <color indexed="81"/>
            <rFont val="Tahoma"/>
          </rPr>
          <t>This compares the residuals of the linear and quadratic regressions.  If significant, then quadratic is the preferred model.</t>
        </r>
      </text>
    </comment>
    <comment ref="AD53" authorId="0" shapeId="0">
      <text>
        <r>
          <rPr>
            <sz val="8"/>
            <color indexed="81"/>
            <rFont val="Tahoma"/>
          </rPr>
          <t>This compares the residuals of the quadratic and cubic regressions.  If significant, then cubic is the preferred model.</t>
        </r>
      </text>
    </comment>
    <comment ref="BG53" authorId="0" shapeId="0">
      <text>
        <r>
          <rPr>
            <sz val="8"/>
            <color indexed="81"/>
            <rFont val="Tahoma"/>
          </rPr>
          <t>This compares the residuals of the quadratic and cubic regressions.  If significant, then cubic is the preferred model.</t>
        </r>
      </text>
    </comment>
    <comment ref="U56" authorId="0" shapeId="0">
      <text>
        <r>
          <rPr>
            <sz val="8"/>
            <color indexed="81"/>
            <rFont val="Tahoma"/>
          </rPr>
          <t>Comparing the Linear and Quadratic solutions.
Q --&gt; quadratic is better
L --&gt; linear is better model</t>
        </r>
      </text>
    </comment>
    <comment ref="AD56" authorId="0" shapeId="0">
      <text>
        <r>
          <rPr>
            <sz val="8"/>
            <color indexed="81"/>
            <rFont val="Tahoma"/>
          </rPr>
          <t>Comparing the Quadratic and Cubic solutions</t>
        </r>
      </text>
    </comment>
    <comment ref="BG56" authorId="0" shapeId="0">
      <text>
        <r>
          <rPr>
            <sz val="8"/>
            <color indexed="81"/>
            <rFont val="Tahoma"/>
          </rPr>
          <t>Comparing the Cubic and Quartic solutions</t>
        </r>
      </text>
    </comment>
    <comment ref="AC177" authorId="0" shapeId="0">
      <text>
        <r>
          <rPr>
            <sz val="8"/>
            <color indexed="81"/>
            <rFont val="Tahoma"/>
          </rPr>
          <t>The Lower and Upper limits shown here assume linearity of response in the neighborhood of this concentration.</t>
        </r>
      </text>
    </comment>
    <comment ref="AD177" authorId="0" shapeId="0">
      <text>
        <r>
          <rPr>
            <sz val="8"/>
            <color indexed="81"/>
            <rFont val="Tahoma"/>
          </rPr>
          <t xml:space="preserve">
The Lower and Upper limits shown here assume linearity of response in the neighborhood of this concentration.</t>
        </r>
      </text>
    </comment>
    <comment ref="BF177" authorId="0" shapeId="0">
      <text>
        <r>
          <rPr>
            <sz val="8"/>
            <color indexed="81"/>
            <rFont val="Tahoma"/>
          </rPr>
          <t>Mike Messner:
The Lower and Upper limits shown here assume linearity of response in the neighborhood of this concentration.</t>
        </r>
      </text>
    </comment>
    <comment ref="BG177" authorId="0" shapeId="0">
      <text>
        <r>
          <rPr>
            <sz val="8"/>
            <color indexed="81"/>
            <rFont val="Tahoma"/>
          </rPr>
          <t>Mike Messner:
The Lower and Upper limits shown here assume linearity of response in the neighborhood of this concentration.</t>
        </r>
      </text>
    </comment>
    <comment ref="S182" authorId="0" shapeId="0">
      <text>
        <r>
          <rPr>
            <sz val="8"/>
            <color indexed="81"/>
            <rFont val="Tahoma"/>
          </rPr>
          <t xml:space="preserve">#NUM indicates that the response is out of range.  The quadratic curve has either a maximum or minimum at -b1/(2*b2), depending on whether b2 is negative or positive, respectively.
</t>
        </r>
      </text>
    </comment>
    <comment ref="BE183" authorId="0" shapeId="0">
      <text>
        <r>
          <rPr>
            <sz val="8"/>
            <color indexed="81"/>
            <rFont val="Tahoma"/>
          </rPr>
          <t xml:space="preserve">Zero here indicates that no concentrations in the calibration range were expected to produce the observed response.
</t>
        </r>
      </text>
    </comment>
    <comment ref="BR183" authorId="0" shapeId="0">
      <text>
        <r>
          <rPr>
            <sz val="8"/>
            <color indexed="81"/>
            <rFont val="Tahoma"/>
          </rPr>
          <t xml:space="preserve">x^4+a*x^3+b*x^2+c*x+d=0
</t>
        </r>
      </text>
    </comment>
    <comment ref="BV183" authorId="0" shapeId="0">
      <text>
        <r>
          <rPr>
            <sz val="8"/>
            <color indexed="81"/>
            <rFont val="Tahoma"/>
          </rPr>
          <t xml:space="preserve">yy^3+pp*yy^2+qq*yy+rr=0
</t>
        </r>
      </text>
    </comment>
    <comment ref="AL184" authorId="0" shapeId="0">
      <text>
        <r>
          <rPr>
            <sz val="8"/>
            <color indexed="81"/>
            <rFont val="Tahoma"/>
          </rPr>
          <t xml:space="preserve">
b2/b3</t>
        </r>
      </text>
    </comment>
    <comment ref="AM184" authorId="0" shapeId="0">
      <text>
        <r>
          <rPr>
            <sz val="8"/>
            <color indexed="81"/>
            <rFont val="Tahoma"/>
          </rPr>
          <t xml:space="preserve">
b1/b3</t>
        </r>
      </text>
    </comment>
    <comment ref="AN184" authorId="0" shapeId="0">
      <text>
        <r>
          <rPr>
            <sz val="8"/>
            <color indexed="81"/>
            <rFont val="Tahoma"/>
          </rPr>
          <t xml:space="preserve">
(b0-response)/b3</t>
        </r>
      </text>
    </comment>
    <comment ref="AO184" authorId="0" shapeId="0">
      <text>
        <r>
          <rPr>
            <sz val="8"/>
            <color indexed="81"/>
            <rFont val="Tahoma"/>
          </rPr>
          <t xml:space="preserve">
(3*q-p^2)/3
</t>
        </r>
      </text>
    </comment>
    <comment ref="AP184" authorId="0" shapeId="0">
      <text>
        <r>
          <rPr>
            <sz val="8"/>
            <color indexed="81"/>
            <rFont val="Tahoma"/>
          </rPr>
          <t xml:space="preserve">
(2*p^3-9*p*q+27*r)/27
</t>
        </r>
      </text>
    </comment>
    <comment ref="AQ184" authorId="0" shapeId="0">
      <text>
        <r>
          <rPr>
            <sz val="8"/>
            <color indexed="81"/>
            <rFont val="Tahoma"/>
          </rPr>
          <t xml:space="preserve">
2*sqrt(-a/3)</t>
        </r>
      </text>
    </comment>
    <comment ref="AR184" authorId="0" shapeId="0">
      <text>
        <r>
          <rPr>
            <sz val="8"/>
            <color indexed="81"/>
            <rFont val="Tahoma"/>
          </rPr>
          <t xml:space="preserve">
acos(3*b/(a*m))/3</t>
        </r>
      </text>
    </comment>
    <comment ref="AS184" authorId="0" shapeId="0">
      <text>
        <r>
          <rPr>
            <sz val="8"/>
            <color indexed="81"/>
            <rFont val="Tahoma"/>
          </rPr>
          <t xml:space="preserve">
2*sqrt(-a/3)*cos(q)-p/3
</t>
        </r>
      </text>
    </comment>
    <comment ref="AT184" authorId="0" shapeId="0">
      <text>
        <r>
          <rPr>
            <sz val="8"/>
            <color indexed="81"/>
            <rFont val="Tahoma"/>
          </rPr>
          <t xml:space="preserve">
2*sqrt(-a/3)*cos(q+2*pi/3))-p/3</t>
        </r>
      </text>
    </comment>
    <comment ref="AU184" authorId="0" shapeId="0">
      <text>
        <r>
          <rPr>
            <sz val="8"/>
            <color indexed="81"/>
            <rFont val="Tahoma"/>
          </rPr>
          <t xml:space="preserve">
2*sqrt(-a/3)*cos(q+4*pi/3))-p/3</t>
        </r>
      </text>
    </comment>
    <comment ref="BR185" authorId="0" shapeId="0">
      <text>
        <r>
          <rPr>
            <sz val="8"/>
            <color indexed="81"/>
            <rFont val="Tahoma"/>
          </rPr>
          <t xml:space="preserve">b3/b4
</t>
        </r>
      </text>
    </comment>
    <comment ref="BS185" authorId="0" shapeId="0">
      <text>
        <r>
          <rPr>
            <sz val="8"/>
            <color indexed="81"/>
            <rFont val="Tahoma"/>
          </rPr>
          <t xml:space="preserve">b2/b4
</t>
        </r>
      </text>
    </comment>
    <comment ref="BT185" authorId="0" shapeId="0">
      <text>
        <r>
          <rPr>
            <sz val="8"/>
            <color indexed="81"/>
            <rFont val="Tahoma"/>
          </rPr>
          <t xml:space="preserve">b1/b4
</t>
        </r>
      </text>
    </comment>
    <comment ref="BU185" authorId="0" shapeId="0">
      <text>
        <r>
          <rPr>
            <sz val="8"/>
            <color indexed="81"/>
            <rFont val="Tahoma"/>
          </rPr>
          <t xml:space="preserve">(b0-response)/b4
</t>
        </r>
      </text>
    </comment>
    <comment ref="BV185" authorId="0" shapeId="0">
      <text>
        <r>
          <rPr>
            <sz val="8"/>
            <color indexed="81"/>
            <rFont val="Tahoma"/>
          </rPr>
          <t xml:space="preserve">-b
</t>
        </r>
      </text>
    </comment>
    <comment ref="BW185" authorId="0" shapeId="0">
      <text>
        <r>
          <rPr>
            <sz val="8"/>
            <color indexed="81"/>
            <rFont val="Tahoma"/>
          </rPr>
          <t xml:space="preserve">a*c-4*d
</t>
        </r>
      </text>
    </comment>
    <comment ref="BX185" authorId="0" shapeId="0">
      <text>
        <r>
          <rPr>
            <sz val="8"/>
            <color indexed="81"/>
            <rFont val="Tahoma"/>
          </rPr>
          <t xml:space="preserve">a^2*d-4*b*d-c^2
</t>
        </r>
      </text>
    </comment>
    <comment ref="BY185" authorId="0" shapeId="0">
      <text>
        <r>
          <rPr>
            <sz val="8"/>
            <color indexed="81"/>
            <rFont val="Tahoma"/>
          </rPr>
          <t>(3*qq-pp^2)/3</t>
        </r>
      </text>
    </comment>
    <comment ref="BZ185" authorId="0" shapeId="0">
      <text>
        <r>
          <rPr>
            <sz val="8"/>
            <color indexed="81"/>
            <rFont val="Tahoma"/>
          </rPr>
          <t xml:space="preserve">(3*pp^3-9*pp*qq+27*rr)/27
</t>
        </r>
      </text>
    </comment>
    <comment ref="CA185" authorId="0" shapeId="0">
      <text>
        <r>
          <rPr>
            <sz val="8"/>
            <color indexed="81"/>
            <rFont val="Tahoma"/>
          </rPr>
          <t xml:space="preserve">bb^2/4+aa^3/27
If positive, the one real root is given by A+B-p/3.
If negative, there will be three real roots.  Hopefully, only one will be in the calibration range!
</t>
        </r>
      </text>
    </comment>
    <comment ref="CB185" authorId="0" shapeId="0">
      <text>
        <r>
          <rPr>
            <sz val="8"/>
            <color indexed="81"/>
            <rFont val="Tahoma"/>
          </rPr>
          <t>2*sqrt(-aa/3)
Will be imaginary if aa&gt;0.</t>
        </r>
      </text>
    </comment>
    <comment ref="CC185" authorId="0" shapeId="0">
      <text>
        <r>
          <rPr>
            <sz val="8"/>
            <color indexed="81"/>
            <rFont val="Tahoma"/>
          </rPr>
          <t>acos(3*bb/(aa*mm))
May be complex.</t>
        </r>
      </text>
    </comment>
    <comment ref="CD185" authorId="0" shapeId="0">
      <text>
        <r>
          <rPr>
            <sz val="8"/>
            <color indexed="81"/>
            <rFont val="Tahoma"/>
          </rPr>
          <t xml:space="preserve">mm*cos(theta)-p/3
May be complex.
</t>
        </r>
      </text>
    </comment>
    <comment ref="CE185" authorId="0" shapeId="0">
      <text>
        <r>
          <rPr>
            <sz val="8"/>
            <color indexed="81"/>
            <rFont val="Tahoma"/>
          </rPr>
          <t xml:space="preserve">mm*cos(theta+2pi/3)-p/3
May be complex.
</t>
        </r>
      </text>
    </comment>
    <comment ref="CF185" authorId="0" shapeId="0">
      <text>
        <r>
          <rPr>
            <sz val="8"/>
            <color indexed="81"/>
            <rFont val="Tahoma"/>
          </rPr>
          <t xml:space="preserve">mm*cos(theta+4pi/3)-p/3
May be complex.
</t>
        </r>
      </text>
    </comment>
    <comment ref="CG185" authorId="0" shapeId="0">
      <text>
        <r>
          <rPr>
            <sz val="8"/>
            <color indexed="81"/>
            <rFont val="Tahoma"/>
          </rPr>
          <t>(-b/2+sqrt(indicator))^(1/3)
Used if the indicator is positive.</t>
        </r>
      </text>
    </comment>
    <comment ref="CH185" authorId="0" shapeId="0">
      <text>
        <r>
          <rPr>
            <sz val="8"/>
            <color indexed="81"/>
            <rFont val="Tahoma"/>
          </rPr>
          <t xml:space="preserve">(-b/2-sqrt(indicator))^(1/3)-p/3
Used if the indicator is positive.
</t>
        </r>
      </text>
    </comment>
    <comment ref="CI185" authorId="0" shapeId="0">
      <text>
        <r>
          <rPr>
            <sz val="8"/>
            <color indexed="81"/>
            <rFont val="Tahoma"/>
          </rPr>
          <t>=largest of the three solutioins if indicator&lt;0.
=A+B-p/3 if indicator&gt;0.</t>
        </r>
      </text>
    </comment>
    <comment ref="CJ185" authorId="0" shapeId="0">
      <text>
        <r>
          <rPr>
            <sz val="8"/>
            <color indexed="81"/>
            <rFont val="Tahoma"/>
          </rPr>
          <t>sqrt(a^2/4-b+yy)</t>
        </r>
      </text>
    </comment>
    <comment ref="CK185" authorId="0" shapeId="0">
      <text>
        <r>
          <rPr>
            <sz val="8"/>
            <color indexed="81"/>
            <rFont val="Tahoma"/>
          </rPr>
          <t>=sqrt(3*a^2/4-R^2+(4*a*b-8*c-a^3)/(4*R))
Note: R cannot be zero</t>
        </r>
      </text>
    </comment>
    <comment ref="CL185" authorId="0" shapeId="0">
      <text>
        <r>
          <rPr>
            <sz val="8"/>
            <color indexed="81"/>
            <rFont val="Tahoma"/>
          </rPr>
          <t>=sqrt(3*a^2/4-R^2-(4*a*b-8*c-a^3)/(4*R))
Note: R cannot be zero</t>
        </r>
      </text>
    </comment>
    <comment ref="CM185" authorId="0" shapeId="0">
      <text>
        <r>
          <rPr>
            <sz val="8"/>
            <color indexed="81"/>
            <rFont val="Tahoma"/>
          </rPr>
          <t>=-a/4+R/2+D/2
May be complex.</t>
        </r>
      </text>
    </comment>
    <comment ref="CN185" authorId="0" shapeId="0">
      <text>
        <r>
          <rPr>
            <sz val="8"/>
            <color indexed="81"/>
            <rFont val="Tahoma"/>
          </rPr>
          <t>=-a/4+R/2-D/2
May be complex.</t>
        </r>
      </text>
    </comment>
    <comment ref="CO185" authorId="0" shapeId="0">
      <text>
        <r>
          <rPr>
            <sz val="8"/>
            <color indexed="81"/>
            <rFont val="Tahoma"/>
          </rPr>
          <t>=-a/4-R/2+E/2
May be complex.</t>
        </r>
      </text>
    </comment>
    <comment ref="CP185" authorId="0" shapeId="0">
      <text>
        <r>
          <rPr>
            <sz val="8"/>
            <color indexed="81"/>
            <rFont val="Tahoma"/>
          </rPr>
          <t>=-a/4-R/2-E/2
May be complex.</t>
        </r>
      </text>
    </comment>
    <comment ref="CQ185" authorId="0" shapeId="0">
      <text>
        <r>
          <rPr>
            <sz val="8"/>
            <color indexed="81"/>
            <rFont val="Tahoma"/>
          </rPr>
          <t>Returns the concentration, if in the calibration range…zero otherwise.</t>
        </r>
      </text>
    </comment>
    <comment ref="CR185" authorId="0" shapeId="0">
      <text>
        <r>
          <rPr>
            <sz val="8"/>
            <color indexed="81"/>
            <rFont val="Tahoma"/>
          </rPr>
          <t>Returns the concentration, if in the calibration range…zero otherwise.</t>
        </r>
      </text>
    </comment>
    <comment ref="CS185" authorId="0" shapeId="0">
      <text>
        <r>
          <rPr>
            <sz val="8"/>
            <color indexed="81"/>
            <rFont val="Tahoma"/>
          </rPr>
          <t>Returns the concentration, if in the calibration range…zero otherwise.</t>
        </r>
      </text>
    </comment>
    <comment ref="CT185" authorId="0" shapeId="0">
      <text>
        <r>
          <rPr>
            <sz val="8"/>
            <color indexed="81"/>
            <rFont val="Tahoma"/>
          </rPr>
          <t>Returns the concentration, if in the calibration range…zero otherwise.</t>
        </r>
      </text>
    </comment>
    <comment ref="CU185" authorId="0" shapeId="0">
      <text>
        <r>
          <rPr>
            <sz val="8"/>
            <color indexed="81"/>
            <rFont val="Tahoma"/>
          </rPr>
          <t>Returns a solution, if unique.  Returns an error message if multiple solutions exist in the calibration range.</t>
        </r>
      </text>
    </comment>
    <comment ref="AL216" authorId="0" shapeId="0">
      <text>
        <r>
          <rPr>
            <sz val="8"/>
            <color indexed="81"/>
            <rFont val="Tahoma"/>
          </rPr>
          <t xml:space="preserve">
b6/b7</t>
        </r>
      </text>
    </comment>
    <comment ref="AM216" authorId="0" shapeId="0">
      <text>
        <r>
          <rPr>
            <sz val="8"/>
            <color indexed="81"/>
            <rFont val="Tahoma"/>
          </rPr>
          <t xml:space="preserve">
b5/b7</t>
        </r>
      </text>
    </comment>
    <comment ref="AN216" authorId="0" shapeId="0">
      <text>
        <r>
          <rPr>
            <sz val="8"/>
            <color indexed="81"/>
            <rFont val="Tahoma"/>
          </rPr>
          <t xml:space="preserve">
(b4-response)/b7</t>
        </r>
      </text>
    </comment>
    <comment ref="AO216" authorId="0" shapeId="0">
      <text>
        <r>
          <rPr>
            <sz val="8"/>
            <color indexed="81"/>
            <rFont val="Tahoma"/>
          </rPr>
          <t xml:space="preserve">
(3*q-p^2)/3
</t>
        </r>
      </text>
    </comment>
    <comment ref="AP216" authorId="0" shapeId="0">
      <text>
        <r>
          <rPr>
            <sz val="8"/>
            <color indexed="81"/>
            <rFont val="Tahoma"/>
          </rPr>
          <t xml:space="preserve">
(2*p^3-9*p*q+27*r)/27
</t>
        </r>
      </text>
    </comment>
    <comment ref="AQ216" authorId="0" shapeId="0">
      <text>
        <r>
          <rPr>
            <sz val="8"/>
            <color indexed="81"/>
            <rFont val="Tahoma"/>
          </rPr>
          <t xml:space="preserve">
2*sqrt(-a/3)</t>
        </r>
      </text>
    </comment>
    <comment ref="AR216" authorId="0" shapeId="0">
      <text>
        <r>
          <rPr>
            <sz val="8"/>
            <color indexed="81"/>
            <rFont val="Tahoma"/>
          </rPr>
          <t xml:space="preserve">
acos(3*b/(a*m))/3</t>
        </r>
      </text>
    </comment>
    <comment ref="AS216" authorId="0" shapeId="0">
      <text>
        <r>
          <rPr>
            <sz val="8"/>
            <color indexed="81"/>
            <rFont val="Tahoma"/>
          </rPr>
          <t xml:space="preserve">
2*sqrt(-a/3)*cos(q)-p/3
</t>
        </r>
      </text>
    </comment>
    <comment ref="AT216" authorId="0" shapeId="0">
      <text>
        <r>
          <rPr>
            <sz val="8"/>
            <color indexed="81"/>
            <rFont val="Tahoma"/>
          </rPr>
          <t xml:space="preserve">
2*sqrt(-a/3)*cos(q+2*pi/3))-p/3</t>
        </r>
      </text>
    </comment>
    <comment ref="AU216" authorId="0" shapeId="0">
      <text>
        <r>
          <rPr>
            <sz val="8"/>
            <color indexed="81"/>
            <rFont val="Tahoma"/>
          </rPr>
          <t xml:space="preserve">
2*sqrt(-a/3)*cos(q+4*pi/3))-p/3</t>
        </r>
      </text>
    </comment>
    <comment ref="AE225" authorId="0" shapeId="0">
      <text>
        <r>
          <rPr>
            <sz val="8"/>
            <color indexed="81"/>
            <rFont val="Tahoma"/>
          </rPr>
          <t>The Lower and Upper limits shown here assume linearity of response in the neighborhood of this concentration.</t>
        </r>
      </text>
    </comment>
    <comment ref="AF225" authorId="0" shapeId="0">
      <text>
        <r>
          <rPr>
            <sz val="8"/>
            <color indexed="81"/>
            <rFont val="Tahoma"/>
          </rPr>
          <t>The Lower and Upper limits shown here assume linearity of response in the neighborhood of this concentration.</t>
        </r>
      </text>
    </comment>
    <comment ref="BH225" authorId="0" shapeId="0">
      <text>
        <r>
          <rPr>
            <sz val="8"/>
            <color indexed="81"/>
            <rFont val="Tahoma"/>
          </rPr>
          <t>Mike Messner:
The Lower and Upper limits shown here assume linearity of response in the neighborhood of this concentration.</t>
        </r>
      </text>
    </comment>
    <comment ref="BI225" authorId="0" shapeId="0">
      <text>
        <r>
          <rPr>
            <sz val="8"/>
            <color indexed="81"/>
            <rFont val="Tahoma"/>
          </rPr>
          <t>Mike Messner:
The Lower and Upper limits shown here assume linearity of response in the neighborhood of this concentration.</t>
        </r>
      </text>
    </comment>
    <comment ref="L231" authorId="0" shapeId="0">
      <text>
        <r>
          <rPr>
            <sz val="8"/>
            <color indexed="81"/>
            <rFont val="Tahoma"/>
          </rPr>
          <t>If "TRUE" then the observed responses varied more than expected.</t>
        </r>
      </text>
    </comment>
    <comment ref="T231" authorId="0" shapeId="0">
      <text>
        <r>
          <rPr>
            <sz val="8"/>
            <color indexed="81"/>
            <rFont val="Tahoma"/>
          </rPr>
          <t>If "TRUE" then the observed responses varied more than expected.</t>
        </r>
      </text>
    </comment>
    <comment ref="AC231" authorId="0" shapeId="0">
      <text>
        <r>
          <rPr>
            <sz val="8"/>
            <color indexed="81"/>
            <rFont val="Tahoma"/>
          </rPr>
          <t>If "TRUE" then the observed responses varied more than expected.</t>
        </r>
      </text>
    </comment>
    <comment ref="BF231" authorId="0" shapeId="0">
      <text>
        <r>
          <rPr>
            <sz val="8"/>
            <color indexed="81"/>
            <rFont val="Tahoma"/>
          </rPr>
          <t>:
If "TRUE" then the observed responses varied more than expected.</t>
        </r>
      </text>
    </comment>
    <comment ref="AT266" authorId="0" shapeId="0">
      <text>
        <r>
          <rPr>
            <sz val="8"/>
            <color indexed="81"/>
            <rFont val="Tahoma"/>
          </rPr>
          <t xml:space="preserve">
2*sqrt(-a/3)*cos(q+2*pi/3))-p/3</t>
        </r>
      </text>
    </comment>
    <comment ref="Z276" authorId="0" shapeId="0">
      <text>
        <r>
          <rPr>
            <sz val="8"/>
            <color indexed="81"/>
            <rFont val="Tahoma"/>
          </rPr>
          <t>This estimate is derived from the mean response.  This is not the same as the mean of the above estimates.</t>
        </r>
      </text>
    </comment>
    <comment ref="AK277" authorId="0" shapeId="0">
      <text>
        <r>
          <rPr>
            <sz val="8"/>
            <color indexed="81"/>
            <rFont val="Tahoma"/>
          </rPr>
          <t>This estimate is derived from the mean response.  This is not the same as the mean of the above estimates.</t>
        </r>
      </text>
    </comment>
    <comment ref="BP277" authorId="0" shapeId="0">
      <text>
        <r>
          <rPr>
            <sz val="8"/>
            <color indexed="81"/>
            <rFont val="Tahoma"/>
          </rPr>
          <t>This estimate is derived from the mean response.  This is not the same as the mean of the above estimates.</t>
        </r>
      </text>
    </comment>
  </commentList>
</comments>
</file>

<file path=xl/sharedStrings.xml><?xml version="1.0" encoding="utf-8"?>
<sst xmlns="http://schemas.openxmlformats.org/spreadsheetml/2006/main" count="1112" uniqueCount="459">
  <si>
    <t>INSTRUCTIONS FOR CALIBRATION WORKBOOK</t>
  </si>
  <si>
    <t>Purpose</t>
  </si>
  <si>
    <t>This worksheet supports linear, quadratic, cubic, and quartic regression models:</t>
  </si>
  <si>
    <t>Linear: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</si>
  <si>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x+ </t>
    </r>
    <r>
      <rPr>
        <b/>
        <sz val="12"/>
        <rFont val="Symbol"/>
        <family val="1"/>
        <charset val="2"/>
      </rPr>
      <t>e</t>
    </r>
  </si>
  <si>
    <t>Quadratic: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</si>
  <si>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e</t>
    </r>
  </si>
  <si>
    <t>Cubic: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</si>
  <si>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+</t>
    </r>
    <r>
      <rPr>
        <b/>
        <sz val="12"/>
        <rFont val="Symbol"/>
        <family val="1"/>
        <charset val="2"/>
      </rPr>
      <t>e</t>
    </r>
  </si>
  <si>
    <t>Quartic: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</si>
  <si>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+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4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e</t>
    </r>
  </si>
  <si>
    <t>The inputs are:</t>
  </si>
  <si>
    <t>x</t>
  </si>
  <si>
    <t>the concentration of the certified calibration standard</t>
  </si>
  <si>
    <t>y</t>
  </si>
  <si>
    <t>the measured instrument response</t>
  </si>
  <si>
    <t>e</t>
  </si>
  <si>
    <t>a random effect due to variation of influence quantities</t>
  </si>
  <si>
    <r>
      <t>It is assumed that the concentrations of the calibration standards (</t>
    </r>
    <r>
      <rPr>
        <b/>
        <sz val="12"/>
        <rFont val="Arial"/>
        <family val="2"/>
      </rPr>
      <t>x</t>
    </r>
    <r>
      <rPr>
        <sz val="12"/>
        <rFont val="Arial"/>
        <family val="2"/>
      </rPr>
      <t>) have negligible uncertainties.</t>
    </r>
  </si>
  <si>
    <r>
      <t>The output quantities are estimated parameters (</t>
    </r>
    <r>
      <rPr>
        <b/>
        <sz val="12"/>
        <rFont val="Symbol"/>
        <family val="1"/>
        <charset val="2"/>
      </rPr>
      <t>b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>) and related uncertainties.</t>
    </r>
  </si>
  <si>
    <t>The workbook then helps the user perform the following functions:</t>
  </si>
  <si>
    <t>-</t>
  </si>
  <si>
    <t>determine which model (linear, quadratic, etc.) is best.</t>
  </si>
  <si>
    <t>determine the replication of unknowns needed for uncertainty control.</t>
  </si>
  <si>
    <t>determine whether zero and span responses are acceptable.</t>
  </si>
  <si>
    <t>estimate the concentration and expanded uncertainty of candidate standards</t>
  </si>
  <si>
    <t>analyzed on the same day as the initial calibration or a subsequent day</t>
  </si>
  <si>
    <t>Warning</t>
  </si>
  <si>
    <t>EPA discourages the use of cubic and quartic models and believes that better fits of the data</t>
  </si>
  <si>
    <t>can be obtained by performing multipoint calibrations over more limited concentration ranges</t>
  </si>
  <si>
    <t>and by using straight-line or quadratic models.  Inclusion of cubic and quartic models in the</t>
  </si>
  <si>
    <t>spreadsheet is for experimental use or for situations in which there is a theoretical basis for</t>
  </si>
  <si>
    <t>the use of such higher-order models.  Analysts should be aware that apparent higher-order</t>
  </si>
  <si>
    <t>calibration curves may be caused by artifacts such as inaccurate reference standards or</t>
  </si>
  <si>
    <t>leaks in a gas dilution system.  They should not use higher-order regression models to fit</t>
  </si>
  <si>
    <t>multipoint calibration data that have inadequate precision and that should be fitted to lower-</t>
  </si>
  <si>
    <t>order regression models.  If analysts suspect that precision is inadequate, they should make</t>
  </si>
  <si>
    <t>replicate measurements at each different concentration.  Additionally, a multipoint calibration</t>
  </si>
  <si>
    <t>should not change regression model orders from one month to the next.</t>
  </si>
  <si>
    <t>Organization</t>
  </si>
  <si>
    <t>The workbook consists of several worksheets, which are displayed as tabs at the bottom of</t>
  </si>
  <si>
    <t>the screen.  The functions of these worksheets are described below:</t>
  </si>
  <si>
    <r>
      <t>ReadMe</t>
    </r>
    <r>
      <rPr>
        <sz val="12"/>
        <rFont val="Arial"/>
        <family val="2"/>
      </rPr>
      <t xml:space="preserve"> (this sheet) - describes the workbook, explaining how to use the worksheets</t>
    </r>
  </si>
  <si>
    <r>
      <t>Measurement Data</t>
    </r>
    <r>
      <rPr>
        <sz val="12"/>
        <rFont val="Arial"/>
        <family val="2"/>
      </rPr>
      <t xml:space="preserve"> - allows for user input of calibration and other analytical data</t>
    </r>
  </si>
  <si>
    <t>and includes statistical calculations for polynomial regression</t>
  </si>
  <si>
    <r>
      <t>Curves 1</t>
    </r>
    <r>
      <rPr>
        <sz val="12"/>
        <rFont val="Arial"/>
        <family val="2"/>
      </rPr>
      <t xml:space="preserve"> - displays the calibration data, the best-fit line, and expanded uncertainties.</t>
    </r>
  </si>
  <si>
    <r>
      <t>Residuals 1</t>
    </r>
    <r>
      <rPr>
        <sz val="12"/>
        <rFont val="Arial"/>
        <family val="2"/>
      </rPr>
      <t xml:space="preserve"> - displays the difference between the observed responses and those</t>
    </r>
  </si>
  <si>
    <t>estimated by the best-fit calibration line.</t>
  </si>
  <si>
    <r>
      <t>Curves 2</t>
    </r>
    <r>
      <rPr>
        <sz val="12"/>
        <rFont val="Arial"/>
        <family val="2"/>
      </rPr>
      <t xml:space="preserve"> - displays the calibration data, the best-fit quadratic curve, and</t>
    </r>
  </si>
  <si>
    <t>expanded uncertainties.</t>
  </si>
  <si>
    <r>
      <t>Residuals 2</t>
    </r>
    <r>
      <rPr>
        <sz val="12"/>
        <rFont val="Arial"/>
        <family val="2"/>
      </rPr>
      <t xml:space="preserve"> - displays the difference between the observed responses and those</t>
    </r>
  </si>
  <si>
    <t>estimated by the best-fit quadratic regression line.</t>
  </si>
  <si>
    <r>
      <t>Curves 3</t>
    </r>
    <r>
      <rPr>
        <sz val="12"/>
        <rFont val="Arial"/>
        <family val="2"/>
      </rPr>
      <t xml:space="preserve"> - displays the calibration data, the best-fit cubic curve, and</t>
    </r>
  </si>
  <si>
    <r>
      <t>Residuals 3</t>
    </r>
    <r>
      <rPr>
        <sz val="12"/>
        <rFont val="Arial"/>
        <family val="2"/>
      </rPr>
      <t xml:space="preserve"> - displays the difference between the observed responses and those</t>
    </r>
  </si>
  <si>
    <t>estimated by the best fit cubic regression line.</t>
  </si>
  <si>
    <r>
      <t>Curves 4</t>
    </r>
    <r>
      <rPr>
        <sz val="12"/>
        <rFont val="Arial"/>
        <family val="2"/>
      </rPr>
      <t xml:space="preserve"> - displays the calibration data, the best-fit quartic curve, and</t>
    </r>
  </si>
  <si>
    <r>
      <t>Residuals 4</t>
    </r>
    <r>
      <rPr>
        <sz val="12"/>
        <rFont val="Arial"/>
        <family val="2"/>
      </rPr>
      <t xml:space="preserve"> - displays the difference between the observed responses and those</t>
    </r>
  </si>
  <si>
    <t>estimated by the best-fit quartic regression line.</t>
  </si>
  <si>
    <r>
      <t>Chart Data</t>
    </r>
    <r>
      <rPr>
        <sz val="12"/>
        <rFont val="Arial"/>
        <family val="2"/>
      </rPr>
      <t xml:space="preserve"> - includes the data used to create the Curves and Residuals charts</t>
    </r>
  </si>
  <si>
    <t>Conventions</t>
  </si>
  <si>
    <r>
      <t xml:space="preserve">The </t>
    </r>
    <r>
      <rPr>
        <b/>
        <sz val="12"/>
        <rFont val="Arial"/>
      </rPr>
      <t>Measurement Data</t>
    </r>
    <r>
      <rPr>
        <sz val="12"/>
        <rFont val="Arial"/>
        <family val="2"/>
      </rPr>
      <t xml:space="preserve"> worksheet includes instructions that guide the user through the </t>
    </r>
  </si>
  <si>
    <t>steps in its use.  The worksheet is also color coded to simplify use.  Shaded cells that are</t>
  </si>
  <si>
    <t>bordered in blue lines are for input of data.  These cells are unprotected, but all other cells of</t>
  </si>
  <si>
    <r>
      <t xml:space="preserve">the </t>
    </r>
    <r>
      <rPr>
        <b/>
        <sz val="12"/>
        <rFont val="Arial"/>
      </rPr>
      <t>Measurement Data</t>
    </r>
    <r>
      <rPr>
        <sz val="12"/>
        <rFont val="Arial"/>
        <family val="2"/>
      </rPr>
      <t xml:space="preserve"> worksheet are protected. The only other unprotected cell in the</t>
    </r>
  </si>
  <si>
    <r>
      <t xml:space="preserve">workbook is cell </t>
    </r>
    <r>
      <rPr>
        <b/>
        <sz val="12"/>
        <rFont val="Arial"/>
      </rPr>
      <t>F4</t>
    </r>
    <r>
      <rPr>
        <sz val="12"/>
        <rFont val="Arial"/>
        <family val="2"/>
      </rPr>
      <t xml:space="preserve"> of the </t>
    </r>
    <r>
      <rPr>
        <b/>
        <sz val="12"/>
        <rFont val="Arial"/>
      </rPr>
      <t>Chart Data</t>
    </r>
    <r>
      <rPr>
        <sz val="12"/>
        <rFont val="Arial"/>
        <family val="2"/>
      </rPr>
      <t xml:space="preserve"> worksheet.  That cell controls the approximate level of</t>
    </r>
  </si>
  <si>
    <r>
      <t>confidence associated with the expanded uncertainties displayed in the "</t>
    </r>
    <r>
      <rPr>
        <b/>
        <sz val="12"/>
        <rFont val="Arial"/>
      </rPr>
      <t xml:space="preserve">Curves" </t>
    </r>
    <r>
      <rPr>
        <sz val="12"/>
        <rFont val="Arial"/>
        <family val="2"/>
      </rPr>
      <t xml:space="preserve">charts. </t>
    </r>
  </si>
  <si>
    <t>Derived values and statements are colored red.  These cells contain formulas and are</t>
  </si>
  <si>
    <t xml:space="preserve">protected to prevent alteration. </t>
  </si>
  <si>
    <t xml:space="preserve">Spreadsheet background colors indicate the order of the polynomial supported by the </t>
  </si>
  <si>
    <t xml:space="preserve">calculations in the area.  </t>
  </si>
  <si>
    <t>Light green is used for the linear model.</t>
  </si>
  <si>
    <t>Yellow is used for the quadratic model.</t>
  </si>
  <si>
    <t>Gray color is used for the cubic model.</t>
  </si>
  <si>
    <t>Light blue is used for the quartic model.</t>
  </si>
  <si>
    <t>Use</t>
  </si>
  <si>
    <t>The Measurement Data worksheet guides the user through six steps.</t>
  </si>
  <si>
    <t>STEP 1</t>
  </si>
  <si>
    <t>Enter Calibration Data</t>
  </si>
  <si>
    <t>In this step, up to 50 calibration points may be entered.  Each calibration point has two parts, the</t>
  </si>
  <si>
    <t>certified concentration of the calibration gas standard and the instrument response when testing</t>
  </si>
  <si>
    <t>the standard.  These values are entered in two columns.  The spreadsheet performs</t>
  </si>
  <si>
    <t>computations in cloumns I through P (linear), Q through X (quadratic), Y through AZ (cubic), and BA</t>
  </si>
  <si>
    <t>and above (quartic).</t>
  </si>
  <si>
    <t>STEP 2</t>
  </si>
  <si>
    <t>Review the Parameter Estimates</t>
  </si>
  <si>
    <r>
      <t>In this step, the user reviews the estimates of the intercepts (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), slopes (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) and other</t>
    </r>
  </si>
  <si>
    <r>
      <t>parameters (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, 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, and 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 for the four models, examines their expanded uncertainties and the</t>
    </r>
  </si>
  <si>
    <r>
      <t>overall uncertainty of the fit (</t>
    </r>
    <r>
      <rPr>
        <i/>
        <sz val="12"/>
        <rFont val="Arial"/>
        <family val="2"/>
      </rPr>
      <t>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).  The result of an F test indicates which of the models is best.  The </t>
    </r>
  </si>
  <si>
    <t xml:space="preserve">linear model is recommended unless the quadratic or higher order model significantly reduces </t>
  </si>
  <si>
    <t>the residual error.</t>
  </si>
  <si>
    <t>STEP 3</t>
  </si>
  <si>
    <t>Review the Charts</t>
  </si>
  <si>
    <t>In this step, the user reviews the charts named Curves 1, Residuals 1, Curves 2, Residuals 2, etc.</t>
  </si>
  <si>
    <t>These charts help the user understand why one model performs better than the other.</t>
  </si>
  <si>
    <t>STEP 4</t>
  </si>
  <si>
    <t>Assess Magnitude of Uncertainty</t>
  </si>
  <si>
    <t>In this step, the user enters the assumed concentration of a candidate standard and selects a</t>
  </si>
  <si>
    <t>replication number, r.  Based on the calibration results, the worksheet estimates the expanded</t>
  </si>
  <si>
    <t xml:space="preserve">uncertainty associated with an approximate level of confidence of 95% that would result from </t>
  </si>
  <si>
    <t xml:space="preserve">measuring such a standard r times.  The user can use this as a guide for deciding whether to </t>
  </si>
  <si>
    <t>proceed with analysis, producing additional calibration points, or taking some corrective action.</t>
  </si>
  <si>
    <t>STEP 4a</t>
  </si>
  <si>
    <t>Check Uncertainty Associated with Dilution</t>
  </si>
  <si>
    <t>Following completion of the multipoint calibration, the accuracy of the assay apparatus must be</t>
  </si>
  <si>
    <t>checked to verify that the error associated with the dilution is not excessive.  This accuracy</t>
  </si>
  <si>
    <t>check involves the measurement of an undiluted or diluted check standard.</t>
  </si>
  <si>
    <t>Make 3 or more discrete measurements of the undiluted or diluted check standard.  Enter the</t>
  </si>
  <si>
    <t>response values in the step 4a section of the Measurement Data worksheet.  The spreadsheet</t>
  </si>
  <si>
    <t>calculates the relative difference between the mean analyzer response and the corresponding</t>
  </si>
  <si>
    <t>response from the multipoint calibration regression equation and the undiluted or diluted check</t>
  </si>
  <si>
    <t>standard concentration.  If the relative difference is greater than 1.0%, the dilution error is</t>
  </si>
  <si>
    <t>considered to be excessive.  Assays may not be conducted until the relative difference for a</t>
  </si>
  <si>
    <t>subsequent accuracy check is less than or equal to 1.0%.</t>
  </si>
  <si>
    <t>STEP 5</t>
  </si>
  <si>
    <t>Assay Candidate Standard on Same Day</t>
  </si>
  <si>
    <t>In this step, the user enters the responses to a candidate standard that is tested on the same day</t>
  </si>
  <si>
    <t>as the calibration of STEP 1.  The worksheet provides an estimate of the candidate's</t>
  </si>
  <si>
    <t xml:space="preserve">concentration and its expanded uncertainty associated with an approximate level of confidence of 95%.  </t>
  </si>
  <si>
    <t>The worksheet also indicates whether the uncertainty in responses is larger than expected (unacceptable.)</t>
  </si>
  <si>
    <t>STEP 6</t>
  </si>
  <si>
    <t>Assay Candidate Standard on</t>
  </si>
  <si>
    <t>Different day from Initial Calibration</t>
  </si>
  <si>
    <t>In this step, the user enters the responses to a candidate standard that is tested on a different day</t>
  </si>
  <si>
    <t>from the calibration of STEP 1.  The worksheet first assesses the zero and span responses.  If</t>
  </si>
  <si>
    <t>the zero and span responses are acceptable, the user proceeds to enter the results from testing</t>
  </si>
  <si>
    <t>a candidate standard.  The results include those for zero and nonzero reference standards.  The</t>
  </si>
  <si>
    <t>table below specifies the minimum number of different reference standard concentrations needed for</t>
  </si>
  <si>
    <t>each model, in addition to the zero standard.  Failure to meet these requirements will result in serious</t>
  </si>
  <si>
    <t>calculation errors and invalid results.</t>
  </si>
  <si>
    <t>Model</t>
  </si>
  <si>
    <t>Minimum number of different nonzero reference standards required</t>
  </si>
  <si>
    <t>Linear</t>
  </si>
  <si>
    <t>Quadratic</t>
  </si>
  <si>
    <t>Cubic</t>
  </si>
  <si>
    <t>Quartic</t>
  </si>
  <si>
    <t>Whenever possible the concentrations of the additional reference standards should be located at</t>
  </si>
  <si>
    <t xml:space="preserve">points which correspond to large differences between the polynomial calibration curve and the </t>
  </si>
  <si>
    <t>corresponding straight line between the zero gas and the highest-concentration standard.</t>
  </si>
  <si>
    <t>The spreadsheet determines whether the regression curve has changed since the initial</t>
  </si>
  <si>
    <t>calibration.  The data are corrected for any change and the estimated concentration of the</t>
  </si>
  <si>
    <t>candidate standard is provided together with its expanded uncertainty associated with an</t>
  </si>
  <si>
    <t>approximate level of confidence of 95%.</t>
  </si>
  <si>
    <t xml:space="preserve">The spreadsheet also determines whether the relative combined standard uncertainty of the mean </t>
  </si>
  <si>
    <t xml:space="preserve">response is acceptable (less than 1% of the mean response).  This additional check is meant to </t>
  </si>
  <si>
    <t>guard against hysteresis or other errors that are not corrected by the spreadsheet's adjustments.</t>
  </si>
  <si>
    <t>Reference: Appendix A, EPA Traceability Protocol Assay and Certification of Gaseous</t>
  </si>
  <si>
    <t>Calibration Standards, USEPA, 1997.</t>
  </si>
  <si>
    <t>Calculations - Linear Model</t>
  </si>
  <si>
    <t>Calculations - Quadratic Model</t>
  </si>
  <si>
    <t>Calculations - Cubic Model</t>
  </si>
  <si>
    <t>Calculations - Quartic Model</t>
  </si>
  <si>
    <t>Enter the calibration data in the shaded spaces below.  The first column (i)</t>
  </si>
  <si>
    <t xml:space="preserve">simply counts the calibration points that you enter.  The second column (X) is </t>
  </si>
  <si>
    <t>for the certified concentrations of the calibration gas standards.  The third</t>
  </si>
  <si>
    <t>column (Y) is for the instrument responses corresponding to the calibration</t>
  </si>
  <si>
    <t>standards.  The number of points cannot exceed 50.</t>
  </si>
  <si>
    <t>i</t>
  </si>
  <si>
    <r>
      <t>X</t>
    </r>
    <r>
      <rPr>
        <b/>
        <vertAlign val="subscript"/>
        <sz val="12"/>
        <rFont val="Arial"/>
        <family val="2"/>
      </rPr>
      <t>i</t>
    </r>
  </si>
  <si>
    <r>
      <t>Y</t>
    </r>
    <r>
      <rPr>
        <b/>
        <vertAlign val="subscript"/>
        <sz val="12"/>
        <rFont val="Arial"/>
        <family val="2"/>
      </rPr>
      <t>i</t>
    </r>
  </si>
  <si>
    <t>Color Code</t>
  </si>
  <si>
    <t>X'X</t>
  </si>
  <si>
    <r>
      <t>X</t>
    </r>
    <r>
      <rPr>
        <vertAlign val="superscript"/>
        <sz val="12"/>
        <rFont val="Arial"/>
        <family val="2"/>
      </rPr>
      <t>2</t>
    </r>
  </si>
  <si>
    <r>
      <t>X</t>
    </r>
    <r>
      <rPr>
        <vertAlign val="superscript"/>
        <sz val="12"/>
        <rFont val="Arial"/>
        <family val="2"/>
      </rPr>
      <t>3</t>
    </r>
  </si>
  <si>
    <r>
      <t>X</t>
    </r>
    <r>
      <rPr>
        <vertAlign val="superscript"/>
        <sz val="12"/>
        <rFont val="Arial"/>
        <family val="2"/>
      </rPr>
      <t>4</t>
    </r>
  </si>
  <si>
    <t>red = derived value (protected)</t>
  </si>
  <si>
    <t>blue = entered value (unprotected)</t>
  </si>
  <si>
    <t>Det(X'X)</t>
  </si>
  <si>
    <t>black = fixed text (protected)</t>
  </si>
  <si>
    <t>X'Xinverse</t>
  </si>
  <si>
    <t>X'Y</t>
  </si>
  <si>
    <t>b</t>
  </si>
  <si>
    <t>b'</t>
  </si>
  <si>
    <t>Y'Y</t>
  </si>
  <si>
    <t>df</t>
  </si>
  <si>
    <t>b'X'Y = SSmodel</t>
  </si>
  <si>
    <t>SSregression</t>
  </si>
  <si>
    <t>SSresidual</t>
  </si>
  <si>
    <r>
      <t>s</t>
    </r>
    <r>
      <rPr>
        <vertAlign val="superscript"/>
        <sz val="12"/>
        <rFont val="Arial"/>
        <family val="2"/>
      </rPr>
      <t>2</t>
    </r>
  </si>
  <si>
    <t>Fcrit(0.05)</t>
  </si>
  <si>
    <t>Var-Covar</t>
  </si>
  <si>
    <t>F</t>
  </si>
  <si>
    <t>n</t>
  </si>
  <si>
    <t>Preferred Model</t>
  </si>
  <si>
    <r>
      <t>Review the estimates of the parameters (</t>
    </r>
    <r>
      <rPr>
        <b/>
        <sz val="12"/>
        <rFont val="Arial"/>
        <family val="2"/>
      </rPr>
      <t>b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b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, …)</t>
    </r>
  </si>
  <si>
    <t>for the linear and quadratic models, their expanded</t>
  </si>
  <si>
    <r>
      <t>uncertainties and the overall uncertainty of the fit (</t>
    </r>
    <r>
      <rPr>
        <i/>
        <sz val="12"/>
        <rFont val="Arial"/>
        <family val="2"/>
      </rPr>
      <t>u</t>
    </r>
    <r>
      <rPr>
        <b/>
        <vertAlign val="superscript"/>
        <sz val="12"/>
        <rFont val="Arial"/>
        <family val="2"/>
      </rPr>
      <t>2</t>
    </r>
    <r>
      <rPr>
        <sz val="12"/>
        <rFont val="Arial"/>
        <family val="2"/>
      </rPr>
      <t>).</t>
    </r>
  </si>
  <si>
    <t>The approximate level of confidence</t>
  </si>
  <si>
    <t>Linear Model</t>
  </si>
  <si>
    <t>Expanded Uncertainty</t>
  </si>
  <si>
    <t>associated with the expanded</t>
  </si>
  <si>
    <t>parameter</t>
  </si>
  <si>
    <t>estimate</t>
  </si>
  <si>
    <t>lower</t>
  </si>
  <si>
    <t>upper</t>
  </si>
  <si>
    <t>uncertainties is 95%.</t>
  </si>
  <si>
    <r>
      <t>b</t>
    </r>
    <r>
      <rPr>
        <vertAlign val="subscript"/>
        <sz val="14"/>
        <rFont val="Arial"/>
        <family val="2"/>
      </rPr>
      <t>0</t>
    </r>
    <r>
      <rPr>
        <sz val="12"/>
        <rFont val="Arial"/>
        <family val="2"/>
      </rPr>
      <t xml:space="preserve"> =</t>
    </r>
  </si>
  <si>
    <r>
      <t>b</t>
    </r>
    <r>
      <rPr>
        <vertAlign val="subscript"/>
        <sz val="14"/>
        <rFont val="Arial"/>
        <family val="2"/>
      </rPr>
      <t>1</t>
    </r>
    <r>
      <rPr>
        <sz val="12"/>
        <rFont val="Arial"/>
        <family val="2"/>
      </rPr>
      <t xml:space="preserve"> =</t>
    </r>
  </si>
  <si>
    <t>The corresponding intervals take the form</t>
  </si>
  <si>
    <r>
      <t>s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=</t>
    </r>
  </si>
  <si>
    <t>estimate +/- t*u, where:</t>
  </si>
  <si>
    <t>s =</t>
  </si>
  <si>
    <t>estimate is the quantity of interest,</t>
  </si>
  <si>
    <t>df =</t>
  </si>
  <si>
    <t>u is its uncertainty, and</t>
  </si>
  <si>
    <t>t =</t>
  </si>
  <si>
    <t>t is a coverage factor.</t>
  </si>
  <si>
    <t>Quadratic Model</t>
  </si>
  <si>
    <t>For each model,</t>
  </si>
  <si>
    <t>the coverage factor, t, is</t>
  </si>
  <si>
    <t>determined from the t-distribution</t>
  </si>
  <si>
    <t>with appropriate degrees of</t>
  </si>
  <si>
    <r>
      <t>b</t>
    </r>
    <r>
      <rPr>
        <vertAlign val="subscript"/>
        <sz val="14"/>
        <rFont val="Arial"/>
        <family val="2"/>
      </rPr>
      <t>2</t>
    </r>
    <r>
      <rPr>
        <sz val="12"/>
        <rFont val="Arial"/>
        <family val="2"/>
      </rPr>
      <t xml:space="preserve"> =</t>
    </r>
  </si>
  <si>
    <t>freedom (df).</t>
  </si>
  <si>
    <t>Note that the uncertainties are not</t>
  </si>
  <si>
    <t>displayed, but can easily be</t>
  </si>
  <si>
    <t>derived from the estimate, expanded</t>
  </si>
  <si>
    <t>uncertainty, and the coverage factor.</t>
  </si>
  <si>
    <t>Comparing the two models:</t>
  </si>
  <si>
    <t>F ratio =</t>
  </si>
  <si>
    <t>F critical =</t>
  </si>
  <si>
    <t>(5% significance level)</t>
  </si>
  <si>
    <t>If cubic or quartic models are supported by compelling</t>
  </si>
  <si>
    <t>scientific theory or data, then review the following estimates</t>
  </si>
  <si>
    <r>
      <t xml:space="preserve">for those models.  Otherwise, </t>
    </r>
    <r>
      <rPr>
        <b/>
        <u/>
        <sz val="12"/>
        <rFont val="Arial"/>
        <family val="2"/>
      </rPr>
      <t>go to Step 3</t>
    </r>
    <r>
      <rPr>
        <sz val="12"/>
        <rFont val="Arial"/>
        <family val="2"/>
      </rPr>
      <t xml:space="preserve">. </t>
    </r>
  </si>
  <si>
    <t>Cubic Model</t>
  </si>
  <si>
    <t>See above notes on calculation</t>
  </si>
  <si>
    <t>of expanded uncertainties.</t>
  </si>
  <si>
    <r>
      <t>b</t>
    </r>
    <r>
      <rPr>
        <vertAlign val="subscript"/>
        <sz val="14"/>
        <rFont val="Arial"/>
        <family val="2"/>
      </rPr>
      <t>3</t>
    </r>
    <r>
      <rPr>
        <sz val="12"/>
        <rFont val="Arial"/>
        <family val="2"/>
      </rPr>
      <t xml:space="preserve"> =</t>
    </r>
  </si>
  <si>
    <t>Comparing quadratic and cubic models:</t>
  </si>
  <si>
    <t>Quartic Model</t>
  </si>
  <si>
    <r>
      <t>b</t>
    </r>
    <r>
      <rPr>
        <vertAlign val="subscript"/>
        <sz val="14"/>
        <rFont val="Arial"/>
        <family val="2"/>
      </rPr>
      <t>4</t>
    </r>
    <r>
      <rPr>
        <sz val="12"/>
        <rFont val="Arial"/>
        <family val="2"/>
      </rPr>
      <t xml:space="preserve"> =</t>
    </r>
  </si>
  <si>
    <t xml:space="preserve">F ratio = </t>
  </si>
  <si>
    <r>
      <t xml:space="preserve">View the charts named </t>
    </r>
    <r>
      <rPr>
        <b/>
        <sz val="12"/>
        <rFont val="Arial"/>
      </rPr>
      <t>Curves 1</t>
    </r>
    <r>
      <rPr>
        <sz val="12"/>
        <rFont val="Arial"/>
        <family val="2"/>
      </rPr>
      <t xml:space="preserve"> and </t>
    </r>
    <r>
      <rPr>
        <b/>
        <sz val="12"/>
        <rFont val="Arial"/>
      </rPr>
      <t>Residuals 1</t>
    </r>
    <r>
      <rPr>
        <sz val="12"/>
        <rFont val="Arial"/>
        <family val="2"/>
      </rPr>
      <t xml:space="preserve">.  </t>
    </r>
    <r>
      <rPr>
        <b/>
        <sz val="12"/>
        <rFont val="Arial"/>
      </rPr>
      <t>Curves 1</t>
    </r>
    <r>
      <rPr>
        <sz val="12"/>
        <rFont val="Arial"/>
        <family val="2"/>
      </rPr>
      <t xml:space="preserve"> shows bands</t>
    </r>
  </si>
  <si>
    <t>illustrating expanded uncertainties for the estimated regression.  Compare these</t>
  </si>
  <si>
    <r>
      <t xml:space="preserve">bands with those of the quadratic regression, </t>
    </r>
    <r>
      <rPr>
        <b/>
        <sz val="12"/>
        <rFont val="Arial"/>
      </rPr>
      <t>Curves 2</t>
    </r>
    <r>
      <rPr>
        <sz val="12"/>
        <rFont val="Arial"/>
        <family val="2"/>
      </rPr>
      <t>.</t>
    </r>
  </si>
  <si>
    <t>(Note: You can change the associated approximate confidence level by</t>
  </si>
  <si>
    <r>
      <t xml:space="preserve">changing the "p-value" in cell F4 of the worksheet named </t>
    </r>
    <r>
      <rPr>
        <b/>
        <i/>
        <sz val="12"/>
        <rFont val="Arial"/>
      </rPr>
      <t>Chart Data</t>
    </r>
    <r>
      <rPr>
        <i/>
        <sz val="12"/>
        <rFont val="Arial"/>
      </rPr>
      <t>.)</t>
    </r>
  </si>
  <si>
    <r>
      <t>Residuals 1</t>
    </r>
    <r>
      <rPr>
        <sz val="12"/>
        <rFont val="Arial"/>
        <family val="2"/>
      </rPr>
      <t xml:space="preserve"> shows how the calibration points deviated from the calibration</t>
    </r>
  </si>
  <si>
    <t>line.  Look for a simple pattern (such as a quadratic curve) in the chart.  If</t>
  </si>
  <si>
    <r>
      <t xml:space="preserve">such a pattern appears, the quadratic model may be better.  View </t>
    </r>
    <r>
      <rPr>
        <b/>
        <sz val="12"/>
        <rFont val="Arial"/>
      </rPr>
      <t>Residual 2</t>
    </r>
    <r>
      <rPr>
        <sz val="12"/>
        <rFont val="Arial"/>
      </rPr>
      <t>,</t>
    </r>
  </si>
  <si>
    <r>
      <t xml:space="preserve">the deviations from the best- fit quadratic curve.  If </t>
    </r>
    <r>
      <rPr>
        <b/>
        <sz val="12"/>
        <rFont val="Arial"/>
      </rPr>
      <t>Residual 2</t>
    </r>
    <r>
      <rPr>
        <sz val="12"/>
        <rFont val="Arial"/>
        <family val="2"/>
      </rPr>
      <t xml:space="preserve"> effectively</t>
    </r>
  </si>
  <si>
    <r>
      <t xml:space="preserve">removes the simple pattern observed in </t>
    </r>
    <r>
      <rPr>
        <b/>
        <sz val="12"/>
        <rFont val="Arial"/>
      </rPr>
      <t>Residual 1</t>
    </r>
    <r>
      <rPr>
        <sz val="12"/>
        <rFont val="Arial"/>
        <family val="2"/>
      </rPr>
      <t xml:space="preserve"> and if the magnitude of</t>
    </r>
  </si>
  <si>
    <t>the deviations has been significantly reduced (as evidenced by a reduction</t>
  </si>
  <si>
    <r>
      <t>in the uncertainty u</t>
    </r>
    <r>
      <rPr>
        <b/>
        <vertAlign val="superscript"/>
        <sz val="12"/>
        <rFont val="Arial"/>
      </rPr>
      <t>2</t>
    </r>
    <r>
      <rPr>
        <sz val="12"/>
        <rFont val="Arial"/>
        <family val="2"/>
      </rPr>
      <t>), then the quadratic model is superior.  An F-test can be</t>
    </r>
  </si>
  <si>
    <t>run to determine if the two overall uncertainties of fit are significantly different.</t>
  </si>
  <si>
    <t>F =</t>
  </si>
  <si>
    <t>Prob. of greater F =</t>
  </si>
  <si>
    <r>
      <t xml:space="preserve">scientific theory or data, then view their </t>
    </r>
    <r>
      <rPr>
        <b/>
        <sz val="12"/>
        <rFont val="Arial"/>
        <family val="2"/>
      </rPr>
      <t>Curves</t>
    </r>
    <r>
      <rPr>
        <sz val="12"/>
        <rFont val="Arial"/>
        <family val="2"/>
      </rPr>
      <t xml:space="preserve"> and </t>
    </r>
    <r>
      <rPr>
        <b/>
        <sz val="12"/>
        <rFont val="Arial"/>
        <family val="2"/>
      </rPr>
      <t>Residuals</t>
    </r>
    <r>
      <rPr>
        <sz val="12"/>
        <rFont val="Arial"/>
        <family val="2"/>
      </rPr>
      <t xml:space="preserve"> charts.</t>
    </r>
  </si>
  <si>
    <t>Enter the concentration at which you would like to evaluate the uncertainty of</t>
  </si>
  <si>
    <r>
      <t xml:space="preserve">estimation and prediction.  Also enter </t>
    </r>
    <r>
      <rPr>
        <b/>
        <sz val="12"/>
        <rFont val="Arial"/>
      </rPr>
      <t>r</t>
    </r>
    <r>
      <rPr>
        <sz val="12"/>
        <rFont val="Arial"/>
        <family val="2"/>
      </rPr>
      <t>, the number of assays to be performed</t>
    </r>
  </si>
  <si>
    <t>xb</t>
  </si>
  <si>
    <t>x'V</t>
  </si>
  <si>
    <t>x'Vx</t>
  </si>
  <si>
    <t xml:space="preserve">effect.  </t>
  </si>
  <si>
    <t>Concentration =</t>
  </si>
  <si>
    <t>r =</t>
  </si>
  <si>
    <t xml:space="preserve"> 95% Conf. Limits for Response</t>
  </si>
  <si>
    <t>Review the estimated mean response (estimate that only takes</t>
  </si>
  <si>
    <t>Estimate</t>
  </si>
  <si>
    <t>Lower</t>
  </si>
  <si>
    <t>Upper</t>
  </si>
  <si>
    <t>into account the calibration uncertainty), and the expanded uncertainty.</t>
  </si>
  <si>
    <t>Review the predicted mean response and its expanded uncertainty.</t>
  </si>
  <si>
    <t>To satisfy the EPA protocol requirements for prediction, the relative expanded</t>
  </si>
  <si>
    <t xml:space="preserve"> 95% Conf. Limits for Response.</t>
  </si>
  <si>
    <t>uncertainty associated with an approximate 95% level of confidence</t>
  </si>
  <si>
    <t>Prediction</t>
  </si>
  <si>
    <t>Slope</t>
  </si>
  <si>
    <t>should be less than 1% in absolute value.</t>
  </si>
  <si>
    <t>Slope (near Conc.)</t>
  </si>
  <si>
    <t>Conc.</t>
  </si>
  <si>
    <t>Check (Assumes Linearity in Neighborhood)</t>
  </si>
  <si>
    <t>Tab-Right to view estimates based on the other models.</t>
  </si>
  <si>
    <t>See notes in Step 2 above</t>
  </si>
  <si>
    <t>for comments on calculation</t>
  </si>
  <si>
    <t>95% Uncertainty in Prediction =</t>
  </si>
  <si>
    <t>Instrument Response =</t>
  </si>
  <si>
    <t>p</t>
  </si>
  <si>
    <t>q</t>
  </si>
  <si>
    <t>r</t>
  </si>
  <si>
    <t>a</t>
  </si>
  <si>
    <t>m</t>
  </si>
  <si>
    <t>Solution 1</t>
  </si>
  <si>
    <t>Solution 2</t>
  </si>
  <si>
    <t>Solution 3</t>
  </si>
  <si>
    <t>Best Solution</t>
  </si>
  <si>
    <t>Indicator</t>
  </si>
  <si>
    <t>Unique?</t>
  </si>
  <si>
    <t>A</t>
  </si>
  <si>
    <t>B</t>
  </si>
  <si>
    <t>quartic equation coefficients (r.h.s.=0)</t>
  </si>
  <si>
    <t>resolvent cubic equation coefficients</t>
  </si>
  <si>
    <t>c</t>
  </si>
  <si>
    <t>d</t>
  </si>
  <si>
    <t>pp</t>
  </si>
  <si>
    <t>qq</t>
  </si>
  <si>
    <t>rr</t>
  </si>
  <si>
    <t>aa</t>
  </si>
  <si>
    <t>bb</t>
  </si>
  <si>
    <t>mm</t>
  </si>
  <si>
    <t>Conc1</t>
  </si>
  <si>
    <t>Conc2</t>
  </si>
  <si>
    <t>Conc3</t>
  </si>
  <si>
    <t>y y</t>
  </si>
  <si>
    <t>R</t>
  </si>
  <si>
    <t>D</t>
  </si>
  <si>
    <t>E</t>
  </si>
  <si>
    <t>Conc4</t>
  </si>
  <si>
    <t>In calibration range?</t>
  </si>
  <si>
    <t>Best</t>
  </si>
  <si>
    <t>Relative expanded uncertainty of prediction =</t>
  </si>
  <si>
    <t>Mean Response =</t>
  </si>
  <si>
    <t>This step checks the accuracy of the apparatus to verify that the error associated</t>
  </si>
  <si>
    <t>with dilution is not excessive.</t>
  </si>
  <si>
    <t>If no certified standards are diluted in performing the multipoint calibration, skip to Step 5.</t>
  </si>
  <si>
    <t>Check</t>
  </si>
  <si>
    <t>Check standard concentration =</t>
  </si>
  <si>
    <t>Standard</t>
  </si>
  <si>
    <t>Response</t>
  </si>
  <si>
    <t>Mean analyzer response =</t>
  </si>
  <si>
    <t>Predicted response =</t>
  </si>
  <si>
    <t>Relative difference =</t>
  </si>
  <si>
    <t>mean =</t>
  </si>
  <si>
    <t>Cal. Response =</t>
  </si>
  <si>
    <t>RD =</t>
  </si>
  <si>
    <t>Proceed with the analysis of candidate standards if their relative expanded uncertainty,</t>
  </si>
  <si>
    <t>as estimated above, is less than 1%.  Enter the responses from the</t>
  </si>
  <si>
    <t>yy</t>
  </si>
  <si>
    <t>repeated analyses of an individual candidate standard in the spaces</t>
  </si>
  <si>
    <t>provided below.</t>
  </si>
  <si>
    <t>Note: This step applies only to candidate standards that are assayed on the</t>
  </si>
  <si>
    <t>same day as the calibration.</t>
  </si>
  <si>
    <t>Below, enter the instrument responses for up to 10 repeated analyses of</t>
  </si>
  <si>
    <t>a single candidate standard.</t>
  </si>
  <si>
    <t>Analysis</t>
  </si>
  <si>
    <t>Estimated</t>
  </si>
  <si>
    <t>Number</t>
  </si>
  <si>
    <t>NOTE: For Cubic and</t>
  </si>
  <si>
    <t>stdev =</t>
  </si>
  <si>
    <t>Quartic Model estimates,</t>
  </si>
  <si>
    <t>view the Calculations in</t>
  </si>
  <si>
    <t xml:space="preserve">the shaded regions to </t>
  </si>
  <si>
    <t>F sig? =</t>
  </si>
  <si>
    <t>the right.</t>
  </si>
  <si>
    <t>Pr{&gt;F} =</t>
  </si>
  <si>
    <t>95% U =</t>
  </si>
  <si>
    <r>
      <t>= Portion of Uncertainty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Due to Calibration </t>
    </r>
  </si>
  <si>
    <t>standard uncertainty =</t>
  </si>
  <si>
    <t>Zero and Span Checks - Relative Difference Calculations for Cubic Model</t>
  </si>
  <si>
    <t>Zero Gas Results</t>
  </si>
  <si>
    <t>Span Gas Results</t>
  </si>
  <si>
    <t>Cal. Resp. =</t>
  </si>
  <si>
    <t>Relative Difference (RD)=</t>
  </si>
  <si>
    <t>95% Uncertainty =</t>
  </si>
  <si>
    <t xml:space="preserve"> (This is the relative expanded uncertainty.)</t>
  </si>
  <si>
    <t xml:space="preserve">= Portion of Variance Due to Calibration </t>
  </si>
  <si>
    <t>This step applies to candidate standards that are assayed on a different day</t>
  </si>
  <si>
    <t>than the initial calibration.  Before candidate standards are run, the</t>
  </si>
  <si>
    <t>measurement system is challenged with zero and span checks.   Three or</t>
  </si>
  <si>
    <t>more discrete checks of the zero gas and three or more checks of the span</t>
  </si>
  <si>
    <t>gas are made.  Enter the results below:</t>
  </si>
  <si>
    <t>UpLeft</t>
  </si>
  <si>
    <t>DnRight</t>
  </si>
  <si>
    <t>Response to</t>
  </si>
  <si>
    <t>Span</t>
  </si>
  <si>
    <t>Zero gas</t>
  </si>
  <si>
    <t>to Span</t>
  </si>
  <si>
    <t>Metrology t</t>
  </si>
  <si>
    <t>b'X'Y</t>
  </si>
  <si>
    <t>n =</t>
  </si>
  <si>
    <t>s = experimental standard deviation</t>
  </si>
  <si>
    <t>SSregr</t>
  </si>
  <si>
    <t>SSresid</t>
  </si>
  <si>
    <t>s</t>
  </si>
  <si>
    <t>Std. Uncertainty = s/sqrt(n) =</t>
  </si>
  <si>
    <t>Rrs/100 =</t>
  </si>
  <si>
    <t>nnn =</t>
  </si>
  <si>
    <t>RD calculations above are based on linear/quadratic model.  Tab right to see results for cubic/quartic.</t>
  </si>
  <si>
    <t>Following successful completion of the zero and span checks, the candidate</t>
  </si>
  <si>
    <t>standard is measured together with reference standards. While the candidate</t>
  </si>
  <si>
    <t>standard is normally interspersed with the reference standards, the analysis</t>
  </si>
  <si>
    <t>std error =</t>
  </si>
  <si>
    <t>conducted in this sheet requires that the results be entered separately.  There are</t>
  </si>
  <si>
    <t>two ways to do this.  One way is to enter an analysis set (one candidate standard</t>
  </si>
  <si>
    <t>response and the responses from its zero and nonzero standard analyses)</t>
  </si>
  <si>
    <t xml:space="preserve">below.  Another approach is to enter all of the responses (multiple sets) below. </t>
  </si>
  <si>
    <t>Enter zero and reference standard responses in the area to the left and enter the</t>
  </si>
  <si>
    <t>(Continued)</t>
  </si>
  <si>
    <t>Different day from Initial Calibration, continued</t>
  </si>
  <si>
    <t>See table in Step 6 of the Instructions for the minimum number of</t>
  </si>
  <si>
    <t>different nonzero reference standard concentrations required.</t>
  </si>
  <si>
    <t>Reference Standards</t>
  </si>
  <si>
    <t>Candidate Standard</t>
  </si>
  <si>
    <t>(Enter 0 for zero Conc.)</t>
  </si>
  <si>
    <t>Observed</t>
  </si>
  <si>
    <t>Conc.^2</t>
  </si>
  <si>
    <t>Conc.^3</t>
  </si>
  <si>
    <t>Conc.^4</t>
  </si>
  <si>
    <t>Have Coefficients Remained the Same?</t>
  </si>
  <si>
    <t>b0-b2</t>
  </si>
  <si>
    <t>b1-b3</t>
  </si>
  <si>
    <t>b0-b3</t>
  </si>
  <si>
    <t>b1-b4</t>
  </si>
  <si>
    <t>b0-b4</t>
  </si>
  <si>
    <t>b2-b5</t>
  </si>
  <si>
    <t>b1-b5</t>
  </si>
  <si>
    <t>b2-b6</t>
  </si>
  <si>
    <t>Mean Response</t>
  </si>
  <si>
    <t>95% Uncert Limits</t>
  </si>
  <si>
    <t>b3-b7</t>
  </si>
  <si>
    <t>b0-b5</t>
  </si>
  <si>
    <t>b1-b6</t>
  </si>
  <si>
    <t>b2-b7</t>
  </si>
  <si>
    <t>Std Variance of Estimate</t>
  </si>
  <si>
    <t>Estimation/Prediction Variance</t>
  </si>
  <si>
    <t>b3-b8</t>
  </si>
  <si>
    <t>b4-b9</t>
  </si>
  <si>
    <t>Experim. std. dev. =</t>
  </si>
  <si>
    <t>Rel. Std. Uncertainty =</t>
  </si>
  <si>
    <t>resolvent cubic equationcoefficients</t>
  </si>
  <si>
    <t>nn =</t>
  </si>
  <si>
    <r>
      <t>Portion of Uncertainty</t>
    </r>
    <r>
      <rPr>
        <vertAlign val="superscript"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due to calibration uncertainty</t>
    </r>
  </si>
  <si>
    <t>Estimated Concentration of Candidate Standard</t>
  </si>
  <si>
    <t>Rel. Expanded Uncertainty</t>
  </si>
  <si>
    <t>Portion of Variance Due to Calibration Uncertainty</t>
  </si>
  <si>
    <t>Expanded Uncertainty for Candidate Standard Concentration</t>
  </si>
  <si>
    <t>The approximate level of confidence is 95%.</t>
  </si>
  <si>
    <t>These upper and lower limits are compared with the corresponding</t>
  </si>
  <si>
    <t>limits estimated on different assay dates to establish that the</t>
  </si>
  <si>
    <t>candidate standard has not drifted.</t>
  </si>
  <si>
    <t>This sheet contains the chart data.  The chart data include initial calibration data and the</t>
  </si>
  <si>
    <t>regression information derived from those data.</t>
  </si>
  <si>
    <t>Only the initial calibration data (Step 1 in Measurement Data worksheet) are included.</t>
  </si>
  <si>
    <t>Recalibration data (Step 6) are not included.</t>
  </si>
  <si>
    <t>= Confidence Level for Plotting Confidence Bands</t>
  </si>
  <si>
    <t>= minimum concentration</t>
  </si>
  <si>
    <t>= t for linear model</t>
  </si>
  <si>
    <t>= maximum concentration</t>
  </si>
  <si>
    <t>= t for quadratic model</t>
  </si>
  <si>
    <t>= n, the number of initial calibration points</t>
  </si>
  <si>
    <t>= t for cubic model</t>
  </si>
  <si>
    <t>= t for quartic model</t>
  </si>
  <si>
    <t>Initial Calibration Data</t>
  </si>
  <si>
    <t>Estimates, Linear Model</t>
  </si>
  <si>
    <t>Estimates, Quadratic Model</t>
  </si>
  <si>
    <t>Estimates, Cubic Model</t>
  </si>
  <si>
    <t>Estimates, Quartic Model</t>
  </si>
  <si>
    <t>Xi</t>
  </si>
  <si>
    <t>Yi</t>
  </si>
  <si>
    <t>Residual</t>
  </si>
  <si>
    <t xml:space="preserve">x'V for Linear </t>
  </si>
  <si>
    <t>x'V for Quadratic</t>
  </si>
  <si>
    <t xml:space="preserve">x'V for Cubic </t>
  </si>
  <si>
    <t>x'V for Quartic</t>
  </si>
  <si>
    <r>
      <t xml:space="preserve">Increasing </t>
    </r>
    <r>
      <rPr>
        <b/>
        <sz val="12"/>
        <rFont val="Arial"/>
        <family val="2"/>
      </rPr>
      <t>r</t>
    </r>
    <r>
      <rPr>
        <sz val="12"/>
        <rFont val="Arial"/>
        <family val="2"/>
      </rPr>
      <t xml:space="preserve"> tends to reduce the prediction uncertainty, but with diminishing</t>
    </r>
  </si>
  <si>
    <t>t(0.95,df)</t>
  </si>
  <si>
    <t>This spreadsheet is for the EPA protocol gases calculation.</t>
  </si>
  <si>
    <t>Different Day from Initial Calibration</t>
  </si>
  <si>
    <t xml:space="preserve">responses to a single candidate standard in the area to the right,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</si>
</sst>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0.0000%"/>
    <numFmt numFmtId="166" formatCode="0.000"/>
    <numFmt numFmtId="167" formatCode="0.0000"/>
  </numFmts>
  <fonts count="46" x14ac:knownFonts="1">
    <font>
      <sz val="12"/>
      <name val="Arial"/>
      <family val="2"/>
    </font>
    <font>
      <sz val="14"/>
      <name val="Times New Roman"/>
    </font>
    <font>
      <sz val="14"/>
      <name val="Arial"/>
      <family val="2"/>
    </font>
    <font>
      <sz val="12"/>
      <name val="Arial"/>
      <family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vertAlign val="superscript"/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b/>
      <u/>
      <sz val="12"/>
      <name val="Arial"/>
    </font>
    <font>
      <sz val="14"/>
      <color indexed="10"/>
      <name val="Times New Roman"/>
    </font>
    <font>
      <b/>
      <sz val="12"/>
      <name val="Arial"/>
    </font>
    <font>
      <b/>
      <vertAlign val="superscript"/>
      <sz val="12"/>
      <name val="Arial"/>
      <family val="2"/>
    </font>
    <font>
      <b/>
      <sz val="12"/>
      <name val="Symbol"/>
      <family val="1"/>
      <charset val="2"/>
    </font>
    <font>
      <sz val="12"/>
      <name val="Arial"/>
    </font>
    <font>
      <b/>
      <sz val="14"/>
      <name val="Arial"/>
    </font>
    <font>
      <sz val="14"/>
      <color indexed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2"/>
      <name val="Arial"/>
    </font>
    <font>
      <sz val="10"/>
      <color indexed="10"/>
      <name val="Arial"/>
      <family val="2"/>
    </font>
    <font>
      <b/>
      <sz val="14"/>
      <color indexed="16"/>
      <name val="Arial"/>
    </font>
    <font>
      <b/>
      <u/>
      <sz val="14"/>
      <color indexed="17"/>
      <name val="Arial"/>
      <family val="2"/>
    </font>
    <font>
      <sz val="10"/>
      <color indexed="12"/>
      <name val="Arial"/>
      <family val="2"/>
    </font>
    <font>
      <b/>
      <i/>
      <sz val="12"/>
      <name val="Arial"/>
    </font>
    <font>
      <b/>
      <vertAlign val="superscript"/>
      <sz val="12"/>
      <name val="Arial"/>
    </font>
    <font>
      <sz val="8"/>
      <name val="Arial"/>
      <family val="2"/>
    </font>
    <font>
      <b/>
      <sz val="14"/>
      <name val="Arial"/>
      <family val="2"/>
    </font>
    <font>
      <sz val="14"/>
      <color indexed="16"/>
      <name val="Arial"/>
    </font>
    <font>
      <u/>
      <sz val="14"/>
      <color indexed="17"/>
      <name val="Arial"/>
    </font>
    <font>
      <sz val="12"/>
      <name val="Symbol"/>
      <family val="1"/>
      <charset val="2"/>
    </font>
    <font>
      <b/>
      <sz val="12"/>
      <color indexed="10"/>
      <name val="Arial"/>
      <family val="2"/>
    </font>
    <font>
      <b/>
      <sz val="12"/>
      <color indexed="50"/>
      <name val="Arial"/>
      <family val="2"/>
    </font>
    <font>
      <u/>
      <sz val="10"/>
      <color indexed="10"/>
      <name val="Arial"/>
      <family val="2"/>
    </font>
    <font>
      <vertAlign val="subscript"/>
      <sz val="12"/>
      <name val="Arial"/>
      <family val="2"/>
    </font>
    <font>
      <b/>
      <u/>
      <sz val="12"/>
      <name val="Arial"/>
      <family val="2"/>
    </font>
    <font>
      <b/>
      <sz val="10"/>
      <color indexed="12"/>
      <name val="Arial"/>
      <family val="2"/>
    </font>
    <font>
      <sz val="11"/>
      <color indexed="10"/>
      <name val="Arial"/>
      <family val="2"/>
    </font>
    <font>
      <sz val="8"/>
      <color indexed="81"/>
      <name val="Tahoma"/>
    </font>
    <font>
      <i/>
      <sz val="12"/>
      <name val="Arial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2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7" fillId="0" borderId="3" xfId="0" quotePrefix="1" applyFont="1" applyBorder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0" xfId="0" quotePrefix="1" applyFont="1" applyAlignment="1">
      <alignment horizontal="left"/>
    </xf>
    <xf numFmtId="0" fontId="10" fillId="2" borderId="3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14" xfId="0" applyFont="1" applyBorder="1"/>
    <xf numFmtId="0" fontId="3" fillId="0" borderId="15" xfId="0" applyFont="1" applyBorder="1"/>
    <xf numFmtId="0" fontId="3" fillId="0" borderId="11" xfId="0" applyFont="1" applyBorder="1" applyAlignment="1">
      <alignment horizontal="left"/>
    </xf>
    <xf numFmtId="0" fontId="3" fillId="0" borderId="16" xfId="0" applyFont="1" applyBorder="1"/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3" fillId="0" borderId="16" xfId="0" quotePrefix="1" applyFont="1" applyBorder="1" applyAlignment="1">
      <alignment horizontal="right"/>
    </xf>
    <xf numFmtId="0" fontId="11" fillId="0" borderId="19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right"/>
    </xf>
    <xf numFmtId="0" fontId="3" fillId="0" borderId="20" xfId="0" applyFont="1" applyBorder="1"/>
    <xf numFmtId="0" fontId="3" fillId="0" borderId="20" xfId="0" quotePrefix="1" applyFont="1" applyBorder="1" applyAlignment="1">
      <alignment horizontal="right"/>
    </xf>
    <xf numFmtId="0" fontId="3" fillId="0" borderId="18" xfId="0" quotePrefix="1" applyFont="1" applyBorder="1" applyAlignment="1">
      <alignment horizontal="right"/>
    </xf>
    <xf numFmtId="0" fontId="17" fillId="0" borderId="3" xfId="0" quotePrefix="1" applyFont="1" applyBorder="1" applyAlignment="1">
      <alignment horizontal="center"/>
    </xf>
    <xf numFmtId="0" fontId="10" fillId="2" borderId="21" xfId="0" applyFont="1" applyFill="1" applyBorder="1" applyProtection="1">
      <protection locked="0"/>
    </xf>
    <xf numFmtId="0" fontId="10" fillId="2" borderId="22" xfId="0" applyFont="1" applyFill="1" applyBorder="1" applyProtection="1">
      <protection locked="0"/>
    </xf>
    <xf numFmtId="0" fontId="10" fillId="2" borderId="23" xfId="0" applyFont="1" applyFill="1" applyBorder="1" applyProtection="1">
      <protection locked="0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19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3" fillId="0" borderId="27" xfId="0" quotePrefix="1" applyFont="1" applyFill="1" applyBorder="1" applyAlignment="1" applyProtection="1">
      <alignment horizontal="center"/>
    </xf>
    <xf numFmtId="0" fontId="3" fillId="0" borderId="28" xfId="0" quotePrefix="1" applyFont="1" applyBorder="1" applyAlignment="1">
      <alignment horizontal="left"/>
    </xf>
    <xf numFmtId="0" fontId="3" fillId="0" borderId="29" xfId="0" applyFont="1" applyBorder="1"/>
    <xf numFmtId="0" fontId="3" fillId="0" borderId="30" xfId="0" applyFont="1" applyBorder="1"/>
    <xf numFmtId="0" fontId="3" fillId="0" borderId="31" xfId="0" quotePrefix="1" applyFont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0" fontId="0" fillId="0" borderId="30" xfId="0" applyBorder="1"/>
    <xf numFmtId="0" fontId="3" fillId="0" borderId="2" xfId="0" applyFont="1" applyBorder="1" applyAlignment="1">
      <alignment horizontal="center"/>
    </xf>
    <xf numFmtId="0" fontId="10" fillId="2" borderId="34" xfId="0" applyFont="1" applyFill="1" applyBorder="1" applyProtection="1">
      <protection locked="0"/>
    </xf>
    <xf numFmtId="0" fontId="10" fillId="2" borderId="31" xfId="0" applyFont="1" applyFill="1" applyBorder="1" applyProtection="1">
      <protection locked="0"/>
    </xf>
    <xf numFmtId="0" fontId="3" fillId="0" borderId="23" xfId="0" applyFont="1" applyBorder="1" applyAlignment="1">
      <alignment horizontal="center"/>
    </xf>
    <xf numFmtId="10" fontId="6" fillId="0" borderId="10" xfId="1" applyNumberFormat="1" applyFont="1" applyBorder="1"/>
    <xf numFmtId="0" fontId="20" fillId="0" borderId="0" xfId="0" applyFont="1"/>
    <xf numFmtId="0" fontId="20" fillId="0" borderId="0" xfId="0" quotePrefix="1" applyFont="1" applyAlignment="1">
      <alignment horizontal="left"/>
    </xf>
    <xf numFmtId="0" fontId="21" fillId="0" borderId="27" xfId="0" quotePrefix="1" applyFont="1" applyBorder="1" applyAlignment="1">
      <alignment horizontal="center"/>
    </xf>
    <xf numFmtId="0" fontId="23" fillId="0" borderId="0" xfId="0" quotePrefix="1" applyFont="1" applyAlignment="1">
      <alignment horizontal="left"/>
    </xf>
    <xf numFmtId="0" fontId="23" fillId="0" borderId="0" xfId="0" applyFont="1"/>
    <xf numFmtId="0" fontId="24" fillId="0" borderId="0" xfId="0" quotePrefix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1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3" fillId="0" borderId="36" xfId="0" quotePrefix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5" fillId="2" borderId="38" xfId="0" quotePrefix="1" applyFont="1" applyFill="1" applyBorder="1" applyAlignment="1">
      <alignment horizontal="center"/>
    </xf>
    <xf numFmtId="0" fontId="26" fillId="0" borderId="0" xfId="0" applyFont="1" applyBorder="1"/>
    <xf numFmtId="0" fontId="24" fillId="0" borderId="39" xfId="0" applyFont="1" applyBorder="1"/>
    <xf numFmtId="0" fontId="0" fillId="0" borderId="40" xfId="0" applyBorder="1"/>
    <xf numFmtId="0" fontId="0" fillId="0" borderId="41" xfId="0" applyBorder="1"/>
    <xf numFmtId="0" fontId="11" fillId="0" borderId="0" xfId="0" quotePrefix="1" applyFont="1" applyAlignment="1">
      <alignment horizontal="left"/>
    </xf>
    <xf numFmtId="0" fontId="27" fillId="2" borderId="26" xfId="0" applyFont="1" applyFill="1" applyBorder="1"/>
    <xf numFmtId="0" fontId="10" fillId="2" borderId="42" xfId="0" applyFont="1" applyFill="1" applyBorder="1"/>
    <xf numFmtId="0" fontId="10" fillId="2" borderId="43" xfId="0" applyFont="1" applyFill="1" applyBorder="1"/>
    <xf numFmtId="10" fontId="6" fillId="0" borderId="25" xfId="1" applyNumberFormat="1" applyFont="1" applyBorder="1"/>
    <xf numFmtId="10" fontId="6" fillId="0" borderId="0" xfId="1" applyNumberFormat="1" applyFont="1"/>
    <xf numFmtId="10" fontId="6" fillId="0" borderId="0" xfId="1" applyNumberFormat="1" applyFont="1" applyAlignment="1">
      <alignment horizontal="right"/>
    </xf>
    <xf numFmtId="10" fontId="6" fillId="0" borderId="11" xfId="1" applyNumberFormat="1" applyFont="1" applyBorder="1"/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7" fillId="0" borderId="10" xfId="0" quotePrefix="1" applyFont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44" xfId="0" applyBorder="1" applyAlignment="1">
      <alignment horizontal="center"/>
    </xf>
    <xf numFmtId="0" fontId="0" fillId="0" borderId="0" xfId="0" quotePrefix="1" applyAlignment="1">
      <alignment horizontal="right"/>
    </xf>
    <xf numFmtId="0" fontId="20" fillId="0" borderId="0" xfId="0" quotePrefix="1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45" xfId="0" applyBorder="1"/>
    <xf numFmtId="0" fontId="0" fillId="0" borderId="46" xfId="0" applyBorder="1"/>
    <xf numFmtId="0" fontId="0" fillId="0" borderId="9" xfId="0" applyBorder="1"/>
    <xf numFmtId="0" fontId="0" fillId="0" borderId="8" xfId="0" applyBorder="1"/>
    <xf numFmtId="0" fontId="6" fillId="0" borderId="7" xfId="0" quotePrefix="1" applyFont="1" applyBorder="1" applyAlignment="1">
      <alignment horizontal="left"/>
    </xf>
    <xf numFmtId="0" fontId="20" fillId="0" borderId="6" xfId="0" quotePrefix="1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20" fillId="0" borderId="0" xfId="0" quotePrefix="1" applyFont="1" applyBorder="1" applyAlignment="1">
      <alignment horizontal="right"/>
    </xf>
    <xf numFmtId="10" fontId="6" fillId="0" borderId="4" xfId="1" applyNumberFormat="1" applyFont="1" applyBorder="1"/>
    <xf numFmtId="0" fontId="0" fillId="0" borderId="0" xfId="0" applyAlignment="1">
      <alignment horizontal="left"/>
    </xf>
    <xf numFmtId="0" fontId="17" fillId="0" borderId="0" xfId="0" applyFont="1"/>
    <xf numFmtId="0" fontId="0" fillId="3" borderId="26" xfId="0" applyFill="1" applyBorder="1"/>
    <xf numFmtId="0" fontId="0" fillId="3" borderId="42" xfId="0" applyFill="1" applyBorder="1"/>
    <xf numFmtId="0" fontId="31" fillId="3" borderId="42" xfId="0" quotePrefix="1" applyFont="1" applyFill="1" applyBorder="1" applyAlignment="1">
      <alignment horizontal="center"/>
    </xf>
    <xf numFmtId="0" fontId="0" fillId="3" borderId="43" xfId="0" applyFill="1" applyBorder="1"/>
    <xf numFmtId="0" fontId="14" fillId="4" borderId="3" xfId="0" applyFont="1" applyFill="1" applyBorder="1" applyAlignment="1">
      <alignment horizontal="center"/>
    </xf>
    <xf numFmtId="0" fontId="32" fillId="2" borderId="38" xfId="0" quotePrefix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18" fillId="0" borderId="0" xfId="0" quotePrefix="1" applyFont="1" applyAlignment="1">
      <alignment horizontal="left"/>
    </xf>
    <xf numFmtId="0" fontId="21" fillId="0" borderId="13" xfId="0" quotePrefix="1" applyFont="1" applyBorder="1" applyAlignment="1">
      <alignment horizontal="center"/>
    </xf>
    <xf numFmtId="0" fontId="37" fillId="0" borderId="0" xfId="0" applyFont="1" applyAlignment="1">
      <alignment horizontal="right"/>
    </xf>
    <xf numFmtId="0" fontId="0" fillId="2" borderId="0" xfId="0" applyFill="1"/>
    <xf numFmtId="0" fontId="0" fillId="5" borderId="0" xfId="0" applyFill="1"/>
    <xf numFmtId="0" fontId="3" fillId="5" borderId="0" xfId="0" applyFont="1" applyFill="1"/>
    <xf numFmtId="0" fontId="12" fillId="5" borderId="0" xfId="0" quotePrefix="1" applyFont="1" applyFill="1" applyAlignment="1">
      <alignment horizontal="left"/>
    </xf>
    <xf numFmtId="0" fontId="6" fillId="5" borderId="0" xfId="0" applyFont="1" applyFill="1"/>
    <xf numFmtId="0" fontId="3" fillId="5" borderId="0" xfId="0" quotePrefix="1" applyFont="1" applyFill="1" applyAlignment="1">
      <alignment horizontal="center"/>
    </xf>
    <xf numFmtId="0" fontId="6" fillId="5" borderId="47" xfId="0" applyFont="1" applyFill="1" applyBorder="1"/>
    <xf numFmtId="0" fontId="6" fillId="5" borderId="4" xfId="0" applyFont="1" applyFill="1" applyBorder="1"/>
    <xf numFmtId="0" fontId="6" fillId="5" borderId="6" xfId="0" applyFont="1" applyFill="1" applyBorder="1"/>
    <xf numFmtId="0" fontId="6" fillId="5" borderId="5" xfId="0" applyFont="1" applyFill="1" applyBorder="1"/>
    <xf numFmtId="0" fontId="6" fillId="5" borderId="48" xfId="0" applyFont="1" applyFill="1" applyBorder="1"/>
    <xf numFmtId="0" fontId="13" fillId="5" borderId="0" xfId="0" applyFont="1" applyFill="1"/>
    <xf numFmtId="0" fontId="6" fillId="5" borderId="45" xfId="0" applyFont="1" applyFill="1" applyBorder="1"/>
    <xf numFmtId="0" fontId="6" fillId="5" borderId="0" xfId="0" applyFont="1" applyFill="1" applyBorder="1"/>
    <xf numFmtId="0" fontId="6" fillId="6" borderId="10" xfId="0" applyFont="1" applyFill="1" applyBorder="1"/>
    <xf numFmtId="0" fontId="6" fillId="5" borderId="46" xfId="0" applyFont="1" applyFill="1" applyBorder="1"/>
    <xf numFmtId="0" fontId="6" fillId="5" borderId="7" xfId="0" applyFont="1" applyFill="1" applyBorder="1"/>
    <xf numFmtId="0" fontId="6" fillId="5" borderId="9" xfId="0" applyFont="1" applyFill="1" applyBorder="1"/>
    <xf numFmtId="0" fontId="6" fillId="5" borderId="8" xfId="0" applyFont="1" applyFill="1" applyBorder="1"/>
    <xf numFmtId="0" fontId="6" fillId="5" borderId="48" xfId="0" quotePrefix="1" applyFont="1" applyFill="1" applyBorder="1" applyAlignment="1">
      <alignment horizontal="right"/>
    </xf>
    <xf numFmtId="0" fontId="6" fillId="5" borderId="10" xfId="0" applyFont="1" applyFill="1" applyBorder="1"/>
    <xf numFmtId="0" fontId="6" fillId="5" borderId="49" xfId="0" applyFont="1" applyFill="1" applyBorder="1"/>
    <xf numFmtId="0" fontId="6" fillId="5" borderId="40" xfId="0" applyFont="1" applyFill="1" applyBorder="1"/>
    <xf numFmtId="0" fontId="6" fillId="5" borderId="41" xfId="0" applyFont="1" applyFill="1" applyBorder="1"/>
    <xf numFmtId="0" fontId="6" fillId="5" borderId="10" xfId="0" quotePrefix="1" applyFont="1" applyFill="1" applyBorder="1" applyAlignment="1">
      <alignment horizontal="left"/>
    </xf>
    <xf numFmtId="0" fontId="3" fillId="5" borderId="0" xfId="0" quotePrefix="1" applyFont="1" applyFill="1" applyAlignment="1">
      <alignment horizontal="left"/>
    </xf>
    <xf numFmtId="0" fontId="6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4" xfId="0" quotePrefix="1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3" fillId="5" borderId="45" xfId="0" quotePrefix="1" applyFont="1" applyFill="1" applyBorder="1" applyAlignment="1">
      <alignment horizontal="center"/>
    </xf>
    <xf numFmtId="0" fontId="3" fillId="5" borderId="0" xfId="0" quotePrefix="1" applyFont="1" applyFill="1" applyBorder="1" applyAlignment="1">
      <alignment horizontal="center"/>
    </xf>
    <xf numFmtId="0" fontId="3" fillId="5" borderId="46" xfId="0" quotePrefix="1" applyFont="1" applyFill="1" applyBorder="1" applyAlignment="1">
      <alignment horizontal="center"/>
    </xf>
    <xf numFmtId="0" fontId="3" fillId="5" borderId="45" xfId="0" quotePrefix="1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46" xfId="0" applyFont="1" applyFill="1" applyBorder="1"/>
    <xf numFmtId="0" fontId="6" fillId="5" borderId="0" xfId="0" quotePrefix="1" applyFont="1" applyFill="1" applyBorder="1" applyAlignment="1">
      <alignment horizontal="left"/>
    </xf>
    <xf numFmtId="0" fontId="3" fillId="5" borderId="45" xfId="0" applyFont="1" applyFill="1" applyBorder="1" applyAlignment="1">
      <alignment horizontal="left"/>
    </xf>
    <xf numFmtId="0" fontId="0" fillId="5" borderId="0" xfId="0" quotePrefix="1" applyFill="1" applyAlignment="1">
      <alignment horizontal="right"/>
    </xf>
    <xf numFmtId="0" fontId="36" fillId="5" borderId="0" xfId="0" applyFont="1" applyFill="1"/>
    <xf numFmtId="0" fontId="6" fillId="5" borderId="24" xfId="0" quotePrefix="1" applyFont="1" applyFill="1" applyBorder="1" applyAlignment="1">
      <alignment horizontal="right"/>
    </xf>
    <xf numFmtId="0" fontId="3" fillId="5" borderId="6" xfId="0" applyFont="1" applyFill="1" applyBorder="1" applyAlignment="1">
      <alignment horizontal="left"/>
    </xf>
    <xf numFmtId="0" fontId="3" fillId="5" borderId="5" xfId="0" applyFont="1" applyFill="1" applyBorder="1"/>
    <xf numFmtId="0" fontId="6" fillId="5" borderId="19" xfId="0" applyFont="1" applyFill="1" applyBorder="1" applyAlignment="1">
      <alignment horizontal="right"/>
    </xf>
    <xf numFmtId="0" fontId="6" fillId="5" borderId="45" xfId="0" quotePrefix="1" applyFont="1" applyFill="1" applyBorder="1" applyAlignment="1">
      <alignment horizontal="right"/>
    </xf>
    <xf numFmtId="0" fontId="6" fillId="5" borderId="0" xfId="0" quotePrefix="1" applyFont="1" applyFill="1" applyBorder="1" applyAlignment="1">
      <alignment horizontal="right"/>
    </xf>
    <xf numFmtId="0" fontId="7" fillId="5" borderId="0" xfId="0" applyFont="1" applyFill="1"/>
    <xf numFmtId="0" fontId="6" fillId="5" borderId="25" xfId="0" applyFont="1" applyFill="1" applyBorder="1" applyAlignment="1">
      <alignment horizontal="right"/>
    </xf>
    <xf numFmtId="0" fontId="3" fillId="5" borderId="0" xfId="0" quotePrefix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10" fontId="6" fillId="5" borderId="0" xfId="1" applyNumberFormat="1" applyFont="1" applyFill="1"/>
    <xf numFmtId="0" fontId="0" fillId="5" borderId="0" xfId="0" applyFill="1" applyAlignment="1">
      <alignment horizontal="center"/>
    </xf>
    <xf numFmtId="0" fontId="6" fillId="5" borderId="39" xfId="0" applyFont="1" applyFill="1" applyBorder="1"/>
    <xf numFmtId="0" fontId="6" fillId="5" borderId="40" xfId="0" quotePrefix="1" applyFont="1" applyFill="1" applyBorder="1" applyAlignment="1">
      <alignment horizontal="left"/>
    </xf>
    <xf numFmtId="0" fontId="6" fillId="5" borderId="41" xfId="0" quotePrefix="1" applyFont="1" applyFill="1" applyBorder="1" applyAlignment="1">
      <alignment horizontal="left"/>
    </xf>
    <xf numFmtId="0" fontId="6" fillId="5" borderId="6" xfId="0" applyFont="1" applyFill="1" applyBorder="1" applyAlignment="1">
      <alignment horizontal="right"/>
    </xf>
    <xf numFmtId="10" fontId="6" fillId="5" borderId="9" xfId="1" applyNumberFormat="1" applyFont="1" applyFill="1" applyBorder="1"/>
    <xf numFmtId="10" fontId="6" fillId="5" borderId="8" xfId="1" applyNumberFormat="1" applyFont="1" applyFill="1" applyBorder="1"/>
    <xf numFmtId="0" fontId="3" fillId="3" borderId="0" xfId="0" applyFont="1" applyFill="1"/>
    <xf numFmtId="0" fontId="0" fillId="3" borderId="0" xfId="0" applyFill="1"/>
    <xf numFmtId="0" fontId="12" fillId="3" borderId="0" xfId="0" quotePrefix="1" applyFont="1" applyFill="1" applyAlignment="1">
      <alignment horizontal="left"/>
    </xf>
    <xf numFmtId="0" fontId="6" fillId="3" borderId="0" xfId="0" applyFont="1" applyFill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3" fillId="3" borderId="0" xfId="0" applyFont="1" applyFill="1" applyAlignment="1">
      <alignment horizontal="left"/>
    </xf>
    <xf numFmtId="0" fontId="6" fillId="3" borderId="10" xfId="0" applyFont="1" applyFill="1" applyBorder="1"/>
    <xf numFmtId="0" fontId="3" fillId="3" borderId="0" xfId="0" quotePrefix="1" applyFont="1" applyFill="1" applyAlignment="1">
      <alignment horizontal="left"/>
    </xf>
    <xf numFmtId="0" fontId="6" fillId="3" borderId="47" xfId="0" applyFont="1" applyFill="1" applyBorder="1"/>
    <xf numFmtId="0" fontId="6" fillId="3" borderId="49" xfId="0" applyFont="1" applyFill="1" applyBorder="1"/>
    <xf numFmtId="0" fontId="13" fillId="3" borderId="0" xfId="0" applyFont="1" applyFill="1"/>
    <xf numFmtId="0" fontId="6" fillId="3" borderId="39" xfId="0" applyFont="1" applyFill="1" applyBorder="1"/>
    <xf numFmtId="0" fontId="6" fillId="3" borderId="41" xfId="0" applyFont="1" applyFill="1" applyBorder="1"/>
    <xf numFmtId="0" fontId="6" fillId="3" borderId="10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quotePrefix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45" xfId="0" quotePrefix="1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3" fillId="3" borderId="46" xfId="0" quotePrefix="1" applyFont="1" applyFill="1" applyBorder="1" applyAlignment="1">
      <alignment horizontal="center"/>
    </xf>
    <xf numFmtId="0" fontId="6" fillId="3" borderId="45" xfId="0" applyFont="1" applyFill="1" applyBorder="1"/>
    <xf numFmtId="0" fontId="6" fillId="3" borderId="0" xfId="0" applyFont="1" applyFill="1" applyBorder="1"/>
    <xf numFmtId="0" fontId="6" fillId="3" borderId="46" xfId="0" applyFont="1" applyFill="1" applyBorder="1"/>
    <xf numFmtId="0" fontId="3" fillId="3" borderId="45" xfId="0" quotePrefix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46" xfId="0" applyFont="1" applyFill="1" applyBorder="1"/>
    <xf numFmtId="0" fontId="3" fillId="3" borderId="45" xfId="0" applyFont="1" applyFill="1" applyBorder="1" applyAlignment="1">
      <alignment horizontal="left"/>
    </xf>
    <xf numFmtId="0" fontId="6" fillId="3" borderId="9" xfId="0" applyFont="1" applyFill="1" applyBorder="1"/>
    <xf numFmtId="0" fontId="6" fillId="3" borderId="24" xfId="0" applyFont="1" applyFill="1" applyBorder="1"/>
    <xf numFmtId="0" fontId="6" fillId="3" borderId="19" xfId="0" applyFont="1" applyFill="1" applyBorder="1"/>
    <xf numFmtId="0" fontId="6" fillId="3" borderId="25" xfId="0" applyFont="1" applyFill="1" applyBorder="1"/>
    <xf numFmtId="0" fontId="3" fillId="3" borderId="0" xfId="0" quotePrefix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10" fontId="6" fillId="3" borderId="0" xfId="1" applyNumberFormat="1" applyFont="1" applyFill="1"/>
    <xf numFmtId="0" fontId="6" fillId="3" borderId="6" xfId="0" applyFont="1" applyFill="1" applyBorder="1"/>
    <xf numFmtId="0" fontId="6" fillId="3" borderId="48" xfId="0" applyFont="1" applyFill="1" applyBorder="1"/>
    <xf numFmtId="0" fontId="0" fillId="3" borderId="0" xfId="0" applyFill="1" applyAlignment="1">
      <alignment horizontal="center"/>
    </xf>
    <xf numFmtId="0" fontId="6" fillId="3" borderId="6" xfId="0" quotePrefix="1" applyFont="1" applyFill="1" applyBorder="1" applyAlignment="1">
      <alignment horizontal="left"/>
    </xf>
    <xf numFmtId="0" fontId="6" fillId="3" borderId="9" xfId="0" quotePrefix="1" applyFont="1" applyFill="1" applyBorder="1" applyAlignment="1">
      <alignment horizontal="left"/>
    </xf>
    <xf numFmtId="0" fontId="6" fillId="3" borderId="40" xfId="0" applyFont="1" applyFill="1" applyBorder="1"/>
    <xf numFmtId="0" fontId="6" fillId="3" borderId="40" xfId="0" quotePrefix="1" applyFont="1" applyFill="1" applyBorder="1" applyAlignment="1">
      <alignment horizontal="left"/>
    </xf>
    <xf numFmtId="0" fontId="6" fillId="3" borderId="41" xfId="0" quotePrefix="1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6" fillId="3" borderId="6" xfId="0" quotePrefix="1" applyFont="1" applyFill="1" applyBorder="1" applyAlignment="1">
      <alignment horizontal="right"/>
    </xf>
    <xf numFmtId="0" fontId="6" fillId="3" borderId="5" xfId="0" quotePrefix="1" applyFont="1" applyFill="1" applyBorder="1" applyAlignment="1">
      <alignment horizontal="right"/>
    </xf>
    <xf numFmtId="10" fontId="6" fillId="3" borderId="9" xfId="1" applyNumberFormat="1" applyFont="1" applyFill="1" applyBorder="1"/>
    <xf numFmtId="10" fontId="6" fillId="3" borderId="8" xfId="1" applyNumberFormat="1" applyFont="1" applyFill="1" applyBorder="1"/>
    <xf numFmtId="0" fontId="12" fillId="6" borderId="0" xfId="0" quotePrefix="1" applyFont="1" applyFill="1" applyAlignment="1">
      <alignment horizontal="left"/>
    </xf>
    <xf numFmtId="0" fontId="0" fillId="6" borderId="0" xfId="0" applyFill="1"/>
    <xf numFmtId="0" fontId="3" fillId="6" borderId="0" xfId="0" applyFont="1" applyFill="1"/>
    <xf numFmtId="0" fontId="6" fillId="6" borderId="0" xfId="0" applyFont="1" applyFill="1"/>
    <xf numFmtId="0" fontId="3" fillId="6" borderId="0" xfId="0" quotePrefix="1" applyFont="1" applyFill="1" applyAlignment="1">
      <alignment horizontal="center"/>
    </xf>
    <xf numFmtId="0" fontId="6" fillId="6" borderId="47" xfId="0" applyFont="1" applyFill="1" applyBorder="1"/>
    <xf numFmtId="0" fontId="6" fillId="6" borderId="48" xfId="0" applyFont="1" applyFill="1" applyBorder="1"/>
    <xf numFmtId="0" fontId="6" fillId="6" borderId="0" xfId="0" applyFont="1" applyFill="1" applyBorder="1"/>
    <xf numFmtId="0" fontId="6" fillId="6" borderId="48" xfId="0" quotePrefix="1" applyFont="1" applyFill="1" applyBorder="1" applyAlignment="1">
      <alignment horizontal="right"/>
    </xf>
    <xf numFmtId="0" fontId="6" fillId="6" borderId="12" xfId="0" applyFont="1" applyFill="1" applyBorder="1"/>
    <xf numFmtId="0" fontId="6" fillId="6" borderId="49" xfId="0" applyFont="1" applyFill="1" applyBorder="1"/>
    <xf numFmtId="0" fontId="0" fillId="6" borderId="0" xfId="0" quotePrefix="1" applyFill="1" applyAlignment="1">
      <alignment horizontal="right"/>
    </xf>
    <xf numFmtId="0" fontId="6" fillId="6" borderId="0" xfId="0" quotePrefix="1" applyFont="1" applyFill="1" applyAlignment="1">
      <alignment horizontal="right"/>
    </xf>
    <xf numFmtId="0" fontId="6" fillId="6" borderId="10" xfId="0" quotePrefix="1" applyFont="1" applyFill="1" applyBorder="1" applyAlignment="1">
      <alignment horizontal="left"/>
    </xf>
    <xf numFmtId="0" fontId="6" fillId="6" borderId="0" xfId="0" quotePrefix="1" applyFont="1" applyFill="1" applyAlignment="1">
      <alignment horizontal="left"/>
    </xf>
    <xf numFmtId="0" fontId="6" fillId="6" borderId="39" xfId="0" applyFont="1" applyFill="1" applyBorder="1"/>
    <xf numFmtId="0" fontId="6" fillId="6" borderId="40" xfId="0" applyFont="1" applyFill="1" applyBorder="1"/>
    <xf numFmtId="0" fontId="6" fillId="6" borderId="41" xfId="0" applyFont="1" applyFill="1" applyBorder="1"/>
    <xf numFmtId="0" fontId="3" fillId="6" borderId="0" xfId="0" quotePrefix="1" applyFont="1" applyFill="1" applyAlignment="1">
      <alignment horizontal="left"/>
    </xf>
    <xf numFmtId="0" fontId="6" fillId="6" borderId="1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4" xfId="0" quotePrefix="1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5" xfId="0" applyFont="1" applyFill="1" applyBorder="1"/>
    <xf numFmtId="0" fontId="3" fillId="6" borderId="45" xfId="0" quotePrefix="1" applyFon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0" fontId="3" fillId="6" borderId="46" xfId="0" quotePrefix="1" applyFont="1" applyFill="1" applyBorder="1" applyAlignment="1">
      <alignment horizontal="center"/>
    </xf>
    <xf numFmtId="0" fontId="6" fillId="6" borderId="45" xfId="0" applyFont="1" applyFill="1" applyBorder="1"/>
    <xf numFmtId="0" fontId="6" fillId="6" borderId="46" xfId="0" applyFont="1" applyFill="1" applyBorder="1"/>
    <xf numFmtId="0" fontId="3" fillId="6" borderId="45" xfId="0" quotePrefix="1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6" borderId="46" xfId="0" applyFont="1" applyFill="1" applyBorder="1"/>
    <xf numFmtId="0" fontId="3" fillId="6" borderId="45" xfId="0" quotePrefix="1" applyFont="1" applyFill="1" applyBorder="1" applyAlignment="1"/>
    <xf numFmtId="0" fontId="6" fillId="6" borderId="0" xfId="0" quotePrefix="1" applyFont="1" applyFill="1" applyBorder="1" applyAlignment="1">
      <alignment horizontal="right"/>
    </xf>
    <xf numFmtId="0" fontId="3" fillId="6" borderId="45" xfId="0" applyFont="1" applyFill="1" applyBorder="1" applyAlignment="1">
      <alignment horizontal="center"/>
    </xf>
    <xf numFmtId="0" fontId="6" fillId="6" borderId="45" xfId="0" applyFont="1" applyFill="1" applyBorder="1" applyAlignment="1">
      <alignment horizontal="center"/>
    </xf>
    <xf numFmtId="0" fontId="6" fillId="6" borderId="7" xfId="0" applyFont="1" applyFill="1" applyBorder="1"/>
    <xf numFmtId="0" fontId="6" fillId="6" borderId="9" xfId="0" applyFont="1" applyFill="1" applyBorder="1"/>
    <xf numFmtId="0" fontId="6" fillId="6" borderId="8" xfId="0" applyFont="1" applyFill="1" applyBorder="1"/>
    <xf numFmtId="0" fontId="35" fillId="6" borderId="40" xfId="0" applyFont="1" applyFill="1" applyBorder="1"/>
    <xf numFmtId="0" fontId="35" fillId="6" borderId="10" xfId="0" applyFont="1" applyFill="1" applyBorder="1"/>
    <xf numFmtId="0" fontId="3" fillId="6" borderId="0" xfId="0" applyFont="1" applyFill="1" applyAlignment="1">
      <alignment horizontal="left"/>
    </xf>
    <xf numFmtId="0" fontId="0" fillId="6" borderId="0" xfId="0" applyFill="1" applyAlignment="1">
      <alignment horizontal="right"/>
    </xf>
    <xf numFmtId="0" fontId="3" fillId="6" borderId="0" xfId="0" quotePrefix="1" applyFont="1" applyFill="1" applyAlignment="1">
      <alignment horizontal="right"/>
    </xf>
    <xf numFmtId="0" fontId="3" fillId="6" borderId="6" xfId="0" applyFont="1" applyFill="1" applyBorder="1" applyAlignment="1">
      <alignment horizontal="left"/>
    </xf>
    <xf numFmtId="0" fontId="3" fillId="6" borderId="5" xfId="0" applyFont="1" applyFill="1" applyBorder="1"/>
    <xf numFmtId="0" fontId="3" fillId="6" borderId="45" xfId="0" applyFont="1" applyFill="1" applyBorder="1" applyAlignment="1">
      <alignment horizontal="left"/>
    </xf>
    <xf numFmtId="0" fontId="3" fillId="6" borderId="0" xfId="0" applyFont="1" applyFill="1" applyAlignment="1">
      <alignment horizontal="right"/>
    </xf>
    <xf numFmtId="0" fontId="6" fillId="6" borderId="0" xfId="0" applyFont="1" applyFill="1" applyAlignment="1">
      <alignment horizontal="right"/>
    </xf>
    <xf numFmtId="10" fontId="6" fillId="6" borderId="0" xfId="1" applyNumberFormat="1" applyFont="1" applyFill="1"/>
    <xf numFmtId="0" fontId="6" fillId="6" borderId="4" xfId="0" applyFont="1" applyFill="1" applyBorder="1"/>
    <xf numFmtId="0" fontId="6" fillId="6" borderId="6" xfId="0" applyFont="1" applyFill="1" applyBorder="1"/>
    <xf numFmtId="0" fontId="0" fillId="6" borderId="0" xfId="0" applyFill="1" applyAlignment="1">
      <alignment horizontal="center"/>
    </xf>
    <xf numFmtId="0" fontId="6" fillId="6" borderId="4" xfId="0" quotePrefix="1" applyFont="1" applyFill="1" applyBorder="1" applyAlignment="1">
      <alignment horizontal="left"/>
    </xf>
    <xf numFmtId="0" fontId="6" fillId="6" borderId="6" xfId="0" quotePrefix="1" applyFont="1" applyFill="1" applyBorder="1" applyAlignment="1">
      <alignment horizontal="right"/>
    </xf>
    <xf numFmtId="0" fontId="6" fillId="6" borderId="45" xfId="0" quotePrefix="1" applyFont="1" applyFill="1" applyBorder="1" applyAlignment="1">
      <alignment horizontal="left"/>
    </xf>
    <xf numFmtId="0" fontId="6" fillId="6" borderId="7" xfId="0" quotePrefix="1" applyFont="1" applyFill="1" applyBorder="1" applyAlignment="1">
      <alignment horizontal="left"/>
    </xf>
    <xf numFmtId="0" fontId="6" fillId="6" borderId="9" xfId="0" applyFont="1" applyFill="1" applyBorder="1" applyAlignment="1">
      <alignment horizontal="right"/>
    </xf>
    <xf numFmtId="0" fontId="6" fillId="6" borderId="40" xfId="0" quotePrefix="1" applyFont="1" applyFill="1" applyBorder="1" applyAlignment="1">
      <alignment horizontal="left"/>
    </xf>
    <xf numFmtId="0" fontId="6" fillId="6" borderId="41" xfId="0" quotePrefix="1" applyFont="1" applyFill="1" applyBorder="1" applyAlignment="1">
      <alignment horizontal="left"/>
    </xf>
    <xf numFmtId="10" fontId="6" fillId="6" borderId="7" xfId="0" applyNumberFormat="1" applyFont="1" applyFill="1" applyBorder="1"/>
    <xf numFmtId="10" fontId="6" fillId="6" borderId="9" xfId="1" applyNumberFormat="1" applyFont="1" applyFill="1" applyBorder="1"/>
    <xf numFmtId="10" fontId="6" fillId="6" borderId="8" xfId="1" applyNumberFormat="1" applyFont="1" applyFill="1" applyBorder="1"/>
    <xf numFmtId="0" fontId="20" fillId="6" borderId="11" xfId="0" quotePrefix="1" applyFont="1" applyFill="1" applyBorder="1" applyAlignment="1">
      <alignment horizontal="left"/>
    </xf>
    <xf numFmtId="0" fontId="20" fillId="6" borderId="18" xfId="0" applyFont="1" applyFill="1" applyBorder="1"/>
    <xf numFmtId="0" fontId="20" fillId="6" borderId="12" xfId="0" applyFont="1" applyFill="1" applyBorder="1"/>
    <xf numFmtId="0" fontId="22" fillId="6" borderId="13" xfId="0" quotePrefix="1" applyFont="1" applyFill="1" applyBorder="1" applyAlignment="1">
      <alignment horizontal="center"/>
    </xf>
    <xf numFmtId="0" fontId="22" fillId="6" borderId="0" xfId="0" quotePrefix="1" applyFont="1" applyFill="1" applyBorder="1" applyAlignment="1">
      <alignment horizontal="left"/>
    </xf>
    <xf numFmtId="0" fontId="22" fillId="6" borderId="0" xfId="0" applyFont="1" applyFill="1" applyBorder="1"/>
    <xf numFmtId="0" fontId="22" fillId="6" borderId="14" xfId="0" applyFont="1" applyFill="1" applyBorder="1"/>
    <xf numFmtId="0" fontId="24" fillId="6" borderId="13" xfId="0" applyFont="1" applyFill="1" applyBorder="1"/>
    <xf numFmtId="0" fontId="24" fillId="6" borderId="0" xfId="0" applyFont="1" applyFill="1" applyBorder="1"/>
    <xf numFmtId="0" fontId="24" fillId="6" borderId="14" xfId="0" quotePrefix="1" applyFont="1" applyFill="1" applyBorder="1" applyAlignment="1">
      <alignment horizontal="left"/>
    </xf>
    <xf numFmtId="0" fontId="24" fillId="6" borderId="14" xfId="0" applyFont="1" applyFill="1" applyBorder="1"/>
    <xf numFmtId="0" fontId="24" fillId="6" borderId="13" xfId="0" quotePrefix="1" applyFont="1" applyFill="1" applyBorder="1" applyAlignment="1">
      <alignment horizontal="right"/>
    </xf>
    <xf numFmtId="0" fontId="24" fillId="6" borderId="13" xfId="0" applyFont="1" applyFill="1" applyBorder="1" applyAlignment="1">
      <alignment horizontal="right"/>
    </xf>
    <xf numFmtId="0" fontId="24" fillId="6" borderId="17" xfId="0" applyFont="1" applyFill="1" applyBorder="1" applyAlignment="1">
      <alignment horizontal="right"/>
    </xf>
    <xf numFmtId="0" fontId="24" fillId="6" borderId="16" xfId="0" applyFont="1" applyFill="1" applyBorder="1"/>
    <xf numFmtId="0" fontId="22" fillId="3" borderId="13" xfId="0" quotePrefix="1" applyFont="1" applyFill="1" applyBorder="1" applyAlignment="1">
      <alignment horizontal="center"/>
    </xf>
    <xf numFmtId="0" fontId="22" fillId="3" borderId="0" xfId="0" quotePrefix="1" applyFont="1" applyFill="1" applyBorder="1" applyAlignment="1">
      <alignment horizontal="left"/>
    </xf>
    <xf numFmtId="0" fontId="22" fillId="3" borderId="0" xfId="0" applyFont="1" applyFill="1" applyBorder="1"/>
    <xf numFmtId="0" fontId="22" fillId="3" borderId="14" xfId="0" applyFont="1" applyFill="1" applyBorder="1"/>
    <xf numFmtId="0" fontId="24" fillId="3" borderId="13" xfId="0" applyFont="1" applyFill="1" applyBorder="1"/>
    <xf numFmtId="0" fontId="24" fillId="3" borderId="0" xfId="0" applyFont="1" applyFill="1" applyBorder="1"/>
    <xf numFmtId="0" fontId="24" fillId="3" borderId="14" xfId="0" quotePrefix="1" applyFont="1" applyFill="1" applyBorder="1" applyAlignment="1">
      <alignment horizontal="left"/>
    </xf>
    <xf numFmtId="0" fontId="24" fillId="3" borderId="14" xfId="0" applyFont="1" applyFill="1" applyBorder="1"/>
    <xf numFmtId="0" fontId="24" fillId="3" borderId="35" xfId="0" applyFont="1" applyFill="1" applyBorder="1"/>
    <xf numFmtId="0" fontId="20" fillId="5" borderId="11" xfId="0" quotePrefix="1" applyFont="1" applyFill="1" applyBorder="1" applyAlignment="1">
      <alignment horizontal="left"/>
    </xf>
    <xf numFmtId="0" fontId="20" fillId="5" borderId="18" xfId="0" applyFont="1" applyFill="1" applyBorder="1"/>
    <xf numFmtId="0" fontId="20" fillId="5" borderId="12" xfId="0" applyFont="1" applyFill="1" applyBorder="1"/>
    <xf numFmtId="0" fontId="22" fillId="5" borderId="13" xfId="0" quotePrefix="1" applyFont="1" applyFill="1" applyBorder="1" applyAlignment="1">
      <alignment horizontal="center"/>
    </xf>
    <xf numFmtId="0" fontId="22" fillId="5" borderId="0" xfId="0" quotePrefix="1" applyFont="1" applyFill="1" applyBorder="1" applyAlignment="1">
      <alignment horizontal="left"/>
    </xf>
    <xf numFmtId="0" fontId="22" fillId="5" borderId="0" xfId="0" applyFont="1" applyFill="1" applyBorder="1"/>
    <xf numFmtId="0" fontId="22" fillId="5" borderId="14" xfId="0" applyFont="1" applyFill="1" applyBorder="1"/>
    <xf numFmtId="0" fontId="24" fillId="5" borderId="13" xfId="0" applyFont="1" applyFill="1" applyBorder="1"/>
    <xf numFmtId="0" fontId="24" fillId="5" borderId="0" xfId="0" applyFont="1" applyFill="1" applyBorder="1"/>
    <xf numFmtId="0" fontId="24" fillId="5" borderId="14" xfId="0" quotePrefix="1" applyFont="1" applyFill="1" applyBorder="1" applyAlignment="1">
      <alignment horizontal="left"/>
    </xf>
    <xf numFmtId="0" fontId="24" fillId="5" borderId="14" xfId="0" applyFont="1" applyFill="1" applyBorder="1"/>
    <xf numFmtId="0" fontId="24" fillId="5" borderId="13" xfId="0" quotePrefix="1" applyFont="1" applyFill="1" applyBorder="1" applyAlignment="1">
      <alignment horizontal="right"/>
    </xf>
    <xf numFmtId="0" fontId="24" fillId="5" borderId="0" xfId="0" quotePrefix="1" applyFont="1" applyFill="1" applyBorder="1" applyAlignment="1">
      <alignment horizontal="right"/>
    </xf>
    <xf numFmtId="0" fontId="24" fillId="5" borderId="13" xfId="0" applyFont="1" applyFill="1" applyBorder="1" applyAlignment="1">
      <alignment horizontal="right"/>
    </xf>
    <xf numFmtId="0" fontId="24" fillId="5" borderId="17" xfId="0" applyFont="1" applyFill="1" applyBorder="1" applyAlignment="1">
      <alignment horizontal="right"/>
    </xf>
    <xf numFmtId="0" fontId="24" fillId="5" borderId="16" xfId="0" applyFont="1" applyFill="1" applyBorder="1"/>
    <xf numFmtId="0" fontId="24" fillId="5" borderId="35" xfId="0" applyFont="1" applyFill="1" applyBorder="1"/>
    <xf numFmtId="0" fontId="24" fillId="3" borderId="0" xfId="0" applyFont="1" applyFill="1"/>
    <xf numFmtId="0" fontId="24" fillId="5" borderId="0" xfId="0" applyFont="1" applyFill="1"/>
    <xf numFmtId="0" fontId="20" fillId="3" borderId="11" xfId="0" quotePrefix="1" applyFont="1" applyFill="1" applyBorder="1" applyAlignment="1">
      <alignment horizontal="left"/>
    </xf>
    <xf numFmtId="0" fontId="20" fillId="3" borderId="18" xfId="0" applyFont="1" applyFill="1" applyBorder="1"/>
    <xf numFmtId="0" fontId="20" fillId="3" borderId="12" xfId="0" applyFont="1" applyFill="1" applyBorder="1"/>
    <xf numFmtId="0" fontId="20" fillId="6" borderId="0" xfId="0" quotePrefix="1" applyFont="1" applyFill="1" applyAlignment="1">
      <alignment horizontal="left"/>
    </xf>
    <xf numFmtId="0" fontId="20" fillId="6" borderId="0" xfId="0" applyFont="1" applyFill="1"/>
    <xf numFmtId="0" fontId="20" fillId="3" borderId="0" xfId="0" quotePrefix="1" applyFont="1" applyFill="1" applyAlignment="1">
      <alignment horizontal="left"/>
    </xf>
    <xf numFmtId="0" fontId="20" fillId="3" borderId="0" xfId="0" applyFont="1" applyFill="1"/>
    <xf numFmtId="0" fontId="20" fillId="5" borderId="0" xfId="0" quotePrefix="1" applyFont="1" applyFill="1" applyAlignment="1">
      <alignment horizontal="left"/>
    </xf>
    <xf numFmtId="0" fontId="20" fillId="5" borderId="0" xfId="0" applyFont="1" applyFill="1"/>
    <xf numFmtId="0" fontId="21" fillId="0" borderId="14" xfId="0" quotePrefix="1" applyFont="1" applyBorder="1" applyAlignment="1">
      <alignment horizontal="center"/>
    </xf>
    <xf numFmtId="0" fontId="24" fillId="6" borderId="0" xfId="0" quotePrefix="1" applyFont="1" applyFill="1" applyBorder="1" applyAlignment="1">
      <alignment horizontal="right"/>
    </xf>
    <xf numFmtId="0" fontId="24" fillId="3" borderId="0" xfId="0" quotePrefix="1" applyFont="1" applyFill="1" applyBorder="1" applyAlignment="1">
      <alignment horizontal="right"/>
    </xf>
    <xf numFmtId="0" fontId="24" fillId="3" borderId="0" xfId="0" applyFont="1" applyFill="1" applyBorder="1" applyAlignment="1">
      <alignment horizontal="right"/>
    </xf>
    <xf numFmtId="0" fontId="24" fillId="3" borderId="16" xfId="0" applyFont="1" applyFill="1" applyBorder="1" applyAlignment="1">
      <alignment horizontal="right"/>
    </xf>
    <xf numFmtId="0" fontId="24" fillId="5" borderId="16" xfId="0" quotePrefix="1" applyFont="1" applyFill="1" applyBorder="1" applyAlignment="1">
      <alignment horizontal="right"/>
    </xf>
    <xf numFmtId="0" fontId="24" fillId="3" borderId="16" xfId="0" quotePrefix="1" applyFont="1" applyFill="1" applyBorder="1" applyAlignment="1">
      <alignment horizontal="right"/>
    </xf>
    <xf numFmtId="0" fontId="24" fillId="6" borderId="16" xfId="0" quotePrefix="1" applyFont="1" applyFill="1" applyBorder="1" applyAlignment="1">
      <alignment horizontal="right"/>
    </xf>
    <xf numFmtId="0" fontId="0" fillId="2" borderId="0" xfId="0" quotePrefix="1" applyFill="1" applyAlignment="1">
      <alignment horizontal="left"/>
    </xf>
    <xf numFmtId="0" fontId="14" fillId="5" borderId="0" xfId="0" quotePrefix="1" applyFont="1" applyFill="1" applyAlignment="1">
      <alignment horizontal="left"/>
    </xf>
    <xf numFmtId="0" fontId="0" fillId="5" borderId="0" xfId="0" applyFill="1" applyAlignment="1">
      <alignment horizontal="left"/>
    </xf>
    <xf numFmtId="0" fontId="14" fillId="3" borderId="0" xfId="0" quotePrefix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quotePrefix="1" applyFill="1" applyAlignment="1">
      <alignment horizontal="left"/>
    </xf>
    <xf numFmtId="0" fontId="14" fillId="6" borderId="0" xfId="0" quotePrefix="1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quotePrefix="1" applyFill="1" applyAlignment="1">
      <alignment horizontal="left"/>
    </xf>
    <xf numFmtId="0" fontId="0" fillId="5" borderId="0" xfId="0" quotePrefix="1" applyFill="1" applyAlignment="1">
      <alignment horizontal="left"/>
    </xf>
    <xf numFmtId="0" fontId="3" fillId="3" borderId="15" xfId="0" applyFont="1" applyFill="1" applyBorder="1"/>
    <xf numFmtId="0" fontId="3" fillId="3" borderId="50" xfId="0" applyFont="1" applyFill="1" applyBorder="1"/>
    <xf numFmtId="0" fontId="3" fillId="3" borderId="2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11" fillId="3" borderId="13" xfId="0" applyFont="1" applyFill="1" applyBorder="1"/>
    <xf numFmtId="0" fontId="11" fillId="3" borderId="0" xfId="0" quotePrefix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right"/>
    </xf>
    <xf numFmtId="0" fontId="2" fillId="3" borderId="17" xfId="0" quotePrefix="1" applyFont="1" applyFill="1" applyBorder="1" applyAlignment="1">
      <alignment horizontal="right"/>
    </xf>
    <xf numFmtId="0" fontId="2" fillId="3" borderId="11" xfId="0" quotePrefix="1" applyFont="1" applyFill="1" applyBorder="1" applyAlignment="1">
      <alignment horizontal="right"/>
    </xf>
    <xf numFmtId="0" fontId="6" fillId="3" borderId="12" xfId="0" applyFont="1" applyFill="1" applyBorder="1"/>
    <xf numFmtId="0" fontId="3" fillId="5" borderId="15" xfId="0" applyFont="1" applyFill="1" applyBorder="1"/>
    <xf numFmtId="0" fontId="3" fillId="5" borderId="50" xfId="0" applyFont="1" applyFill="1" applyBorder="1"/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/>
    <xf numFmtId="0" fontId="11" fillId="5" borderId="13" xfId="0" applyFont="1" applyFill="1" applyBorder="1"/>
    <xf numFmtId="0" fontId="11" fillId="5" borderId="0" xfId="0" quotePrefix="1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2" fillId="5" borderId="13" xfId="0" quotePrefix="1" applyFont="1" applyFill="1" applyBorder="1" applyAlignment="1">
      <alignment horizontal="right"/>
    </xf>
    <xf numFmtId="0" fontId="2" fillId="5" borderId="17" xfId="0" quotePrefix="1" applyFont="1" applyFill="1" applyBorder="1" applyAlignment="1">
      <alignment horizontal="right"/>
    </xf>
    <xf numFmtId="0" fontId="2" fillId="5" borderId="11" xfId="0" quotePrefix="1" applyFont="1" applyFill="1" applyBorder="1" applyAlignment="1">
      <alignment horizontal="right"/>
    </xf>
    <xf numFmtId="0" fontId="6" fillId="5" borderId="12" xfId="0" applyFont="1" applyFill="1" applyBorder="1"/>
    <xf numFmtId="0" fontId="3" fillId="2" borderId="15" xfId="0" quotePrefix="1" applyFont="1" applyFill="1" applyBorder="1" applyAlignment="1">
      <alignment horizontal="left"/>
    </xf>
    <xf numFmtId="0" fontId="3" fillId="2" borderId="50" xfId="0" applyFont="1" applyFill="1" applyBorder="1"/>
    <xf numFmtId="0" fontId="3" fillId="2" borderId="2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1" fillId="2" borderId="13" xfId="0" applyFont="1" applyFill="1" applyBorder="1"/>
    <xf numFmtId="0" fontId="11" fillId="2" borderId="0" xfId="0" quotePrefix="1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2" fillId="2" borderId="13" xfId="0" quotePrefix="1" applyFont="1" applyFill="1" applyBorder="1" applyAlignment="1">
      <alignment horizontal="right"/>
    </xf>
    <xf numFmtId="0" fontId="6" fillId="2" borderId="0" xfId="0" applyFont="1" applyFill="1" applyBorder="1"/>
    <xf numFmtId="0" fontId="2" fillId="2" borderId="17" xfId="0" quotePrefix="1" applyFont="1" applyFill="1" applyBorder="1" applyAlignment="1">
      <alignment horizontal="right"/>
    </xf>
    <xf numFmtId="0" fontId="2" fillId="2" borderId="11" xfId="0" quotePrefix="1" applyFont="1" applyFill="1" applyBorder="1" applyAlignment="1">
      <alignment horizontal="right"/>
    </xf>
    <xf numFmtId="0" fontId="6" fillId="2" borderId="12" xfId="0" applyFont="1" applyFill="1" applyBorder="1"/>
    <xf numFmtId="0" fontId="3" fillId="6" borderId="15" xfId="0" quotePrefix="1" applyFont="1" applyFill="1" applyBorder="1" applyAlignment="1">
      <alignment horizontal="left"/>
    </xf>
    <xf numFmtId="0" fontId="3" fillId="6" borderId="50" xfId="0" applyFont="1" applyFill="1" applyBorder="1"/>
    <xf numFmtId="0" fontId="3" fillId="6" borderId="24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center"/>
    </xf>
    <xf numFmtId="0" fontId="11" fillId="6" borderId="13" xfId="0" applyFont="1" applyFill="1" applyBorder="1"/>
    <xf numFmtId="0" fontId="11" fillId="6" borderId="0" xfId="0" quotePrefix="1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2" fillId="6" borderId="13" xfId="0" quotePrefix="1" applyFont="1" applyFill="1" applyBorder="1" applyAlignment="1">
      <alignment horizontal="right"/>
    </xf>
    <xf numFmtId="0" fontId="2" fillId="6" borderId="17" xfId="0" quotePrefix="1" applyFont="1" applyFill="1" applyBorder="1" applyAlignment="1">
      <alignment horizontal="right"/>
    </xf>
    <xf numFmtId="0" fontId="2" fillId="6" borderId="11" xfId="0" quotePrefix="1" applyFont="1" applyFill="1" applyBorder="1" applyAlignment="1">
      <alignment horizontal="right"/>
    </xf>
    <xf numFmtId="0" fontId="34" fillId="6" borderId="0" xfId="0" quotePrefix="1" applyFont="1" applyFill="1" applyAlignment="1">
      <alignment horizontal="left"/>
    </xf>
    <xf numFmtId="0" fontId="24" fillId="3" borderId="16" xfId="0" applyFont="1" applyFill="1" applyBorder="1"/>
    <xf numFmtId="0" fontId="3" fillId="0" borderId="27" xfId="0" applyFont="1" applyFill="1" applyBorder="1" applyAlignment="1" applyProtection="1">
      <alignment horizontal="center"/>
    </xf>
    <xf numFmtId="0" fontId="0" fillId="3" borderId="15" xfId="0" quotePrefix="1" applyFill="1" applyBorder="1" applyAlignment="1">
      <alignment horizontal="left"/>
    </xf>
    <xf numFmtId="0" fontId="0" fillId="3" borderId="50" xfId="0" applyFill="1" applyBorder="1"/>
    <xf numFmtId="0" fontId="40" fillId="2" borderId="3" xfId="0" applyFont="1" applyFill="1" applyBorder="1" applyAlignment="1" applyProtection="1">
      <alignment horizontal="center"/>
      <protection locked="0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0" fillId="0" borderId="24" xfId="0" applyFont="1" applyBorder="1"/>
    <xf numFmtId="0" fontId="24" fillId="3" borderId="24" xfId="0" applyFont="1" applyFill="1" applyBorder="1"/>
    <xf numFmtId="0" fontId="24" fillId="5" borderId="24" xfId="0" applyFont="1" applyFill="1" applyBorder="1"/>
    <xf numFmtId="0" fontId="24" fillId="6" borderId="24" xfId="0" applyFont="1" applyFill="1" applyBorder="1"/>
    <xf numFmtId="0" fontId="20" fillId="0" borderId="19" xfId="0" applyFont="1" applyBorder="1"/>
    <xf numFmtId="0" fontId="24" fillId="3" borderId="19" xfId="0" applyFont="1" applyFill="1" applyBorder="1"/>
    <xf numFmtId="0" fontId="24" fillId="5" borderId="19" xfId="0" applyFont="1" applyFill="1" applyBorder="1"/>
    <xf numFmtId="0" fontId="24" fillId="6" borderId="19" xfId="0" applyFont="1" applyFill="1" applyBorder="1"/>
    <xf numFmtId="0" fontId="20" fillId="0" borderId="25" xfId="0" applyFont="1" applyBorder="1"/>
    <xf numFmtId="0" fontId="24" fillId="3" borderId="25" xfId="0" applyFont="1" applyFill="1" applyBorder="1"/>
    <xf numFmtId="0" fontId="24" fillId="5" borderId="25" xfId="0" applyFont="1" applyFill="1" applyBorder="1"/>
    <xf numFmtId="0" fontId="24" fillId="6" borderId="25" xfId="0" applyFont="1" applyFill="1" applyBorder="1"/>
    <xf numFmtId="0" fontId="24" fillId="3" borderId="11" xfId="0" applyFont="1" applyFill="1" applyBorder="1"/>
    <xf numFmtId="0" fontId="24" fillId="3" borderId="12" xfId="0" applyFont="1" applyFill="1" applyBorder="1"/>
    <xf numFmtId="0" fontId="24" fillId="3" borderId="17" xfId="0" applyFont="1" applyFill="1" applyBorder="1"/>
    <xf numFmtId="0" fontId="0" fillId="5" borderId="15" xfId="0" quotePrefix="1" applyFill="1" applyBorder="1" applyAlignment="1">
      <alignment horizontal="left"/>
    </xf>
    <xf numFmtId="0" fontId="0" fillId="5" borderId="20" xfId="0" applyFill="1" applyBorder="1"/>
    <xf numFmtId="0" fontId="0" fillId="5" borderId="51" xfId="0" applyFill="1" applyBorder="1"/>
    <xf numFmtId="0" fontId="0" fillId="6" borderId="20" xfId="0" applyFill="1" applyBorder="1"/>
    <xf numFmtId="0" fontId="0" fillId="6" borderId="50" xfId="0" applyFill="1" applyBorder="1"/>
    <xf numFmtId="0" fontId="24" fillId="5" borderId="11" xfId="0" applyFont="1" applyFill="1" applyBorder="1"/>
    <xf numFmtId="0" fontId="24" fillId="5" borderId="18" xfId="0" applyFont="1" applyFill="1" applyBorder="1"/>
    <xf numFmtId="0" fontId="24" fillId="6" borderId="18" xfId="0" applyFont="1" applyFill="1" applyBorder="1"/>
    <xf numFmtId="0" fontId="24" fillId="6" borderId="12" xfId="0" applyFont="1" applyFill="1" applyBorder="1"/>
    <xf numFmtId="0" fontId="24" fillId="5" borderId="17" xfId="0" applyFont="1" applyFill="1" applyBorder="1"/>
    <xf numFmtId="0" fontId="24" fillId="6" borderId="35" xfId="0" applyFont="1" applyFill="1" applyBorder="1"/>
    <xf numFmtId="0" fontId="26" fillId="3" borderId="0" xfId="0" applyFont="1" applyFill="1" applyBorder="1"/>
    <xf numFmtId="0" fontId="26" fillId="6" borderId="0" xfId="0" applyFont="1" applyFill="1" applyBorder="1"/>
    <xf numFmtId="0" fontId="6" fillId="2" borderId="0" xfId="0" applyFont="1" applyFill="1"/>
    <xf numFmtId="0" fontId="26" fillId="5" borderId="0" xfId="0" applyFont="1" applyFill="1" applyBorder="1"/>
    <xf numFmtId="0" fontId="2" fillId="3" borderId="0" xfId="0" quotePrefix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2" fillId="6" borderId="0" xfId="0" quotePrefix="1" applyFont="1" applyFill="1" applyBorder="1" applyAlignment="1">
      <alignment horizontal="center"/>
    </xf>
    <xf numFmtId="0" fontId="26" fillId="3" borderId="0" xfId="0" quotePrefix="1" applyFont="1" applyFill="1" applyBorder="1" applyAlignment="1">
      <alignment horizontal="left"/>
    </xf>
    <xf numFmtId="0" fontId="26" fillId="5" borderId="0" xfId="0" quotePrefix="1" applyFont="1" applyFill="1" applyBorder="1" applyAlignment="1">
      <alignment horizontal="left"/>
    </xf>
    <xf numFmtId="0" fontId="26" fillId="6" borderId="0" xfId="0" quotePrefix="1" applyFont="1" applyFill="1" applyBorder="1" applyAlignment="1">
      <alignment horizontal="left"/>
    </xf>
    <xf numFmtId="0" fontId="6" fillId="6" borderId="4" xfId="0" quotePrefix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/>
    <xf numFmtId="0" fontId="25" fillId="6" borderId="38" xfId="0" quotePrefix="1" applyFont="1" applyFill="1" applyBorder="1" applyAlignment="1">
      <alignment horizontal="center"/>
    </xf>
    <xf numFmtId="0" fontId="12" fillId="2" borderId="0" xfId="0" quotePrefix="1" applyFont="1" applyFill="1" applyAlignment="1">
      <alignment horizontal="left"/>
    </xf>
    <xf numFmtId="0" fontId="3" fillId="2" borderId="0" xfId="0" applyFont="1" applyFill="1"/>
    <xf numFmtId="0" fontId="3" fillId="2" borderId="0" xfId="0" quotePrefix="1" applyFont="1" applyFill="1" applyAlignment="1">
      <alignment horizontal="center"/>
    </xf>
    <xf numFmtId="0" fontId="6" fillId="2" borderId="47" xfId="0" applyFont="1" applyFill="1" applyBorder="1"/>
    <xf numFmtId="0" fontId="6" fillId="2" borderId="4" xfId="0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6" fillId="2" borderId="48" xfId="0" applyFont="1" applyFill="1" applyBorder="1"/>
    <xf numFmtId="0" fontId="6" fillId="2" borderId="45" xfId="0" applyFont="1" applyFill="1" applyBorder="1"/>
    <xf numFmtId="0" fontId="6" fillId="2" borderId="46" xfId="0" applyFont="1" applyFill="1" applyBorder="1"/>
    <xf numFmtId="0" fontId="6" fillId="2" borderId="48" xfId="0" quotePrefix="1" applyFont="1" applyFill="1" applyBorder="1" applyAlignment="1">
      <alignment horizontal="right"/>
    </xf>
    <xf numFmtId="0" fontId="6" fillId="2" borderId="7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6" fillId="2" borderId="10" xfId="0" applyFont="1" applyFill="1" applyBorder="1"/>
    <xf numFmtId="0" fontId="6" fillId="2" borderId="4" xfId="0" quotePrefix="1" applyFont="1" applyFill="1" applyBorder="1" applyAlignment="1">
      <alignment horizontal="left"/>
    </xf>
    <xf numFmtId="0" fontId="6" fillId="2" borderId="49" xfId="0" applyFont="1" applyFill="1" applyBorder="1"/>
    <xf numFmtId="0" fontId="0" fillId="2" borderId="0" xfId="0" quotePrefix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0" fontId="6" fillId="2" borderId="10" xfId="0" quotePrefix="1" applyFont="1" applyFill="1" applyBorder="1" applyAlignment="1">
      <alignment horizontal="left"/>
    </xf>
    <xf numFmtId="0" fontId="6" fillId="2" borderId="0" xfId="0" quotePrefix="1" applyFont="1" applyFill="1" applyAlignment="1">
      <alignment horizontal="left"/>
    </xf>
    <xf numFmtId="0" fontId="6" fillId="2" borderId="39" xfId="0" applyFont="1" applyFill="1" applyBorder="1"/>
    <xf numFmtId="0" fontId="6" fillId="2" borderId="40" xfId="0" applyFont="1" applyFill="1" applyBorder="1"/>
    <xf numFmtId="0" fontId="6" fillId="2" borderId="41" xfId="0" applyFont="1" applyFill="1" applyBorder="1"/>
    <xf numFmtId="0" fontId="3" fillId="2" borderId="0" xfId="0" quotePrefix="1" applyFont="1" applyFill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26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4" xfId="0" quotePrefix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3" fillId="2" borderId="45" xfId="0" quotePrefix="1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0" fontId="3" fillId="2" borderId="46" xfId="0" quotePrefix="1" applyFont="1" applyFill="1" applyBorder="1" applyAlignment="1">
      <alignment horizontal="center"/>
    </xf>
    <xf numFmtId="0" fontId="3" fillId="2" borderId="45" xfId="0" quotePrefix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6" xfId="0" applyFont="1" applyFill="1" applyBorder="1"/>
    <xf numFmtId="0" fontId="3" fillId="2" borderId="45" xfId="0" quotePrefix="1" applyFont="1" applyFill="1" applyBorder="1" applyAlignment="1"/>
    <xf numFmtId="0" fontId="6" fillId="2" borderId="0" xfId="0" quotePrefix="1" applyFont="1" applyFill="1" applyBorder="1" applyAlignment="1">
      <alignment horizontal="right"/>
    </xf>
    <xf numFmtId="0" fontId="3" fillId="2" borderId="45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35" fillId="2" borderId="40" xfId="0" applyFont="1" applyFill="1" applyBorder="1"/>
    <xf numFmtId="0" fontId="35" fillId="2" borderId="0" xfId="0" applyFont="1" applyFill="1"/>
    <xf numFmtId="0" fontId="3" fillId="2" borderId="0" xfId="0" quotePrefix="1" applyFont="1" applyFill="1" applyAlignment="1">
      <alignment horizontal="right"/>
    </xf>
    <xf numFmtId="0" fontId="35" fillId="2" borderId="10" xfId="0" applyFont="1" applyFill="1" applyBorder="1"/>
    <xf numFmtId="0" fontId="0" fillId="2" borderId="0" xfId="0" applyFill="1" applyAlignment="1">
      <alignment horizontal="right"/>
    </xf>
    <xf numFmtId="0" fontId="6" fillId="2" borderId="47" xfId="0" applyFont="1" applyFill="1" applyBorder="1" applyProtection="1">
      <protection locked="0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6" fillId="2" borderId="48" xfId="0" applyFont="1" applyFill="1" applyBorder="1" applyProtection="1">
      <protection locked="0"/>
    </xf>
    <xf numFmtId="0" fontId="6" fillId="2" borderId="45" xfId="0" quotePrefix="1" applyFont="1" applyFill="1" applyBorder="1" applyAlignment="1">
      <alignment horizontal="right"/>
    </xf>
    <xf numFmtId="0" fontId="3" fillId="2" borderId="45" xfId="0" applyFont="1" applyFill="1" applyBorder="1" applyAlignment="1">
      <alignment horizontal="left"/>
    </xf>
    <xf numFmtId="0" fontId="6" fillId="2" borderId="49" xfId="0" applyFont="1" applyFill="1" applyBorder="1" applyProtection="1">
      <protection locked="0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10" fontId="6" fillId="2" borderId="0" xfId="1" applyNumberFormat="1" applyFont="1" applyFill="1"/>
    <xf numFmtId="0" fontId="2" fillId="2" borderId="0" xfId="0" quotePrefix="1" applyFont="1" applyFill="1" applyBorder="1" applyAlignment="1">
      <alignment horizontal="center"/>
    </xf>
    <xf numFmtId="0" fontId="26" fillId="2" borderId="0" xfId="0" quotePrefix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/>
    <xf numFmtId="0" fontId="6" fillId="2" borderId="6" xfId="0" quotePrefix="1" applyFont="1" applyFill="1" applyBorder="1" applyAlignment="1">
      <alignment horizontal="right"/>
    </xf>
    <xf numFmtId="0" fontId="6" fillId="2" borderId="45" xfId="0" quotePrefix="1" applyFont="1" applyFill="1" applyBorder="1" applyAlignment="1">
      <alignment horizontal="left"/>
    </xf>
    <xf numFmtId="0" fontId="6" fillId="2" borderId="7" xfId="0" quotePrefix="1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40" xfId="0" quotePrefix="1" applyFont="1" applyFill="1" applyBorder="1" applyAlignment="1">
      <alignment horizontal="left"/>
    </xf>
    <xf numFmtId="0" fontId="6" fillId="2" borderId="41" xfId="0" quotePrefix="1" applyFont="1" applyFill="1" applyBorder="1" applyAlignment="1">
      <alignment horizontal="left"/>
    </xf>
    <xf numFmtId="0" fontId="6" fillId="2" borderId="6" xfId="0" applyFont="1" applyFill="1" applyBorder="1" applyAlignment="1">
      <alignment horizontal="right"/>
    </xf>
    <xf numFmtId="10" fontId="6" fillId="2" borderId="7" xfId="0" applyNumberFormat="1" applyFont="1" applyFill="1" applyBorder="1"/>
    <xf numFmtId="10" fontId="6" fillId="2" borderId="9" xfId="1" applyNumberFormat="1" applyFont="1" applyFill="1" applyBorder="1"/>
    <xf numFmtId="10" fontId="6" fillId="2" borderId="8" xfId="1" applyNumberFormat="1" applyFont="1" applyFill="1" applyBorder="1"/>
    <xf numFmtId="0" fontId="14" fillId="2" borderId="0" xfId="0" quotePrefix="1" applyFont="1" applyFill="1" applyAlignment="1">
      <alignment horizontal="left"/>
    </xf>
    <xf numFmtId="0" fontId="0" fillId="2" borderId="0" xfId="0" applyFill="1" applyAlignment="1">
      <alignment horizontal="left"/>
    </xf>
    <xf numFmtId="0" fontId="20" fillId="2" borderId="11" xfId="0" quotePrefix="1" applyFont="1" applyFill="1" applyBorder="1" applyAlignment="1">
      <alignment horizontal="left"/>
    </xf>
    <xf numFmtId="0" fontId="20" fillId="2" borderId="18" xfId="0" applyFont="1" applyFill="1" applyBorder="1"/>
    <xf numFmtId="0" fontId="20" fillId="2" borderId="12" xfId="0" applyFont="1" applyFill="1" applyBorder="1"/>
    <xf numFmtId="0" fontId="22" fillId="2" borderId="13" xfId="0" quotePrefix="1" applyFont="1" applyFill="1" applyBorder="1" applyAlignment="1">
      <alignment horizontal="center"/>
    </xf>
    <xf numFmtId="0" fontId="22" fillId="2" borderId="0" xfId="0" quotePrefix="1" applyFont="1" applyFill="1" applyBorder="1" applyAlignment="1">
      <alignment horizontal="left"/>
    </xf>
    <xf numFmtId="0" fontId="22" fillId="2" borderId="0" xfId="0" applyFont="1" applyFill="1" applyBorder="1"/>
    <xf numFmtId="0" fontId="6" fillId="0" borderId="8" xfId="0" quotePrefix="1" applyFont="1" applyBorder="1" applyAlignment="1">
      <alignment horizontal="right"/>
    </xf>
    <xf numFmtId="0" fontId="22" fillId="2" borderId="14" xfId="0" applyFont="1" applyFill="1" applyBorder="1"/>
    <xf numFmtId="0" fontId="24" fillId="2" borderId="13" xfId="0" applyFont="1" applyFill="1" applyBorder="1"/>
    <xf numFmtId="0" fontId="24" fillId="2" borderId="0" xfId="0" applyFont="1" applyFill="1" applyBorder="1"/>
    <xf numFmtId="0" fontId="24" fillId="2" borderId="14" xfId="0" quotePrefix="1" applyFont="1" applyFill="1" applyBorder="1" applyAlignment="1">
      <alignment horizontal="left"/>
    </xf>
    <xf numFmtId="0" fontId="24" fillId="2" borderId="14" xfId="0" applyFont="1" applyFill="1" applyBorder="1"/>
    <xf numFmtId="0" fontId="24" fillId="2" borderId="13" xfId="0" applyFont="1" applyFill="1" applyBorder="1" applyAlignment="1">
      <alignment horizontal="right"/>
    </xf>
    <xf numFmtId="0" fontId="24" fillId="2" borderId="0" xfId="0" quotePrefix="1" applyFont="1" applyFill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4" fillId="2" borderId="17" xfId="0" applyFont="1" applyFill="1" applyBorder="1" applyAlignment="1">
      <alignment horizontal="right"/>
    </xf>
    <xf numFmtId="0" fontId="24" fillId="2" borderId="16" xfId="0" applyFont="1" applyFill="1" applyBorder="1" applyAlignment="1">
      <alignment horizontal="right"/>
    </xf>
    <xf numFmtId="0" fontId="24" fillId="2" borderId="16" xfId="0" quotePrefix="1" applyFont="1" applyFill="1" applyBorder="1" applyAlignment="1">
      <alignment horizontal="right"/>
    </xf>
    <xf numFmtId="0" fontId="24" fillId="2" borderId="35" xfId="0" applyFont="1" applyFill="1" applyBorder="1"/>
    <xf numFmtId="0" fontId="24" fillId="2" borderId="0" xfId="0" applyFont="1" applyFill="1"/>
    <xf numFmtId="0" fontId="20" fillId="2" borderId="0" xfId="0" quotePrefix="1" applyFont="1" applyFill="1" applyAlignment="1">
      <alignment horizontal="left"/>
    </xf>
    <xf numFmtId="0" fontId="20" fillId="2" borderId="0" xfId="0" applyFont="1" applyFill="1"/>
    <xf numFmtId="0" fontId="24" fillId="2" borderId="25" xfId="0" applyFont="1" applyFill="1" applyBorder="1"/>
    <xf numFmtId="0" fontId="24" fillId="2" borderId="24" xfId="0" applyFont="1" applyFill="1" applyBorder="1"/>
    <xf numFmtId="0" fontId="24" fillId="2" borderId="19" xfId="0" applyFont="1" applyFill="1" applyBorder="1"/>
    <xf numFmtId="0" fontId="0" fillId="2" borderId="52" xfId="0" quotePrefix="1" applyFill="1" applyBorder="1" applyAlignment="1">
      <alignment horizontal="left"/>
    </xf>
    <xf numFmtId="0" fontId="0" fillId="2" borderId="20" xfId="0" applyFill="1" applyBorder="1"/>
    <xf numFmtId="0" fontId="0" fillId="2" borderId="50" xfId="0" applyFill="1" applyBorder="1"/>
    <xf numFmtId="0" fontId="24" fillId="2" borderId="11" xfId="0" quotePrefix="1" applyFont="1" applyFill="1" applyBorder="1" applyAlignment="1">
      <alignment horizontal="right"/>
    </xf>
    <xf numFmtId="0" fontId="24" fillId="2" borderId="18" xfId="0" quotePrefix="1" applyFont="1" applyFill="1" applyBorder="1" applyAlignment="1">
      <alignment horizontal="right"/>
    </xf>
    <xf numFmtId="0" fontId="24" fillId="2" borderId="12" xfId="0" quotePrefix="1" applyFont="1" applyFill="1" applyBorder="1" applyAlignment="1">
      <alignment horizontal="right"/>
    </xf>
    <xf numFmtId="0" fontId="24" fillId="2" borderId="13" xfId="0" quotePrefix="1" applyFont="1" applyFill="1" applyBorder="1" applyAlignment="1">
      <alignment horizontal="right"/>
    </xf>
    <xf numFmtId="0" fontId="24" fillId="2" borderId="14" xfId="0" quotePrefix="1" applyFont="1" applyFill="1" applyBorder="1" applyAlignment="1">
      <alignment horizontal="right"/>
    </xf>
    <xf numFmtId="0" fontId="24" fillId="2" borderId="17" xfId="0" quotePrefix="1" applyFont="1" applyFill="1" applyBorder="1" applyAlignment="1">
      <alignment horizontal="right"/>
    </xf>
    <xf numFmtId="0" fontId="24" fillId="2" borderId="35" xfId="0" quotePrefix="1" applyFont="1" applyFill="1" applyBorder="1" applyAlignment="1">
      <alignment horizontal="right"/>
    </xf>
    <xf numFmtId="0" fontId="24" fillId="6" borderId="0" xfId="0" applyFont="1" applyFill="1" applyAlignment="1">
      <alignment horizontal="right"/>
    </xf>
    <xf numFmtId="0" fontId="6" fillId="0" borderId="0" xfId="0" applyFont="1" applyBorder="1"/>
    <xf numFmtId="0" fontId="41" fillId="0" borderId="9" xfId="0" applyFont="1" applyBorder="1"/>
    <xf numFmtId="0" fontId="41" fillId="0" borderId="7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167" fontId="10" fillId="2" borderId="53" xfId="0" applyNumberFormat="1" applyFont="1" applyFill="1" applyBorder="1" applyProtection="1">
      <protection locked="0"/>
    </xf>
    <xf numFmtId="167" fontId="10" fillId="2" borderId="1" xfId="0" applyNumberFormat="1" applyFont="1" applyFill="1" applyBorder="1" applyProtection="1">
      <protection locked="0"/>
    </xf>
    <xf numFmtId="0" fontId="7" fillId="0" borderId="27" xfId="0" applyFont="1" applyBorder="1" applyAlignment="1">
      <alignment horizontal="left"/>
    </xf>
    <xf numFmtId="0" fontId="7" fillId="3" borderId="19" xfId="0" quotePrefix="1" applyFont="1" applyFill="1" applyBorder="1" applyAlignment="1">
      <alignment horizontal="left"/>
    </xf>
    <xf numFmtId="0" fontId="7" fillId="5" borderId="19" xfId="0" quotePrefix="1" applyFont="1" applyFill="1" applyBorder="1" applyAlignment="1">
      <alignment horizontal="left"/>
    </xf>
    <xf numFmtId="0" fontId="7" fillId="2" borderId="19" xfId="0" quotePrefix="1" applyFont="1" applyFill="1" applyBorder="1" applyAlignment="1">
      <alignment horizontal="left"/>
    </xf>
    <xf numFmtId="0" fontId="7" fillId="6" borderId="25" xfId="0" quotePrefix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Continuous"/>
    </xf>
    <xf numFmtId="0" fontId="7" fillId="5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7" fillId="6" borderId="16" xfId="0" applyFont="1" applyFill="1" applyBorder="1" applyAlignment="1">
      <alignment horizontal="centerContinuous"/>
    </xf>
    <xf numFmtId="0" fontId="7" fillId="3" borderId="13" xfId="0" applyFont="1" applyFill="1" applyBorder="1" applyAlignment="1">
      <alignment horizontal="centerContinuous"/>
    </xf>
    <xf numFmtId="0" fontId="7" fillId="5" borderId="13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7" fillId="6" borderId="17" xfId="0" applyFont="1" applyFill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7" fillId="0" borderId="20" xfId="0" applyFon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7" fillId="0" borderId="27" xfId="0" applyFont="1" applyBorder="1" applyAlignment="1">
      <alignment horizontal="centerContinuous"/>
    </xf>
    <xf numFmtId="0" fontId="7" fillId="3" borderId="19" xfId="0" applyFont="1" applyFill="1" applyBorder="1" applyAlignment="1">
      <alignment horizontal="centerContinuous"/>
    </xf>
    <xf numFmtId="0" fontId="7" fillId="5" borderId="19" xfId="0" applyFont="1" applyFill="1" applyBorder="1" applyAlignment="1">
      <alignment horizontal="centerContinuous"/>
    </xf>
    <xf numFmtId="0" fontId="7" fillId="2" borderId="19" xfId="0" applyFont="1" applyFill="1" applyBorder="1" applyAlignment="1">
      <alignment horizontal="centerContinuous"/>
    </xf>
    <xf numFmtId="0" fontId="7" fillId="6" borderId="25" xfId="0" applyFont="1" applyFill="1" applyBorder="1" applyAlignment="1">
      <alignment horizontal="centerContinuous"/>
    </xf>
    <xf numFmtId="0" fontId="16" fillId="0" borderId="0" xfId="0" quotePrefix="1" applyFont="1" applyAlignment="1">
      <alignment horizontal="left"/>
    </xf>
    <xf numFmtId="0" fontId="0" fillId="0" borderId="0" xfId="0" quotePrefix="1"/>
    <xf numFmtId="167" fontId="3" fillId="0" borderId="0" xfId="0" applyNumberFormat="1" applyFont="1"/>
    <xf numFmtId="10" fontId="6" fillId="6" borderId="0" xfId="0" applyNumberFormat="1" applyFont="1" applyFill="1"/>
    <xf numFmtId="166" fontId="10" fillId="2" borderId="21" xfId="0" applyNumberFormat="1" applyFont="1" applyFill="1" applyBorder="1" applyProtection="1">
      <protection locked="0"/>
    </xf>
    <xf numFmtId="166" fontId="10" fillId="2" borderId="22" xfId="0" applyNumberFormat="1" applyFont="1" applyFill="1" applyBorder="1" applyProtection="1">
      <protection locked="0"/>
    </xf>
    <xf numFmtId="10" fontId="6" fillId="2" borderId="0" xfId="0" applyNumberFormat="1" applyFont="1" applyFill="1"/>
    <xf numFmtId="167" fontId="10" fillId="2" borderId="22" xfId="0" applyNumberFormat="1" applyFont="1" applyFill="1" applyBorder="1" applyProtection="1">
      <protection locked="0"/>
    </xf>
    <xf numFmtId="167" fontId="10" fillId="2" borderId="23" xfId="0" applyNumberFormat="1" applyFont="1" applyFill="1" applyBorder="1" applyProtection="1">
      <protection locked="0"/>
    </xf>
    <xf numFmtId="2" fontId="10" fillId="2" borderId="22" xfId="0" applyNumberFormat="1" applyFont="1" applyFill="1" applyBorder="1" applyProtection="1">
      <protection locked="0"/>
    </xf>
    <xf numFmtId="2" fontId="6" fillId="6" borderId="39" xfId="0" applyNumberFormat="1" applyFont="1" applyFill="1" applyBorder="1"/>
    <xf numFmtId="2" fontId="6" fillId="2" borderId="39" xfId="0" applyNumberFormat="1" applyFont="1" applyFill="1" applyBorder="1"/>
    <xf numFmtId="167" fontId="6" fillId="3" borderId="0" xfId="0" applyNumberFormat="1" applyFont="1" applyFill="1" applyBorder="1"/>
    <xf numFmtId="167" fontId="6" fillId="3" borderId="19" xfId="0" applyNumberFormat="1" applyFont="1" applyFill="1" applyBorder="1"/>
    <xf numFmtId="167" fontId="6" fillId="3" borderId="14" xfId="0" applyNumberFormat="1" applyFont="1" applyFill="1" applyBorder="1"/>
    <xf numFmtId="167" fontId="6" fillId="3" borderId="16" xfId="0" applyNumberFormat="1" applyFont="1" applyFill="1" applyBorder="1"/>
    <xf numFmtId="167" fontId="6" fillId="3" borderId="25" xfId="0" applyNumberFormat="1" applyFont="1" applyFill="1" applyBorder="1"/>
    <xf numFmtId="167" fontId="6" fillId="3" borderId="35" xfId="0" applyNumberFormat="1" applyFont="1" applyFill="1" applyBorder="1"/>
    <xf numFmtId="167" fontId="6" fillId="5" borderId="0" xfId="0" applyNumberFormat="1" applyFont="1" applyFill="1" applyBorder="1"/>
    <xf numFmtId="167" fontId="6" fillId="5" borderId="19" xfId="0" applyNumberFormat="1" applyFont="1" applyFill="1" applyBorder="1"/>
    <xf numFmtId="167" fontId="6" fillId="5" borderId="14" xfId="0" applyNumberFormat="1" applyFont="1" applyFill="1" applyBorder="1"/>
    <xf numFmtId="167" fontId="6" fillId="5" borderId="16" xfId="0" applyNumberFormat="1" applyFont="1" applyFill="1" applyBorder="1"/>
    <xf numFmtId="167" fontId="6" fillId="5" borderId="25" xfId="0" applyNumberFormat="1" applyFont="1" applyFill="1" applyBorder="1"/>
    <xf numFmtId="167" fontId="6" fillId="5" borderId="35" xfId="0" applyNumberFormat="1" applyFont="1" applyFill="1" applyBorder="1"/>
    <xf numFmtId="167" fontId="6" fillId="2" borderId="0" xfId="0" applyNumberFormat="1" applyFont="1" applyFill="1" applyBorder="1"/>
    <xf numFmtId="167" fontId="6" fillId="2" borderId="19" xfId="0" applyNumberFormat="1" applyFont="1" applyFill="1" applyBorder="1"/>
    <xf numFmtId="167" fontId="6" fillId="2" borderId="14" xfId="0" applyNumberFormat="1" applyFont="1" applyFill="1" applyBorder="1"/>
    <xf numFmtId="167" fontId="6" fillId="2" borderId="16" xfId="0" applyNumberFormat="1" applyFont="1" applyFill="1" applyBorder="1"/>
    <xf numFmtId="167" fontId="6" fillId="2" borderId="25" xfId="0" applyNumberFormat="1" applyFont="1" applyFill="1" applyBorder="1"/>
    <xf numFmtId="167" fontId="6" fillId="2" borderId="35" xfId="0" applyNumberFormat="1" applyFont="1" applyFill="1" applyBorder="1"/>
    <xf numFmtId="167" fontId="6" fillId="6" borderId="0" xfId="0" applyNumberFormat="1" applyFont="1" applyFill="1" applyBorder="1"/>
    <xf numFmtId="167" fontId="6" fillId="6" borderId="19" xfId="0" applyNumberFormat="1" applyFont="1" applyFill="1" applyBorder="1"/>
    <xf numFmtId="167" fontId="6" fillId="6" borderId="14" xfId="0" applyNumberFormat="1" applyFont="1" applyFill="1" applyBorder="1"/>
    <xf numFmtId="167" fontId="6" fillId="6" borderId="16" xfId="0" applyNumberFormat="1" applyFont="1" applyFill="1" applyBorder="1"/>
    <xf numFmtId="167" fontId="6" fillId="6" borderId="25" xfId="0" applyNumberFormat="1" applyFont="1" applyFill="1" applyBorder="1"/>
    <xf numFmtId="167" fontId="6" fillId="6" borderId="35" xfId="0" applyNumberFormat="1" applyFont="1" applyFill="1" applyBorder="1"/>
    <xf numFmtId="167" fontId="6" fillId="0" borderId="0" xfId="0" applyNumberFormat="1" applyFont="1"/>
    <xf numFmtId="167" fontId="6" fillId="0" borderId="10" xfId="0" applyNumberFormat="1" applyFont="1" applyBorder="1"/>
    <xf numFmtId="167" fontId="6" fillId="0" borderId="35" xfId="0" applyNumberFormat="1" applyFont="1" applyBorder="1"/>
    <xf numFmtId="167" fontId="6" fillId="0" borderId="25" xfId="0" applyNumberFormat="1" applyFont="1" applyBorder="1"/>
    <xf numFmtId="167" fontId="6" fillId="0" borderId="14" xfId="0" applyNumberFormat="1" applyFont="1" applyBorder="1"/>
    <xf numFmtId="167" fontId="6" fillId="0" borderId="19" xfId="0" applyNumberFormat="1" applyFont="1" applyBorder="1"/>
    <xf numFmtId="167" fontId="6" fillId="0" borderId="45" xfId="0" applyNumberFormat="1" applyFont="1" applyBorder="1"/>
    <xf numFmtId="167" fontId="0" fillId="0" borderId="46" xfId="0" applyNumberFormat="1" applyBorder="1"/>
    <xf numFmtId="167" fontId="6" fillId="0" borderId="24" xfId="0" applyNumberFormat="1" applyFont="1" applyBorder="1"/>
    <xf numFmtId="167" fontId="6" fillId="0" borderId="0" xfId="0" applyNumberFormat="1" applyFont="1" applyAlignment="1">
      <alignment horizontal="right"/>
    </xf>
    <xf numFmtId="167" fontId="6" fillId="0" borderId="39" xfId="0" applyNumberFormat="1" applyFont="1" applyBorder="1"/>
    <xf numFmtId="167" fontId="6" fillId="0" borderId="41" xfId="0" applyNumberFormat="1" applyFont="1" applyBorder="1"/>
    <xf numFmtId="10" fontId="0" fillId="6" borderId="0" xfId="0" applyNumberFormat="1" applyFill="1"/>
    <xf numFmtId="166" fontId="6" fillId="6" borderId="0" xfId="0" quotePrefix="1" applyNumberFormat="1" applyFont="1" applyFill="1" applyBorder="1" applyAlignment="1">
      <alignment horizontal="right"/>
    </xf>
    <xf numFmtId="166" fontId="6" fillId="6" borderId="46" xfId="0" applyNumberFormat="1" applyFont="1" applyFill="1" applyBorder="1"/>
    <xf numFmtId="167" fontId="6" fillId="6" borderId="47" xfId="0" applyNumberFormat="1" applyFont="1" applyFill="1" applyBorder="1" applyProtection="1">
      <protection locked="0"/>
    </xf>
    <xf numFmtId="167" fontId="6" fillId="6" borderId="0" xfId="0" applyNumberFormat="1" applyFont="1" applyFill="1"/>
    <xf numFmtId="167" fontId="6" fillId="6" borderId="48" xfId="0" applyNumberFormat="1" applyFont="1" applyFill="1" applyBorder="1" applyProtection="1">
      <protection locked="0"/>
    </xf>
    <xf numFmtId="167" fontId="6" fillId="6" borderId="49" xfId="0" applyNumberFormat="1" applyFont="1" applyFill="1" applyBorder="1" applyProtection="1">
      <protection locked="0"/>
    </xf>
    <xf numFmtId="167" fontId="6" fillId="6" borderId="45" xfId="0" quotePrefix="1" applyNumberFormat="1" applyFont="1" applyFill="1" applyBorder="1" applyAlignment="1">
      <alignment horizontal="right"/>
    </xf>
    <xf numFmtId="167" fontId="6" fillId="6" borderId="0" xfId="0" quotePrefix="1" applyNumberFormat="1" applyFont="1" applyFill="1" applyBorder="1" applyAlignment="1">
      <alignment horizontal="right"/>
    </xf>
    <xf numFmtId="167" fontId="6" fillId="6" borderId="46" xfId="0" applyNumberFormat="1" applyFont="1" applyFill="1" applyBorder="1"/>
    <xf numFmtId="166" fontId="6" fillId="6" borderId="45" xfId="0" applyNumberFormat="1" applyFont="1" applyFill="1" applyBorder="1"/>
    <xf numFmtId="167" fontId="6" fillId="6" borderId="45" xfId="0" applyNumberFormat="1" applyFont="1" applyFill="1" applyBorder="1"/>
    <xf numFmtId="167" fontId="6" fillId="6" borderId="0" xfId="0" quotePrefix="1" applyNumberFormat="1" applyFont="1" applyFill="1" applyAlignment="1">
      <alignment horizontal="left"/>
    </xf>
    <xf numFmtId="167" fontId="6" fillId="2" borderId="0" xfId="0" applyNumberFormat="1" applyFont="1" applyFill="1"/>
    <xf numFmtId="167" fontId="6" fillId="6" borderId="47" xfId="0" applyNumberFormat="1" applyFont="1" applyFill="1" applyBorder="1"/>
    <xf numFmtId="167" fontId="6" fillId="6" borderId="48" xfId="0" applyNumberFormat="1" applyFont="1" applyFill="1" applyBorder="1"/>
    <xf numFmtId="167" fontId="6" fillId="6" borderId="49" xfId="0" applyNumberFormat="1" applyFont="1" applyFill="1" applyBorder="1"/>
    <xf numFmtId="167" fontId="6" fillId="6" borderId="4" xfId="0" applyNumberFormat="1" applyFont="1" applyFill="1" applyBorder="1"/>
    <xf numFmtId="167" fontId="6" fillId="6" borderId="6" xfId="0" applyNumberFormat="1" applyFont="1" applyFill="1" applyBorder="1" applyAlignment="1">
      <alignment horizontal="right"/>
    </xf>
    <xf numFmtId="167" fontId="6" fillId="6" borderId="5" xfId="0" applyNumberFormat="1" applyFont="1" applyFill="1" applyBorder="1"/>
    <xf numFmtId="0" fontId="44" fillId="2" borderId="0" xfId="0" applyFont="1" applyFill="1"/>
    <xf numFmtId="0" fontId="44" fillId="6" borderId="0" xfId="0" applyFont="1" applyFill="1"/>
    <xf numFmtId="2" fontId="6" fillId="0" borderId="0" xfId="0" applyNumberFormat="1" applyFont="1"/>
    <xf numFmtId="166" fontId="6" fillId="0" borderId="0" xfId="0" applyNumberFormat="1" applyFont="1"/>
    <xf numFmtId="167" fontId="6" fillId="0" borderId="4" xfId="1" applyNumberFormat="1" applyFont="1" applyBorder="1"/>
    <xf numFmtId="167" fontId="0" fillId="0" borderId="5" xfId="0" applyNumberFormat="1" applyBorder="1"/>
    <xf numFmtId="166" fontId="6" fillId="0" borderId="19" xfId="0" applyNumberFormat="1" applyFont="1" applyFill="1" applyBorder="1" applyProtection="1"/>
    <xf numFmtId="166" fontId="6" fillId="0" borderId="25" xfId="0" applyNumberFormat="1" applyFont="1" applyFill="1" applyBorder="1" applyProtection="1"/>
    <xf numFmtId="0" fontId="6" fillId="0" borderId="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7" fontId="10" fillId="2" borderId="21" xfId="0" applyNumberFormat="1" applyFont="1" applyFill="1" applyBorder="1" applyProtection="1">
      <protection locked="0"/>
    </xf>
    <xf numFmtId="0" fontId="35" fillId="2" borderId="0" xfId="0" applyFont="1" applyFill="1" applyBorder="1"/>
    <xf numFmtId="0" fontId="35" fillId="6" borderId="0" xfId="0" applyFont="1" applyFill="1" applyBorder="1"/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166" fontId="6" fillId="3" borderId="0" xfId="0" applyNumberFormat="1" applyFont="1" applyFill="1"/>
    <xf numFmtId="10" fontId="6" fillId="3" borderId="0" xfId="0" applyNumberFormat="1" applyFont="1" applyFill="1"/>
    <xf numFmtId="167" fontId="6" fillId="5" borderId="0" xfId="0" applyNumberFormat="1" applyFont="1" applyFill="1"/>
    <xf numFmtId="165" fontId="6" fillId="5" borderId="0" xfId="0" applyNumberFormat="1" applyFont="1" applyFill="1"/>
    <xf numFmtId="166" fontId="6" fillId="2" borderId="0" xfId="0" applyNumberFormat="1" applyFont="1" applyFill="1" applyBorder="1"/>
    <xf numFmtId="165" fontId="6" fillId="2" borderId="0" xfId="0" applyNumberFormat="1" applyFont="1" applyFill="1"/>
    <xf numFmtId="0" fontId="44" fillId="6" borderId="0" xfId="0" applyFont="1" applyFill="1" applyBorder="1" applyAlignment="1">
      <alignment horizontal="right"/>
    </xf>
    <xf numFmtId="166" fontId="6" fillId="6" borderId="0" xfId="0" applyNumberFormat="1" applyFont="1" applyFill="1"/>
    <xf numFmtId="164" fontId="6" fillId="6" borderId="0" xfId="0" applyNumberFormat="1" applyFont="1" applyFill="1"/>
    <xf numFmtId="10" fontId="6" fillId="0" borderId="0" xfId="0" applyNumberFormat="1" applyFont="1"/>
    <xf numFmtId="0" fontId="25" fillId="2" borderId="0" xfId="0" quotePrefix="1" applyFont="1" applyFill="1" applyBorder="1" applyAlignment="1">
      <alignment horizontal="center"/>
    </xf>
    <xf numFmtId="0" fontId="3" fillId="0" borderId="0" xfId="0" applyFont="1" applyFill="1" applyBorder="1"/>
    <xf numFmtId="0" fontId="3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Linear Model</a:t>
            </a:r>
          </a:p>
        </c:rich>
      </c:tx>
      <c:layout>
        <c:manualLayout>
          <c:xMode val="edge"/>
          <c:yMode val="edge"/>
          <c:x val="0.35405105438401774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355048859934854"/>
          <c:w val="0.79578246392896779"/>
          <c:h val="0.72312703583061888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0.21940000000000001</c:v>
                </c:pt>
                <c:pt idx="1">
                  <c:v>0.71409999999999996</c:v>
                </c:pt>
                <c:pt idx="2">
                  <c:v>1.2885</c:v>
                </c:pt>
                <c:pt idx="3">
                  <c:v>1.9132</c:v>
                </c:pt>
                <c:pt idx="4">
                  <c:v>2.5910000000000002</c:v>
                </c:pt>
                <c:pt idx="5">
                  <c:v>3.2866</c:v>
                </c:pt>
                <c:pt idx="6">
                  <c:v>4.1078000000000001</c:v>
                </c:pt>
                <c:pt idx="7">
                  <c:v>4.9446000000000003</c:v>
                </c:pt>
                <c:pt idx="8">
                  <c:v>5.8144999999999998</c:v>
                </c:pt>
                <c:pt idx="9">
                  <c:v>6.7229999999999999</c:v>
                </c:pt>
                <c:pt idx="10">
                  <c:v>7.7283999999999997</c:v>
                </c:pt>
                <c:pt idx="11">
                  <c:v>8.7566000000000006</c:v>
                </c:pt>
                <c:pt idx="12">
                  <c:v>9.8012999999999995</c:v>
                </c:pt>
                <c:pt idx="13">
                  <c:v>10.8818</c:v>
                </c:pt>
                <c:pt idx="14">
                  <c:v>12.0982</c:v>
                </c:pt>
                <c:pt idx="15">
                  <c:v>13.312200000000001</c:v>
                </c:pt>
                <c:pt idx="16">
                  <c:v>14.584</c:v>
                </c:pt>
                <c:pt idx="17">
                  <c:v>15.9238</c:v>
                </c:pt>
                <c:pt idx="18">
                  <c:v>17.327100000000002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Line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Data'!$F$12:$F$113</c:f>
              <c:numCache>
                <c:formatCode>General</c:formatCode>
                <c:ptCount val="102"/>
                <c:pt idx="51">
                  <c:v>-1.0777515789473675</c:v>
                </c:pt>
                <c:pt idx="52">
                  <c:v>-0.73566025263157764</c:v>
                </c:pt>
                <c:pt idx="53">
                  <c:v>-0.39356892631578788</c:v>
                </c:pt>
                <c:pt idx="54">
                  <c:v>-5.1477599999997903E-2</c:v>
                </c:pt>
                <c:pt idx="55">
                  <c:v>0.29061372631579174</c:v>
                </c:pt>
                <c:pt idx="56">
                  <c:v>0.63270505263158161</c:v>
                </c:pt>
                <c:pt idx="57">
                  <c:v>0.97479637894737126</c:v>
                </c:pt>
                <c:pt idx="58">
                  <c:v>1.3168877052631611</c:v>
                </c:pt>
                <c:pt idx="59">
                  <c:v>1.658979031578951</c:v>
                </c:pt>
                <c:pt idx="60">
                  <c:v>2.0010703578947404</c:v>
                </c:pt>
                <c:pt idx="61">
                  <c:v>2.3431616842105303</c:v>
                </c:pt>
                <c:pt idx="62">
                  <c:v>2.6852530105263201</c:v>
                </c:pt>
                <c:pt idx="63">
                  <c:v>3.02734433684211</c:v>
                </c:pt>
                <c:pt idx="64">
                  <c:v>3.3694356631579003</c:v>
                </c:pt>
                <c:pt idx="65">
                  <c:v>3.7115269894736906</c:v>
                </c:pt>
                <c:pt idx="66">
                  <c:v>4.053618315789481</c:v>
                </c:pt>
                <c:pt idx="67">
                  <c:v>4.3957096421052704</c:v>
                </c:pt>
                <c:pt idx="68">
                  <c:v>4.7378009684210607</c:v>
                </c:pt>
                <c:pt idx="69">
                  <c:v>5.079892294736851</c:v>
                </c:pt>
                <c:pt idx="70">
                  <c:v>5.4219836210526413</c:v>
                </c:pt>
                <c:pt idx="71">
                  <c:v>5.7640749473684316</c:v>
                </c:pt>
                <c:pt idx="72">
                  <c:v>6.1061662736842219</c:v>
                </c:pt>
                <c:pt idx="73">
                  <c:v>6.4482576000000114</c:v>
                </c:pt>
                <c:pt idx="74">
                  <c:v>6.7903489263158017</c:v>
                </c:pt>
                <c:pt idx="75">
                  <c:v>7.1324402526315911</c:v>
                </c:pt>
                <c:pt idx="76">
                  <c:v>7.4745315789473796</c:v>
                </c:pt>
                <c:pt idx="77">
                  <c:v>7.8166229052631699</c:v>
                </c:pt>
                <c:pt idx="78">
                  <c:v>8.1587142315789585</c:v>
                </c:pt>
                <c:pt idx="79">
                  <c:v>8.5008055578947488</c:v>
                </c:pt>
                <c:pt idx="80">
                  <c:v>8.8428968842105373</c:v>
                </c:pt>
                <c:pt idx="81">
                  <c:v>9.1849882105263276</c:v>
                </c:pt>
                <c:pt idx="82">
                  <c:v>9.5270795368421162</c:v>
                </c:pt>
                <c:pt idx="83">
                  <c:v>9.8691708631579065</c:v>
                </c:pt>
                <c:pt idx="84">
                  <c:v>10.211262189473695</c:v>
                </c:pt>
                <c:pt idx="85">
                  <c:v>10.553353515789484</c:v>
                </c:pt>
                <c:pt idx="86">
                  <c:v>10.895444842105274</c:v>
                </c:pt>
                <c:pt idx="87">
                  <c:v>11.237536168421062</c:v>
                </c:pt>
                <c:pt idx="88">
                  <c:v>11.579627494736853</c:v>
                </c:pt>
                <c:pt idx="89">
                  <c:v>11.921718821052641</c:v>
                </c:pt>
                <c:pt idx="90">
                  <c:v>12.263810147368432</c:v>
                </c:pt>
                <c:pt idx="91">
                  <c:v>12.60590147368422</c:v>
                </c:pt>
                <c:pt idx="92">
                  <c:v>12.947992800000009</c:v>
                </c:pt>
                <c:pt idx="93">
                  <c:v>13.290084126315799</c:v>
                </c:pt>
                <c:pt idx="94">
                  <c:v>13.632175452631587</c:v>
                </c:pt>
                <c:pt idx="95">
                  <c:v>13.974266778947378</c:v>
                </c:pt>
                <c:pt idx="96">
                  <c:v>14.316358105263168</c:v>
                </c:pt>
                <c:pt idx="97">
                  <c:v>14.658449431578958</c:v>
                </c:pt>
                <c:pt idx="98">
                  <c:v>15.000540757894747</c:v>
                </c:pt>
                <c:pt idx="99">
                  <c:v>15.342632084210535</c:v>
                </c:pt>
                <c:pt idx="100">
                  <c:v>15.684723410526324</c:v>
                </c:pt>
                <c:pt idx="101">
                  <c:v>16.026814736842116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Data'!$G$12:$G$113</c:f>
              <c:numCache>
                <c:formatCode>General</c:formatCode>
                <c:ptCount val="102"/>
                <c:pt idx="51">
                  <c:v>-1.7351480048080314</c:v>
                </c:pt>
                <c:pt idx="52">
                  <c:v>-1.3739746431568145</c:v>
                </c:pt>
                <c:pt idx="53">
                  <c:v>-1.0130280751399923</c:v>
                </c:pt>
                <c:pt idx="54">
                  <c:v>-0.65232965206072402</c:v>
                </c:pt>
                <c:pt idx="55">
                  <c:v>-0.29190315357897789</c:v>
                </c:pt>
                <c:pt idx="56">
                  <c:v>6.8224922111238318E-2</c:v>
                </c:pt>
                <c:pt idx="57">
                  <c:v>0.42802504133413777</c:v>
                </c:pt>
                <c:pt idx="58">
                  <c:v>0.78746429341623547</c:v>
                </c:pt>
                <c:pt idx="59">
                  <c:v>1.1465060294792415</c:v>
                </c:pt>
                <c:pt idx="60">
                  <c:v>1.5051094902411397</c:v>
                </c:pt>
                <c:pt idx="61">
                  <c:v>1.8632294368052216</c:v>
                </c:pt>
                <c:pt idx="62">
                  <c:v>2.2208158054614344</c:v>
                </c:pt>
                <c:pt idx="63">
                  <c:v>2.577813416558945</c:v>
                </c:pt>
                <c:pt idx="64">
                  <c:v>2.9341617785450622</c:v>
                </c:pt>
                <c:pt idx="65">
                  <c:v>3.2897950408920762</c:v>
                </c:pt>
                <c:pt idx="66">
                  <c:v>3.6446421627241525</c:v>
                </c:pt>
                <c:pt idx="67">
                  <c:v>3.9986273753255022</c:v>
                </c:pt>
                <c:pt idx="68">
                  <c:v>4.3516710228082172</c:v>
                </c:pt>
                <c:pt idx="69">
                  <c:v>4.7036908610604629</c:v>
                </c:pt>
                <c:pt idx="70">
                  <c:v>5.0546038747484436</c:v>
                </c:pt>
                <c:pt idx="71">
                  <c:v>5.4043286301085072</c:v>
                </c:pt>
                <c:pt idx="72">
                  <c:v>5.7527881149607474</c:v>
                </c:pt>
                <c:pt idx="73">
                  <c:v>6.0999129304029536</c:v>
                </c:pt>
                <c:pt idx="74">
                  <c:v>6.4456446035930552</c:v>
                </c:pt>
                <c:pt idx="75">
                  <c:v>6.7899387097679336</c:v>
                </c:pt>
                <c:pt idx="76">
                  <c:v>7.1327674510500838</c:v>
                </c:pt>
                <c:pt idx="77">
                  <c:v>7.4741213623995124</c:v>
                </c:pt>
                <c:pt idx="78">
                  <c:v>7.814009908856212</c:v>
                </c:pt>
                <c:pt idx="79">
                  <c:v>8.152460888297691</c:v>
                </c:pt>
                <c:pt idx="80">
                  <c:v>8.4895187254870628</c:v>
                </c:pt>
                <c:pt idx="81">
                  <c:v>8.8252418932664032</c:v>
                </c:pt>
                <c:pt idx="82">
                  <c:v>9.1596997905379176</c:v>
                </c:pt>
                <c:pt idx="83">
                  <c:v>9.4929694294815192</c:v>
                </c:pt>
                <c:pt idx="84">
                  <c:v>9.8251322438608515</c:v>
                </c:pt>
                <c:pt idx="85">
                  <c:v>10.156271249009714</c:v>
                </c:pt>
                <c:pt idx="86">
                  <c:v>10.486468689039945</c:v>
                </c:pt>
                <c:pt idx="87">
                  <c:v>10.815804219839448</c:v>
                </c:pt>
                <c:pt idx="88">
                  <c:v>11.144353610124014</c:v>
                </c:pt>
                <c:pt idx="89">
                  <c:v>11.472187900769477</c:v>
                </c:pt>
                <c:pt idx="90">
                  <c:v>11.799372942303545</c:v>
                </c:pt>
                <c:pt idx="91">
                  <c:v>12.125969226278912</c:v>
                </c:pt>
                <c:pt idx="92">
                  <c:v>12.452031932346408</c:v>
                </c:pt>
                <c:pt idx="93">
                  <c:v>12.77761112421609</c:v>
                </c:pt>
                <c:pt idx="94">
                  <c:v>13.102752040784662</c:v>
                </c:pt>
                <c:pt idx="95">
                  <c:v>13.427495441334145</c:v>
                </c:pt>
                <c:pt idx="96">
                  <c:v>13.751877974742825</c:v>
                </c:pt>
                <c:pt idx="97">
                  <c:v>14.07593255168419</c:v>
                </c:pt>
                <c:pt idx="98">
                  <c:v>14.399688705834022</c:v>
                </c:pt>
                <c:pt idx="99">
                  <c:v>14.723172935386332</c:v>
                </c:pt>
                <c:pt idx="100">
                  <c:v>15.046409020001088</c:v>
                </c:pt>
                <c:pt idx="101">
                  <c:v>15.369418310981452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Data'!$H$12:$H$113</c:f>
              <c:numCache>
                <c:formatCode>General</c:formatCode>
                <c:ptCount val="102"/>
                <c:pt idx="51">
                  <c:v>-0.42035515308670357</c:v>
                </c:pt>
                <c:pt idx="52">
                  <c:v>-9.7345862106340775E-2</c:v>
                </c:pt>
                <c:pt idx="53">
                  <c:v>0.2258902225084165</c:v>
                </c:pt>
                <c:pt idx="54">
                  <c:v>0.54937445206072821</c:v>
                </c:pt>
                <c:pt idx="55">
                  <c:v>0.87313060621056138</c:v>
                </c:pt>
                <c:pt idx="56">
                  <c:v>1.1971851831519249</c:v>
                </c:pt>
                <c:pt idx="57">
                  <c:v>1.5215677165606047</c:v>
                </c:pt>
                <c:pt idx="58">
                  <c:v>1.8463111171100868</c:v>
                </c:pt>
                <c:pt idx="59">
                  <c:v>2.1714520336786602</c:v>
                </c:pt>
                <c:pt idx="60">
                  <c:v>2.4970312255483411</c:v>
                </c:pt>
                <c:pt idx="61">
                  <c:v>2.8230939316158388</c:v>
                </c:pt>
                <c:pt idx="62">
                  <c:v>3.1496902155912059</c:v>
                </c:pt>
                <c:pt idx="63">
                  <c:v>3.476875257125275</c:v>
                </c:pt>
                <c:pt idx="64">
                  <c:v>3.8047095477707384</c:v>
                </c:pt>
                <c:pt idx="65">
                  <c:v>4.1332589380553051</c:v>
                </c:pt>
                <c:pt idx="66">
                  <c:v>4.4625944688548094</c:v>
                </c:pt>
                <c:pt idx="67">
                  <c:v>4.7927919088850386</c:v>
                </c:pt>
                <c:pt idx="68">
                  <c:v>5.1239309140339042</c:v>
                </c:pt>
                <c:pt idx="69">
                  <c:v>5.4560937284132391</c:v>
                </c:pt>
                <c:pt idx="70">
                  <c:v>5.789363367356839</c:v>
                </c:pt>
                <c:pt idx="71">
                  <c:v>6.1238212646283561</c:v>
                </c:pt>
                <c:pt idx="72">
                  <c:v>6.4595444324076965</c:v>
                </c:pt>
                <c:pt idx="73">
                  <c:v>6.7966022695970691</c:v>
                </c:pt>
                <c:pt idx="74">
                  <c:v>7.1350532490385481</c:v>
                </c:pt>
                <c:pt idx="75">
                  <c:v>7.4749417954952486</c:v>
                </c:pt>
                <c:pt idx="76">
                  <c:v>7.8162957068446755</c:v>
                </c:pt>
                <c:pt idx="77">
                  <c:v>8.1591244481268284</c:v>
                </c:pt>
                <c:pt idx="78">
                  <c:v>8.5034185543017049</c:v>
                </c:pt>
                <c:pt idx="79">
                  <c:v>8.8491502274918066</c:v>
                </c:pt>
                <c:pt idx="80">
                  <c:v>9.1962750429340119</c:v>
                </c:pt>
                <c:pt idx="81">
                  <c:v>9.5447345277862521</c:v>
                </c:pt>
                <c:pt idx="82">
                  <c:v>9.8944592831463147</c:v>
                </c:pt>
                <c:pt idx="83">
                  <c:v>10.245372296834294</c:v>
                </c:pt>
                <c:pt idx="84">
                  <c:v>10.597392135086539</c:v>
                </c:pt>
                <c:pt idx="85">
                  <c:v>10.950435782569253</c:v>
                </c:pt>
                <c:pt idx="86">
                  <c:v>11.304420995170602</c:v>
                </c:pt>
                <c:pt idx="87">
                  <c:v>11.659268117002677</c:v>
                </c:pt>
                <c:pt idx="88">
                  <c:v>12.014901379349691</c:v>
                </c:pt>
                <c:pt idx="89">
                  <c:v>12.371249741335806</c:v>
                </c:pt>
                <c:pt idx="90">
                  <c:v>12.728247352433318</c:v>
                </c:pt>
                <c:pt idx="91">
                  <c:v>13.085833721089529</c:v>
                </c:pt>
                <c:pt idx="92">
                  <c:v>13.443953667653609</c:v>
                </c:pt>
                <c:pt idx="93">
                  <c:v>13.802557128415508</c:v>
                </c:pt>
                <c:pt idx="94">
                  <c:v>14.161598864478513</c:v>
                </c:pt>
                <c:pt idx="95">
                  <c:v>14.521038116560611</c:v>
                </c:pt>
                <c:pt idx="96">
                  <c:v>14.880838235783511</c:v>
                </c:pt>
                <c:pt idx="97">
                  <c:v>15.240966311473727</c:v>
                </c:pt>
                <c:pt idx="98">
                  <c:v>15.601392809955472</c:v>
                </c:pt>
                <c:pt idx="99">
                  <c:v>15.962091233034739</c:v>
                </c:pt>
                <c:pt idx="100">
                  <c:v>16.323037801051562</c:v>
                </c:pt>
                <c:pt idx="101">
                  <c:v>16.68421116270278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749000"/>
        <c:axId val="236749392"/>
      </c:scatterChart>
      <c:valAx>
        <c:axId val="23674900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49392"/>
        <c:crosses val="autoZero"/>
        <c:crossBetween val="midCat"/>
      </c:valAx>
      <c:valAx>
        <c:axId val="2367493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856677524429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4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6071032186459"/>
          <c:y val="0.26384364820846906"/>
          <c:w val="0.22641509433962265"/>
          <c:h val="0.138436482084690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Linear Model</a:t>
            </a:r>
          </a:p>
        </c:rich>
      </c:tx>
      <c:layout>
        <c:manualLayout>
          <c:xMode val="edge"/>
          <c:yMode val="edge"/>
          <c:x val="0.38401775804661487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13355048859934854"/>
          <c:w val="0.86792452830188682"/>
          <c:h val="0.76872964169381108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Data'!$I$12:$I$61</c:f>
              <c:numCache>
                <c:formatCode>General</c:formatCode>
                <c:ptCount val="50"/>
                <c:pt idx="0">
                  <c:v>1.2971515789473675</c:v>
                </c:pt>
                <c:pt idx="1">
                  <c:v>0.8415978947368401</c:v>
                </c:pt>
                <c:pt idx="2">
                  <c:v>0.46574421052631276</c:v>
                </c:pt>
                <c:pt idx="3">
                  <c:v>0.14019052631578544</c:v>
                </c:pt>
                <c:pt idx="4">
                  <c:v>-0.13226315789474175</c:v>
                </c:pt>
                <c:pt idx="5">
                  <c:v>-0.38691684210526933</c:v>
                </c:pt>
                <c:pt idx="6">
                  <c:v>-0.51597052631579654</c:v>
                </c:pt>
                <c:pt idx="7">
                  <c:v>-0.62942421052632369</c:v>
                </c:pt>
                <c:pt idx="8">
                  <c:v>-0.7097778947368516</c:v>
                </c:pt>
                <c:pt idx="9">
                  <c:v>-0.75153157894737799</c:v>
                </c:pt>
                <c:pt idx="10">
                  <c:v>-0.69638526315790639</c:v>
                </c:pt>
                <c:pt idx="11">
                  <c:v>-0.61843894736843374</c:v>
                </c:pt>
                <c:pt idx="12">
                  <c:v>-0.52399263157896137</c:v>
                </c:pt>
                <c:pt idx="13">
                  <c:v>-0.39374631578948716</c:v>
                </c:pt>
                <c:pt idx="14">
                  <c:v>-0.12760000000001526</c:v>
                </c:pt>
                <c:pt idx="15">
                  <c:v>0.13614631578945691</c:v>
                </c:pt>
                <c:pt idx="16">
                  <c:v>0.45769263157892937</c:v>
                </c:pt>
                <c:pt idx="17">
                  <c:v>0.84723894736840322</c:v>
                </c:pt>
                <c:pt idx="18">
                  <c:v>1.3002852631578783</c:v>
                </c:pt>
                <c:pt idx="19">
                  <c:v>1.3002852631578783</c:v>
                </c:pt>
                <c:pt idx="20">
                  <c:v>1.3002852631578783</c:v>
                </c:pt>
                <c:pt idx="21">
                  <c:v>1.3002852631578783</c:v>
                </c:pt>
                <c:pt idx="22">
                  <c:v>1.3002852631578783</c:v>
                </c:pt>
                <c:pt idx="23">
                  <c:v>1.3002852631578783</c:v>
                </c:pt>
                <c:pt idx="24">
                  <c:v>1.3002852631578783</c:v>
                </c:pt>
                <c:pt idx="25">
                  <c:v>1.3002852631578783</c:v>
                </c:pt>
                <c:pt idx="26">
                  <c:v>1.3002852631578783</c:v>
                </c:pt>
                <c:pt idx="27">
                  <c:v>1.3002852631578783</c:v>
                </c:pt>
                <c:pt idx="28">
                  <c:v>1.3002852631578783</c:v>
                </c:pt>
                <c:pt idx="29">
                  <c:v>1.3002852631578783</c:v>
                </c:pt>
                <c:pt idx="30">
                  <c:v>1.3002852631578783</c:v>
                </c:pt>
                <c:pt idx="31">
                  <c:v>1.3002852631578783</c:v>
                </c:pt>
                <c:pt idx="32">
                  <c:v>1.3002852631578783</c:v>
                </c:pt>
                <c:pt idx="33">
                  <c:v>1.3002852631578783</c:v>
                </c:pt>
                <c:pt idx="34">
                  <c:v>1.3002852631578783</c:v>
                </c:pt>
                <c:pt idx="35">
                  <c:v>1.3002852631578783</c:v>
                </c:pt>
                <c:pt idx="36">
                  <c:v>1.3002852631578783</c:v>
                </c:pt>
                <c:pt idx="37">
                  <c:v>1.3002852631578783</c:v>
                </c:pt>
                <c:pt idx="38">
                  <c:v>1.3002852631578783</c:v>
                </c:pt>
                <c:pt idx="39">
                  <c:v>1.3002852631578783</c:v>
                </c:pt>
                <c:pt idx="40">
                  <c:v>1.3002852631578783</c:v>
                </c:pt>
                <c:pt idx="41">
                  <c:v>1.3002852631578783</c:v>
                </c:pt>
                <c:pt idx="42">
                  <c:v>1.3002852631578783</c:v>
                </c:pt>
                <c:pt idx="43">
                  <c:v>1.3002852631578783</c:v>
                </c:pt>
                <c:pt idx="44">
                  <c:v>1.3002852631578783</c:v>
                </c:pt>
                <c:pt idx="45">
                  <c:v>1.3002852631578783</c:v>
                </c:pt>
                <c:pt idx="46">
                  <c:v>1.3002852631578783</c:v>
                </c:pt>
                <c:pt idx="47">
                  <c:v>1.3002852631578783</c:v>
                </c:pt>
                <c:pt idx="48">
                  <c:v>1.3002852631578783</c:v>
                </c:pt>
                <c:pt idx="49">
                  <c:v>1.3002852631578783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750176"/>
        <c:axId val="236750568"/>
      </c:scatterChart>
      <c:valAx>
        <c:axId val="23675017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50568"/>
        <c:crosses val="autoZero"/>
        <c:crossBetween val="midCat"/>
      </c:valAx>
      <c:valAx>
        <c:axId val="236750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9185667752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5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Quadratic Model</a:t>
            </a:r>
          </a:p>
        </c:rich>
      </c:tx>
      <c:layout>
        <c:manualLayout>
          <c:xMode val="edge"/>
          <c:yMode val="edge"/>
          <c:x val="0.33851276359600446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355048859934854"/>
          <c:w val="0.79578246392896779"/>
          <c:h val="0.72312703583061888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0.21940000000000001</c:v>
                </c:pt>
                <c:pt idx="1">
                  <c:v>0.71409999999999996</c:v>
                </c:pt>
                <c:pt idx="2">
                  <c:v>1.2885</c:v>
                </c:pt>
                <c:pt idx="3">
                  <c:v>1.9132</c:v>
                </c:pt>
                <c:pt idx="4">
                  <c:v>2.5910000000000002</c:v>
                </c:pt>
                <c:pt idx="5">
                  <c:v>3.2866</c:v>
                </c:pt>
                <c:pt idx="6">
                  <c:v>4.1078000000000001</c:v>
                </c:pt>
                <c:pt idx="7">
                  <c:v>4.9446000000000003</c:v>
                </c:pt>
                <c:pt idx="8">
                  <c:v>5.8144999999999998</c:v>
                </c:pt>
                <c:pt idx="9">
                  <c:v>6.7229999999999999</c:v>
                </c:pt>
                <c:pt idx="10">
                  <c:v>7.7283999999999997</c:v>
                </c:pt>
                <c:pt idx="11">
                  <c:v>8.7566000000000006</c:v>
                </c:pt>
                <c:pt idx="12">
                  <c:v>9.8012999999999995</c:v>
                </c:pt>
                <c:pt idx="13">
                  <c:v>10.8818</c:v>
                </c:pt>
                <c:pt idx="14">
                  <c:v>12.0982</c:v>
                </c:pt>
                <c:pt idx="15">
                  <c:v>13.312200000000001</c:v>
                </c:pt>
                <c:pt idx="16">
                  <c:v>14.584</c:v>
                </c:pt>
                <c:pt idx="17">
                  <c:v>15.9238</c:v>
                </c:pt>
                <c:pt idx="18">
                  <c:v>17.327100000000002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Curve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Data'!$J$12:$J$113</c:f>
              <c:numCache>
                <c:formatCode>General</c:formatCode>
                <c:ptCount val="102"/>
                <c:pt idx="51">
                  <c:v>0.19642135338347089</c:v>
                </c:pt>
                <c:pt idx="52">
                  <c:v>0.37985566421938438</c:v>
                </c:pt>
                <c:pt idx="53">
                  <c:v>0.5697657716054968</c:v>
                </c:pt>
                <c:pt idx="54">
                  <c:v>0.76615167554180841</c:v>
                </c:pt>
                <c:pt idx="55">
                  <c:v>0.96901337602831883</c:v>
                </c:pt>
                <c:pt idx="56">
                  <c:v>1.1783508730650283</c:v>
                </c:pt>
                <c:pt idx="57">
                  <c:v>1.3941641666519367</c:v>
                </c:pt>
                <c:pt idx="58">
                  <c:v>1.6164532567890442</c:v>
                </c:pt>
                <c:pt idx="59">
                  <c:v>1.8452181434763504</c:v>
                </c:pt>
                <c:pt idx="60">
                  <c:v>2.0804588267138557</c:v>
                </c:pt>
                <c:pt idx="61">
                  <c:v>2.3221753065015602</c:v>
                </c:pt>
                <c:pt idx="62">
                  <c:v>2.5703675828394639</c:v>
                </c:pt>
                <c:pt idx="63">
                  <c:v>2.8250356557275667</c:v>
                </c:pt>
                <c:pt idx="64">
                  <c:v>3.0861795251658681</c:v>
                </c:pt>
                <c:pt idx="65">
                  <c:v>3.3537991911543692</c:v>
                </c:pt>
                <c:pt idx="66">
                  <c:v>3.627894653693069</c:v>
                </c:pt>
                <c:pt idx="67">
                  <c:v>3.9084659127819674</c:v>
                </c:pt>
                <c:pt idx="68">
                  <c:v>4.1955129684210659</c:v>
                </c:pt>
                <c:pt idx="69">
                  <c:v>4.4890358206103622</c:v>
                </c:pt>
                <c:pt idx="70">
                  <c:v>4.7890344693498585</c:v>
                </c:pt>
                <c:pt idx="71">
                  <c:v>5.0955089146395531</c:v>
                </c:pt>
                <c:pt idx="72">
                  <c:v>5.4084591564794469</c:v>
                </c:pt>
                <c:pt idx="73">
                  <c:v>5.7278851948695397</c:v>
                </c:pt>
                <c:pt idx="74">
                  <c:v>6.0537870298098317</c:v>
                </c:pt>
                <c:pt idx="75">
                  <c:v>6.386164661300322</c:v>
                </c:pt>
                <c:pt idx="76">
                  <c:v>6.7250180893410105</c:v>
                </c:pt>
                <c:pt idx="77">
                  <c:v>7.0703473139318991</c:v>
                </c:pt>
                <c:pt idx="78">
                  <c:v>7.422152335072985</c:v>
                </c:pt>
                <c:pt idx="79">
                  <c:v>7.7804331527642727</c:v>
                </c:pt>
                <c:pt idx="80">
                  <c:v>8.1451897670057569</c:v>
                </c:pt>
                <c:pt idx="81">
                  <c:v>8.5164221777974412</c:v>
                </c:pt>
                <c:pt idx="82">
                  <c:v>8.8941303851393236</c:v>
                </c:pt>
                <c:pt idx="83">
                  <c:v>9.2783143890314044</c:v>
                </c:pt>
                <c:pt idx="84">
                  <c:v>9.6689741894736869</c:v>
                </c:pt>
                <c:pt idx="85">
                  <c:v>10.066109786466166</c:v>
                </c:pt>
                <c:pt idx="86">
                  <c:v>10.469721180008845</c:v>
                </c:pt>
                <c:pt idx="87">
                  <c:v>10.879808370101724</c:v>
                </c:pt>
                <c:pt idx="88">
                  <c:v>11.2963713567448</c:v>
                </c:pt>
                <c:pt idx="89">
                  <c:v>11.719410139938077</c:v>
                </c:pt>
                <c:pt idx="90">
                  <c:v>12.148924719681551</c:v>
                </c:pt>
                <c:pt idx="91">
                  <c:v>12.584915095975225</c:v>
                </c:pt>
                <c:pt idx="92">
                  <c:v>13.027381268819097</c:v>
                </c:pt>
                <c:pt idx="93">
                  <c:v>13.476323238213169</c:v>
                </c:pt>
                <c:pt idx="94">
                  <c:v>13.931741004157439</c:v>
                </c:pt>
                <c:pt idx="95">
                  <c:v>14.393634566651908</c:v>
                </c:pt>
                <c:pt idx="96">
                  <c:v>14.86200392569658</c:v>
                </c:pt>
                <c:pt idx="97">
                  <c:v>15.336849081291449</c:v>
                </c:pt>
                <c:pt idx="98">
                  <c:v>15.818170033436513</c:v>
                </c:pt>
                <c:pt idx="99">
                  <c:v>16.305966782131783</c:v>
                </c:pt>
                <c:pt idx="100">
                  <c:v>16.800239327377245</c:v>
                </c:pt>
                <c:pt idx="101">
                  <c:v>17.300987669172908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Data'!$K$12:$K$113</c:f>
              <c:numCache>
                <c:formatCode>General</c:formatCode>
                <c:ptCount val="102"/>
                <c:pt idx="51">
                  <c:v>0.16738141948913321</c:v>
                </c:pt>
                <c:pt idx="52">
                  <c:v>0.35299858663416539</c:v>
                </c:pt>
                <c:pt idx="53">
                  <c:v>0.54493720386406375</c:v>
                </c:pt>
                <c:pt idx="54">
                  <c:v>0.74318954415401151</c:v>
                </c:pt>
                <c:pt idx="55">
                  <c:v>0.94774723390174886</c:v>
                </c:pt>
                <c:pt idx="56">
                  <c:v>1.1586016537022963</c:v>
                </c:pt>
                <c:pt idx="57">
                  <c:v>1.3757446435207545</c:v>
                </c:pt>
                <c:pt idx="58">
                  <c:v>1.5991695678384457</c:v>
                </c:pt>
                <c:pt idx="59">
                  <c:v>1.8288727061187908</c:v>
                </c:pt>
                <c:pt idx="60">
                  <c:v>2.0648547768484673</c:v>
                </c:pt>
                <c:pt idx="61">
                  <c:v>2.30712222781793</c:v>
                </c:pt>
                <c:pt idx="62">
                  <c:v>2.555687844931839</c:v>
                </c:pt>
                <c:pt idx="63">
                  <c:v>2.8105703606965662</c:v>
                </c:pt>
                <c:pt idx="64">
                  <c:v>3.0717930735094718</c:v>
                </c:pt>
                <c:pt idx="65">
                  <c:v>3.339381844440791</c:v>
                </c:pt>
                <c:pt idx="66">
                  <c:v>3.613363006343544</c:v>
                </c:pt>
                <c:pt idx="67">
                  <c:v>3.8937616335801493</c:v>
                </c:pt>
                <c:pt idx="68">
                  <c:v>4.1806003880294815</c:v>
                </c:pt>
                <c:pt idx="69">
                  <c:v>4.4738989349299834</c:v>
                </c:pt>
                <c:pt idx="70">
                  <c:v>4.7736737961092501</c:v>
                </c:pt>
                <c:pt idx="71">
                  <c:v>5.0799384775604137</c:v>
                </c:pt>
                <c:pt idx="72">
                  <c:v>5.3927037330225494</c:v>
                </c:pt>
                <c:pt idx="73">
                  <c:v>5.7119778672921315</c:v>
                </c:pt>
                <c:pt idx="74">
                  <c:v>6.0377670212378964</c:v>
                </c:pt>
                <c:pt idx="75">
                  <c:v>6.3700754078072697</c:v>
                </c:pt>
                <c:pt idx="76">
                  <c:v>6.708905484982183</c:v>
                </c:pt>
                <c:pt idx="77">
                  <c:v>7.0542580604388467</c:v>
                </c:pt>
                <c:pt idx="78">
                  <c:v>7.4061323265010497</c:v>
                </c:pt>
                <c:pt idx="79">
                  <c:v>7.7645258251868645</c:v>
                </c:pt>
                <c:pt idx="80">
                  <c:v>8.1294343435488603</c:v>
                </c:pt>
                <c:pt idx="81">
                  <c:v>8.5008517407183017</c:v>
                </c:pt>
                <c:pt idx="82">
                  <c:v>8.8787697118987143</c:v>
                </c:pt>
                <c:pt idx="83">
                  <c:v>9.2631775033510255</c:v>
                </c:pt>
                <c:pt idx="84">
                  <c:v>9.6540616090821025</c:v>
                </c:pt>
                <c:pt idx="85">
                  <c:v>10.051405507264347</c:v>
                </c:pt>
                <c:pt idx="86">
                  <c:v>10.45518953265932</c:v>
                </c:pt>
                <c:pt idx="87">
                  <c:v>10.865391023388145</c:v>
                </c:pt>
                <c:pt idx="88">
                  <c:v>11.281984905088404</c:v>
                </c:pt>
                <c:pt idx="89">
                  <c:v>11.704944844907077</c:v>
                </c:pt>
                <c:pt idx="90">
                  <c:v>12.134244981773927</c:v>
                </c:pt>
                <c:pt idx="91">
                  <c:v>12.569862017291594</c:v>
                </c:pt>
                <c:pt idx="92">
                  <c:v>13.011777218953709</c:v>
                </c:pt>
                <c:pt idx="93">
                  <c:v>13.45997780085561</c:v>
                </c:pt>
                <c:pt idx="94">
                  <c:v>13.914457315206841</c:v>
                </c:pt>
                <c:pt idx="95">
                  <c:v>14.375215043520726</c:v>
                </c:pt>
                <c:pt idx="96">
                  <c:v>14.842254706333849</c:v>
                </c:pt>
                <c:pt idx="97">
                  <c:v>15.315582939164878</c:v>
                </c:pt>
                <c:pt idx="98">
                  <c:v>15.795207902048716</c:v>
                </c:pt>
                <c:pt idx="99">
                  <c:v>16.281138214390349</c:v>
                </c:pt>
                <c:pt idx="100">
                  <c:v>16.773382249792025</c:v>
                </c:pt>
                <c:pt idx="101">
                  <c:v>17.27194773527857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Data'!$L$12:$L$113</c:f>
              <c:numCache>
                <c:formatCode>General</c:formatCode>
                <c:ptCount val="102"/>
                <c:pt idx="51">
                  <c:v>0.22546128727780856</c:v>
                </c:pt>
                <c:pt idx="52">
                  <c:v>0.40671274180460337</c:v>
                </c:pt>
                <c:pt idx="53">
                  <c:v>0.59459433934692985</c:v>
                </c:pt>
                <c:pt idx="54">
                  <c:v>0.78911380692960531</c:v>
                </c:pt>
                <c:pt idx="55">
                  <c:v>0.99027951815488879</c:v>
                </c:pt>
                <c:pt idx="56">
                  <c:v>1.1981000924277603</c:v>
                </c:pt>
                <c:pt idx="57">
                  <c:v>1.4125836897831188</c:v>
                </c:pt>
                <c:pt idx="58">
                  <c:v>1.6337369457396427</c:v>
                </c:pt>
                <c:pt idx="59">
                  <c:v>1.8615635808339099</c:v>
                </c:pt>
                <c:pt idx="60">
                  <c:v>2.0960628765792442</c:v>
                </c:pt>
                <c:pt idx="61">
                  <c:v>2.3372283851851905</c:v>
                </c:pt>
                <c:pt idx="62">
                  <c:v>2.5850473207470888</c:v>
                </c:pt>
                <c:pt idx="63">
                  <c:v>2.8395009507585671</c:v>
                </c:pt>
                <c:pt idx="64">
                  <c:v>3.1005659768222644</c:v>
                </c:pt>
                <c:pt idx="65">
                  <c:v>3.3682165378679474</c:v>
                </c:pt>
                <c:pt idx="66">
                  <c:v>3.6424263010425939</c:v>
                </c:pt>
                <c:pt idx="67">
                  <c:v>3.9231701919837856</c:v>
                </c:pt>
                <c:pt idx="68">
                  <c:v>4.2104255488126503</c:v>
                </c:pt>
                <c:pt idx="69">
                  <c:v>4.5041727062907411</c:v>
                </c:pt>
                <c:pt idx="70">
                  <c:v>4.804395142590467</c:v>
                </c:pt>
                <c:pt idx="71">
                  <c:v>5.1110793517186925</c:v>
                </c:pt>
                <c:pt idx="72">
                  <c:v>5.4242145799363444</c:v>
                </c:pt>
                <c:pt idx="73">
                  <c:v>5.7437925224469479</c:v>
                </c:pt>
                <c:pt idx="74">
                  <c:v>6.0698070383817671</c:v>
                </c:pt>
                <c:pt idx="75">
                  <c:v>6.4022539147933744</c:v>
                </c:pt>
                <c:pt idx="76">
                  <c:v>6.7411306936998381</c:v>
                </c:pt>
                <c:pt idx="77">
                  <c:v>7.0864365674249514</c:v>
                </c:pt>
                <c:pt idx="78">
                  <c:v>7.4381723436449203</c:v>
                </c:pt>
                <c:pt idx="79">
                  <c:v>7.7963404803416809</c:v>
                </c:pt>
                <c:pt idx="80">
                  <c:v>8.1609451904626535</c:v>
                </c:pt>
                <c:pt idx="81">
                  <c:v>8.5319926148765806</c:v>
                </c:pt>
                <c:pt idx="82">
                  <c:v>8.9094910583799329</c:v>
                </c:pt>
                <c:pt idx="83">
                  <c:v>9.2934512747117832</c:v>
                </c:pt>
                <c:pt idx="84">
                  <c:v>9.6838867698652713</c:v>
                </c:pt>
                <c:pt idx="85">
                  <c:v>10.080814065667985</c:v>
                </c:pt>
                <c:pt idx="86">
                  <c:v>10.48425282735837</c:v>
                </c:pt>
                <c:pt idx="87">
                  <c:v>10.894225716815303</c:v>
                </c:pt>
                <c:pt idx="88">
                  <c:v>11.310757808401195</c:v>
                </c:pt>
                <c:pt idx="89">
                  <c:v>11.733875434969077</c:v>
                </c:pt>
                <c:pt idx="90">
                  <c:v>12.163604457589175</c:v>
                </c:pt>
                <c:pt idx="91">
                  <c:v>12.599968174658855</c:v>
                </c:pt>
                <c:pt idx="92">
                  <c:v>13.042985318684485</c:v>
                </c:pt>
                <c:pt idx="93">
                  <c:v>13.492668675570728</c:v>
                </c:pt>
                <c:pt idx="94">
                  <c:v>13.949024693108038</c:v>
                </c:pt>
                <c:pt idx="95">
                  <c:v>14.412054089783091</c:v>
                </c:pt>
                <c:pt idx="96">
                  <c:v>14.881753145059312</c:v>
                </c:pt>
                <c:pt idx="97">
                  <c:v>15.35811522341802</c:v>
                </c:pt>
                <c:pt idx="98">
                  <c:v>15.841132164824309</c:v>
                </c:pt>
                <c:pt idx="99">
                  <c:v>16.330795349873217</c:v>
                </c:pt>
                <c:pt idx="100">
                  <c:v>16.827096404962465</c:v>
                </c:pt>
                <c:pt idx="101">
                  <c:v>17.330027603067247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694520"/>
        <c:axId val="174775632"/>
      </c:scatterChart>
      <c:valAx>
        <c:axId val="2376945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75632"/>
        <c:crosses val="autoZero"/>
        <c:crossBetween val="midCat"/>
      </c:valAx>
      <c:valAx>
        <c:axId val="1747756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856677524429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69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47058823529413"/>
          <c:y val="0.26384364820846906"/>
          <c:w val="0.23529411764705882"/>
          <c:h val="0.138436482084690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Quadratic Model</a:t>
            </a:r>
          </a:p>
        </c:rich>
      </c:tx>
      <c:layout>
        <c:manualLayout>
          <c:xMode val="edge"/>
          <c:yMode val="edge"/>
          <c:x val="0.36736958934517205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355048859934854"/>
          <c:w val="0.85571587125416204"/>
          <c:h val="0.76872964169381108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Data'!$M$12:$M$61</c:f>
              <c:numCache>
                <c:formatCode>General</c:formatCode>
                <c:ptCount val="50"/>
                <c:pt idx="0">
                  <c:v>2.2978646616529125E-2</c:v>
                </c:pt>
                <c:pt idx="1">
                  <c:v>-7.8507268170553424E-3</c:v>
                </c:pt>
                <c:pt idx="2">
                  <c:v>-8.9476662243974658E-3</c:v>
                </c:pt>
                <c:pt idx="3">
                  <c:v>-9.7121716054973106E-3</c:v>
                </c:pt>
                <c:pt idx="4">
                  <c:v>-7.344242960354741E-3</c:v>
                </c:pt>
                <c:pt idx="5">
                  <c:v>-3.7143880288970088E-2</c:v>
                </c:pt>
                <c:pt idx="6">
                  <c:v>8.6889164086567661E-3</c:v>
                </c:pt>
                <c:pt idx="7">
                  <c:v>2.015414713252639E-2</c:v>
                </c:pt>
                <c:pt idx="8">
                  <c:v>1.4751811882637078E-2</c:v>
                </c:pt>
                <c:pt idx="9">
                  <c:v>-2.0180893410088885E-3</c:v>
                </c:pt>
                <c:pt idx="10">
                  <c:v>2.8144443461586732E-2</c:v>
                </c:pt>
                <c:pt idx="11">
                  <c:v>3.1139410290426994E-2</c:v>
                </c:pt>
                <c:pt idx="12">
                  <c:v>6.6681114550526388E-4</c:v>
                </c:pt>
                <c:pt idx="13">
                  <c:v>-4.3973353973170148E-2</c:v>
                </c:pt>
                <c:pt idx="14">
                  <c:v>-2.6810850656051599E-3</c:v>
                </c:pt>
                <c:pt idx="15">
                  <c:v>-1.3756382131798972E-2</c:v>
                </c:pt>
                <c:pt idx="16">
                  <c:v>-1.6999245171749777E-2</c:v>
                </c:pt>
                <c:pt idx="17">
                  <c:v>-2.2096741854582547E-3</c:v>
                </c:pt>
                <c:pt idx="18">
                  <c:v>2.6112330827078978E-2</c:v>
                </c:pt>
                <c:pt idx="19">
                  <c:v>2.6112330827078978E-2</c:v>
                </c:pt>
                <c:pt idx="20">
                  <c:v>2.6112330827078978E-2</c:v>
                </c:pt>
                <c:pt idx="21">
                  <c:v>2.6112330827078978E-2</c:v>
                </c:pt>
                <c:pt idx="22">
                  <c:v>2.6112330827078978E-2</c:v>
                </c:pt>
                <c:pt idx="23">
                  <c:v>2.6112330827078978E-2</c:v>
                </c:pt>
                <c:pt idx="24">
                  <c:v>2.6112330827078978E-2</c:v>
                </c:pt>
                <c:pt idx="25">
                  <c:v>2.6112330827078978E-2</c:v>
                </c:pt>
                <c:pt idx="26">
                  <c:v>2.6112330827078978E-2</c:v>
                </c:pt>
                <c:pt idx="27">
                  <c:v>2.6112330827078978E-2</c:v>
                </c:pt>
                <c:pt idx="28">
                  <c:v>2.6112330827078978E-2</c:v>
                </c:pt>
                <c:pt idx="29">
                  <c:v>2.6112330827078978E-2</c:v>
                </c:pt>
                <c:pt idx="30">
                  <c:v>2.6112330827078978E-2</c:v>
                </c:pt>
                <c:pt idx="31">
                  <c:v>2.6112330827078978E-2</c:v>
                </c:pt>
                <c:pt idx="32">
                  <c:v>2.6112330827078978E-2</c:v>
                </c:pt>
                <c:pt idx="33">
                  <c:v>2.6112330827078978E-2</c:v>
                </c:pt>
                <c:pt idx="34">
                  <c:v>2.6112330827078978E-2</c:v>
                </c:pt>
                <c:pt idx="35">
                  <c:v>2.6112330827078978E-2</c:v>
                </c:pt>
                <c:pt idx="36">
                  <c:v>2.6112330827078978E-2</c:v>
                </c:pt>
                <c:pt idx="37">
                  <c:v>2.6112330827078978E-2</c:v>
                </c:pt>
                <c:pt idx="38">
                  <c:v>2.6112330827078978E-2</c:v>
                </c:pt>
                <c:pt idx="39">
                  <c:v>2.6112330827078978E-2</c:v>
                </c:pt>
                <c:pt idx="40">
                  <c:v>2.6112330827078978E-2</c:v>
                </c:pt>
                <c:pt idx="41">
                  <c:v>2.6112330827078978E-2</c:v>
                </c:pt>
                <c:pt idx="42">
                  <c:v>2.6112330827078978E-2</c:v>
                </c:pt>
                <c:pt idx="43">
                  <c:v>2.6112330827078978E-2</c:v>
                </c:pt>
                <c:pt idx="44">
                  <c:v>2.6112330827078978E-2</c:v>
                </c:pt>
                <c:pt idx="45">
                  <c:v>2.6112330827078978E-2</c:v>
                </c:pt>
                <c:pt idx="46">
                  <c:v>2.6112330827078978E-2</c:v>
                </c:pt>
                <c:pt idx="47">
                  <c:v>2.6112330827078978E-2</c:v>
                </c:pt>
                <c:pt idx="48">
                  <c:v>2.6112330827078978E-2</c:v>
                </c:pt>
                <c:pt idx="49">
                  <c:v>2.6112330827078978E-2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747824"/>
        <c:axId val="236922320"/>
      </c:scatterChart>
      <c:valAx>
        <c:axId val="23674782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7502774694783573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922320"/>
        <c:crosses val="autoZero"/>
        <c:crossBetween val="midCat"/>
      </c:valAx>
      <c:valAx>
        <c:axId val="236922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9185667752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4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Cubic Model</a:t>
            </a:r>
          </a:p>
        </c:rich>
      </c:tx>
      <c:layout>
        <c:manualLayout>
          <c:xMode val="edge"/>
          <c:yMode val="edge"/>
          <c:x val="0.35627081021087681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355048859934854"/>
          <c:w val="0.79578246392896779"/>
          <c:h val="0.72312703583061888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0.21940000000000001</c:v>
                </c:pt>
                <c:pt idx="1">
                  <c:v>0.71409999999999996</c:v>
                </c:pt>
                <c:pt idx="2">
                  <c:v>1.2885</c:v>
                </c:pt>
                <c:pt idx="3">
                  <c:v>1.9132</c:v>
                </c:pt>
                <c:pt idx="4">
                  <c:v>2.5910000000000002</c:v>
                </c:pt>
                <c:pt idx="5">
                  <c:v>3.2866</c:v>
                </c:pt>
                <c:pt idx="6">
                  <c:v>4.1078000000000001</c:v>
                </c:pt>
                <c:pt idx="7">
                  <c:v>4.9446000000000003</c:v>
                </c:pt>
                <c:pt idx="8">
                  <c:v>5.8144999999999998</c:v>
                </c:pt>
                <c:pt idx="9">
                  <c:v>6.7229999999999999</c:v>
                </c:pt>
                <c:pt idx="10">
                  <c:v>7.7283999999999997</c:v>
                </c:pt>
                <c:pt idx="11">
                  <c:v>8.7566000000000006</c:v>
                </c:pt>
                <c:pt idx="12">
                  <c:v>9.8012999999999995</c:v>
                </c:pt>
                <c:pt idx="13">
                  <c:v>10.8818</c:v>
                </c:pt>
                <c:pt idx="14">
                  <c:v>12.0982</c:v>
                </c:pt>
                <c:pt idx="15">
                  <c:v>13.312200000000001</c:v>
                </c:pt>
                <c:pt idx="16">
                  <c:v>14.584</c:v>
                </c:pt>
                <c:pt idx="17">
                  <c:v>15.9238</c:v>
                </c:pt>
                <c:pt idx="18">
                  <c:v>17.327100000000002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Line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Data'!$N$12:$N$113</c:f>
              <c:numCache>
                <c:formatCode>General</c:formatCode>
                <c:ptCount val="102"/>
                <c:pt idx="51">
                  <c:v>0.19517101845531215</c:v>
                </c:pt>
                <c:pt idx="52">
                  <c:v>0.37893558246226089</c:v>
                </c:pt>
                <c:pt idx="53">
                  <c:v>0.56914162794505019</c:v>
                </c:pt>
                <c:pt idx="54">
                  <c:v>0.76579058469844496</c:v>
                </c:pt>
                <c:pt idx="55">
                  <c:v>0.96888388251720992</c:v>
                </c:pt>
                <c:pt idx="56">
                  <c:v>1.17842295119611</c:v>
                </c:pt>
                <c:pt idx="57">
                  <c:v>1.3944092205299097</c:v>
                </c:pt>
                <c:pt idx="58">
                  <c:v>1.6168441203133743</c:v>
                </c:pt>
                <c:pt idx="59">
                  <c:v>1.8457290803412689</c:v>
                </c:pt>
                <c:pt idx="60">
                  <c:v>2.0810655304083574</c:v>
                </c:pt>
                <c:pt idx="61">
                  <c:v>2.3228549003094052</c:v>
                </c:pt>
                <c:pt idx="62">
                  <c:v>2.571098619839177</c:v>
                </c:pt>
                <c:pt idx="63">
                  <c:v>2.8257981187924384</c:v>
                </c:pt>
                <c:pt idx="64">
                  <c:v>3.0869548269639533</c:v>
                </c:pt>
                <c:pt idx="65">
                  <c:v>3.3545701741484861</c:v>
                </c:pt>
                <c:pt idx="66">
                  <c:v>3.6286455901408035</c:v>
                </c:pt>
                <c:pt idx="67">
                  <c:v>3.9091825047356688</c:v>
                </c:pt>
                <c:pt idx="68">
                  <c:v>4.1961823477278468</c:v>
                </c:pt>
                <c:pt idx="69">
                  <c:v>4.489646548912102</c:v>
                </c:pt>
                <c:pt idx="70">
                  <c:v>4.7895765380832014</c:v>
                </c:pt>
                <c:pt idx="71">
                  <c:v>5.0959737450359075</c:v>
                </c:pt>
                <c:pt idx="72">
                  <c:v>5.4088395995649865</c:v>
                </c:pt>
                <c:pt idx="73">
                  <c:v>5.7281755314652019</c:v>
                </c:pt>
                <c:pt idx="74">
                  <c:v>6.0539829705313197</c:v>
                </c:pt>
                <c:pt idx="75">
                  <c:v>6.3862633465581036</c:v>
                </c:pt>
                <c:pt idx="76">
                  <c:v>6.7250180893403204</c:v>
                </c:pt>
                <c:pt idx="77">
                  <c:v>7.0702486286727328</c:v>
                </c:pt>
                <c:pt idx="78">
                  <c:v>7.4219563943501061</c:v>
                </c:pt>
                <c:pt idx="79">
                  <c:v>7.7801428161672055</c:v>
                </c:pt>
                <c:pt idx="80">
                  <c:v>8.1448093239187962</c:v>
                </c:pt>
                <c:pt idx="81">
                  <c:v>8.5159573473996435</c:v>
                </c:pt>
                <c:pt idx="82">
                  <c:v>8.8935883164045109</c:v>
                </c:pt>
                <c:pt idx="83">
                  <c:v>9.2777036607281627</c:v>
                </c:pt>
                <c:pt idx="84">
                  <c:v>9.668304810165365</c:v>
                </c:pt>
                <c:pt idx="85">
                  <c:v>10.065393194510882</c:v>
                </c:pt>
                <c:pt idx="86">
                  <c:v>10.468970243559482</c:v>
                </c:pt>
                <c:pt idx="87">
                  <c:v>10.879037387105926</c:v>
                </c:pt>
                <c:pt idx="88">
                  <c:v>11.295596054944978</c:v>
                </c:pt>
                <c:pt idx="89">
                  <c:v>11.718647676871404</c:v>
                </c:pt>
                <c:pt idx="90">
                  <c:v>12.148193682679972</c:v>
                </c:pt>
                <c:pt idx="91">
                  <c:v>12.584235502165441</c:v>
                </c:pt>
                <c:pt idx="92">
                  <c:v>13.026774565122583</c:v>
                </c:pt>
                <c:pt idx="93">
                  <c:v>13.475812301346155</c:v>
                </c:pt>
                <c:pt idx="94">
                  <c:v>13.931350140630926</c:v>
                </c:pt>
                <c:pt idx="95">
                  <c:v>14.393389512771662</c:v>
                </c:pt>
                <c:pt idx="96">
                  <c:v>14.861931847563127</c:v>
                </c:pt>
                <c:pt idx="97">
                  <c:v>15.336978574800083</c:v>
                </c:pt>
                <c:pt idx="98">
                  <c:v>15.818531124277298</c:v>
                </c:pt>
                <c:pt idx="99">
                  <c:v>16.306590925789536</c:v>
                </c:pt>
                <c:pt idx="100">
                  <c:v>16.801159409131561</c:v>
                </c:pt>
                <c:pt idx="101">
                  <c:v>17.30223800409814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Data'!$O$12:$O$113</c:f>
              <c:numCache>
                <c:formatCode>General</c:formatCode>
                <c:ptCount val="102"/>
                <c:pt idx="51">
                  <c:v>0.17063502939918404</c:v>
                </c:pt>
                <c:pt idx="52">
                  <c:v>0.35768682124711854</c:v>
                </c:pt>
                <c:pt idx="53">
                  <c:v>0.55062884742732998</c:v>
                </c:pt>
                <c:pt idx="54">
                  <c:v>0.74945279208689819</c:v>
                </c:pt>
                <c:pt idx="55">
                  <c:v>0.95416439613230952</c:v>
                </c:pt>
                <c:pt idx="56">
                  <c:v>1.1647972860128613</c:v>
                </c:pt>
                <c:pt idx="57">
                  <c:v>1.3814216621156523</c:v>
                </c:pt>
                <c:pt idx="58">
                  <c:v>1.6041387659575859</c:v>
                </c:pt>
                <c:pt idx="59">
                  <c:v>1.8330619985718506</c:v>
                </c:pt>
                <c:pt idx="60">
                  <c:v>2.0682963090978546</c:v>
                </c:pt>
                <c:pt idx="61">
                  <c:v>2.3099259148008073</c:v>
                </c:pt>
                <c:pt idx="62">
                  <c:v>2.5580115212425283</c:v>
                </c:pt>
                <c:pt idx="63">
                  <c:v>2.8125930614534123</c:v>
                </c:pt>
                <c:pt idx="64">
                  <c:v>3.0736941278401719</c:v>
                </c:pt>
                <c:pt idx="65">
                  <c:v>3.3413261129274305</c:v>
                </c:pt>
                <c:pt idx="66">
                  <c:v>3.6154914410942882</c:v>
                </c:pt>
                <c:pt idx="67">
                  <c:v>3.8961859009752118</c:v>
                </c:pt>
                <c:pt idx="68">
                  <c:v>4.1834002859695332</c:v>
                </c:pt>
                <c:pt idx="69">
                  <c:v>4.4771215759512177</c:v>
                </c:pt>
                <c:pt idx="70">
                  <c:v>4.7773338724557712</c:v>
                </c:pt>
                <c:pt idx="71">
                  <c:v>5.0840192763998333</c:v>
                </c:pt>
                <c:pt idx="72">
                  <c:v>5.3971588756388575</c:v>
                </c:pt>
                <c:pt idx="73">
                  <c:v>5.7167339724486039</c:v>
                </c:pt>
                <c:pt idx="74">
                  <c:v>6.0427276022809959</c:v>
                </c:pt>
                <c:pt idx="75">
                  <c:v>6.3751262587320916</c:v>
                </c:pt>
                <c:pt idx="76">
                  <c:v>6.7139215690627436</c:v>
                </c:pt>
                <c:pt idx="77">
                  <c:v>7.0591115408467209</c:v>
                </c:pt>
                <c:pt idx="78">
                  <c:v>7.4107010260997823</c:v>
                </c:pt>
                <c:pt idx="79">
                  <c:v>7.7687012571506076</c:v>
                </c:pt>
                <c:pt idx="80">
                  <c:v>8.1331285999926681</c:v>
                </c:pt>
                <c:pt idx="81">
                  <c:v>8.5040028787635684</c:v>
                </c:pt>
                <c:pt idx="82">
                  <c:v>8.8813456507770798</c:v>
                </c:pt>
                <c:pt idx="83">
                  <c:v>9.2651786877672784</c:v>
                </c:pt>
                <c:pt idx="84">
                  <c:v>9.6555227484070514</c:v>
                </c:pt>
                <c:pt idx="85">
                  <c:v>10.052396590750424</c:v>
                </c:pt>
                <c:pt idx="86">
                  <c:v>10.455816094512967</c:v>
                </c:pt>
                <c:pt idx="87">
                  <c:v>10.865793325884869</c:v>
                </c:pt>
                <c:pt idx="88">
                  <c:v>11.282335355821196</c:v>
                </c:pt>
                <c:pt idx="89">
                  <c:v>11.705442619532377</c:v>
                </c:pt>
                <c:pt idx="90">
                  <c:v>12.135106584083323</c:v>
                </c:pt>
                <c:pt idx="91">
                  <c:v>12.571306516656843</c:v>
                </c:pt>
                <c:pt idx="92">
                  <c:v>13.01400534381208</c:v>
                </c:pt>
                <c:pt idx="93">
                  <c:v>13.463145219576736</c:v>
                </c:pt>
                <c:pt idx="94">
                  <c:v>13.918644786275136</c:v>
                </c:pt>
                <c:pt idx="95">
                  <c:v>14.380401954357405</c:v>
                </c:pt>
                <c:pt idx="96">
                  <c:v>14.848306182379879</c:v>
                </c:pt>
                <c:pt idx="97">
                  <c:v>15.322259088415183</c:v>
                </c:pt>
                <c:pt idx="98">
                  <c:v>15.80219333166575</c:v>
                </c:pt>
                <c:pt idx="99">
                  <c:v>16.288078145271815</c:v>
                </c:pt>
                <c:pt idx="100">
                  <c:v>16.77991064791642</c:v>
                </c:pt>
                <c:pt idx="101">
                  <c:v>17.27770201504201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Data'!$P$12:$P$113</c:f>
              <c:numCache>
                <c:formatCode>General</c:formatCode>
                <c:ptCount val="102"/>
                <c:pt idx="51">
                  <c:v>0.21970700751144026</c:v>
                </c:pt>
                <c:pt idx="52">
                  <c:v>0.40018434367740324</c:v>
                </c:pt>
                <c:pt idx="53">
                  <c:v>0.58765440846277039</c:v>
                </c:pt>
                <c:pt idx="54">
                  <c:v>0.78212837730999174</c:v>
                </c:pt>
                <c:pt idx="55">
                  <c:v>0.98360336890211031</c:v>
                </c:pt>
                <c:pt idx="56">
                  <c:v>1.1920486163793587</c:v>
                </c:pt>
                <c:pt idx="57">
                  <c:v>1.407396778944167</c:v>
                </c:pt>
                <c:pt idx="58">
                  <c:v>1.6295494746691628</c:v>
                </c:pt>
                <c:pt idx="59">
                  <c:v>1.8583961621106873</c:v>
                </c:pt>
                <c:pt idx="60">
                  <c:v>2.0938347517188602</c:v>
                </c:pt>
                <c:pt idx="61">
                  <c:v>2.3357838858180031</c:v>
                </c:pt>
                <c:pt idx="62">
                  <c:v>2.5841857184358257</c:v>
                </c:pt>
                <c:pt idx="63">
                  <c:v>2.8390031761314645</c:v>
                </c:pt>
                <c:pt idx="64">
                  <c:v>3.1002155260877347</c:v>
                </c:pt>
                <c:pt idx="65">
                  <c:v>3.3678142353695417</c:v>
                </c:pt>
                <c:pt idx="66">
                  <c:v>3.6417997391873187</c:v>
                </c:pt>
                <c:pt idx="67">
                  <c:v>3.9221791084961257</c:v>
                </c:pt>
                <c:pt idx="68">
                  <c:v>4.2089644094861605</c:v>
                </c:pt>
                <c:pt idx="69">
                  <c:v>4.5021715218729863</c:v>
                </c:pt>
                <c:pt idx="70">
                  <c:v>4.8018192037106315</c:v>
                </c:pt>
                <c:pt idx="71">
                  <c:v>5.1079282136719817</c:v>
                </c:pt>
                <c:pt idx="72">
                  <c:v>5.4205203234911155</c:v>
                </c:pt>
                <c:pt idx="73">
                  <c:v>5.7396170904817998</c:v>
                </c:pt>
                <c:pt idx="74">
                  <c:v>6.0652383387816435</c:v>
                </c:pt>
                <c:pt idx="75">
                  <c:v>6.3974004343841155</c:v>
                </c:pt>
                <c:pt idx="76">
                  <c:v>6.7361146096178972</c:v>
                </c:pt>
                <c:pt idx="77">
                  <c:v>7.0813857164987448</c:v>
                </c:pt>
                <c:pt idx="78">
                  <c:v>7.4332117626004299</c:v>
                </c:pt>
                <c:pt idx="79">
                  <c:v>7.7915843751838034</c:v>
                </c:pt>
                <c:pt idx="80">
                  <c:v>8.1564900478449243</c:v>
                </c:pt>
                <c:pt idx="81">
                  <c:v>8.5279118160357186</c:v>
                </c:pt>
                <c:pt idx="82">
                  <c:v>8.9058309820319419</c:v>
                </c:pt>
                <c:pt idx="83">
                  <c:v>9.2902286336890469</c:v>
                </c:pt>
                <c:pt idx="84">
                  <c:v>9.6810868719236787</c:v>
                </c:pt>
                <c:pt idx="85">
                  <c:v>10.07838979827134</c:v>
                </c:pt>
                <c:pt idx="86">
                  <c:v>10.482124392605998</c:v>
                </c:pt>
                <c:pt idx="87">
                  <c:v>10.892281448326983</c:v>
                </c:pt>
                <c:pt idx="88">
                  <c:v>11.30885675406876</c:v>
                </c:pt>
                <c:pt idx="89">
                  <c:v>11.731852734210431</c:v>
                </c:pt>
                <c:pt idx="90">
                  <c:v>12.161280781276622</c:v>
                </c:pt>
                <c:pt idx="91">
                  <c:v>12.597164487674039</c:v>
                </c:pt>
                <c:pt idx="92">
                  <c:v>13.039543786433086</c:v>
                </c:pt>
                <c:pt idx="93">
                  <c:v>13.488479383115573</c:v>
                </c:pt>
                <c:pt idx="94">
                  <c:v>13.944055494986715</c:v>
                </c:pt>
                <c:pt idx="95">
                  <c:v>14.40637707118592</c:v>
                </c:pt>
                <c:pt idx="96">
                  <c:v>14.875557512746376</c:v>
                </c:pt>
                <c:pt idx="97">
                  <c:v>15.351698061184983</c:v>
                </c:pt>
                <c:pt idx="98">
                  <c:v>15.834868916888846</c:v>
                </c:pt>
                <c:pt idx="99">
                  <c:v>16.325103706307257</c:v>
                </c:pt>
                <c:pt idx="100">
                  <c:v>16.822408170346701</c:v>
                </c:pt>
                <c:pt idx="101">
                  <c:v>17.326773993154269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23496"/>
        <c:axId val="236923888"/>
      </c:scatterChart>
      <c:valAx>
        <c:axId val="23692349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923888"/>
        <c:crosses val="autoZero"/>
        <c:crossBetween val="midCat"/>
      </c:valAx>
      <c:valAx>
        <c:axId val="23692388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856677524429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923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6071032186459"/>
          <c:y val="0.26384364820846906"/>
          <c:w val="0.22641509433962265"/>
          <c:h val="0.138436482084690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Cubic Model</a:t>
            </a:r>
          </a:p>
        </c:rich>
      </c:tx>
      <c:layout>
        <c:manualLayout>
          <c:xMode val="edge"/>
          <c:yMode val="edge"/>
          <c:x val="0.3851276359600444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355048859934854"/>
          <c:w val="0.85571587125416204"/>
          <c:h val="0.76872964169381108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Data'!$Q$12:$Q$61</c:f>
              <c:numCache>
                <c:formatCode>General</c:formatCode>
                <c:ptCount val="50"/>
                <c:pt idx="0">
                  <c:v>2.4228981544687861E-2</c:v>
                </c:pt>
                <c:pt idx="1">
                  <c:v>-7.4339485076320155E-3</c:v>
                </c:pt>
                <c:pt idx="2">
                  <c:v>-9.1192808222997357E-3</c:v>
                </c:pt>
                <c:pt idx="3">
                  <c:v>-1.0257660863239204E-2</c:v>
                </c:pt>
                <c:pt idx="4">
                  <c:v>-8.0797340943741247E-3</c:v>
                </c:pt>
                <c:pt idx="5">
                  <c:v>-3.791614597962889E-2</c:v>
                </c:pt>
                <c:pt idx="6">
                  <c:v>8.0024580170734438E-3</c:v>
                </c:pt>
                <c:pt idx="7">
                  <c:v>1.9645432431809162E-2</c:v>
                </c:pt>
                <c:pt idx="8">
                  <c:v>1.4482131800652276E-2</c:v>
                </c:pt>
                <c:pt idx="9">
                  <c:v>-2.0180893403187738E-3</c:v>
                </c:pt>
                <c:pt idx="10">
                  <c:v>2.8414123544972192E-2</c:v>
                </c:pt>
                <c:pt idx="11">
                  <c:v>3.1648124992601723E-2</c:v>
                </c:pt>
                <c:pt idx="12">
                  <c:v>1.3532695386420102E-3</c:v>
                </c:pt>
                <c:pt idx="13">
                  <c:v>-4.3201088280826028E-2</c:v>
                </c:pt>
                <c:pt idx="14">
                  <c:v>-1.9455939297277069E-3</c:v>
                </c:pt>
                <c:pt idx="15">
                  <c:v>-1.3210892871986957E-2</c:v>
                </c:pt>
                <c:pt idx="16">
                  <c:v>-1.682763057153025E-2</c:v>
                </c:pt>
                <c:pt idx="17">
                  <c:v>-2.6264524922776644E-3</c:v>
                </c:pt>
                <c:pt idx="18">
                  <c:v>2.4861995901847678E-2</c:v>
                </c:pt>
                <c:pt idx="19">
                  <c:v>2.4861995901847678E-2</c:v>
                </c:pt>
                <c:pt idx="20">
                  <c:v>2.4861995901847678E-2</c:v>
                </c:pt>
                <c:pt idx="21">
                  <c:v>2.4861995901847678E-2</c:v>
                </c:pt>
                <c:pt idx="22">
                  <c:v>2.4861995901847678E-2</c:v>
                </c:pt>
                <c:pt idx="23">
                  <c:v>2.4861995901847678E-2</c:v>
                </c:pt>
                <c:pt idx="24">
                  <c:v>2.4861995901847678E-2</c:v>
                </c:pt>
                <c:pt idx="25">
                  <c:v>2.4861995901847678E-2</c:v>
                </c:pt>
                <c:pt idx="26">
                  <c:v>2.4861995901847678E-2</c:v>
                </c:pt>
                <c:pt idx="27">
                  <c:v>2.4861995901847678E-2</c:v>
                </c:pt>
                <c:pt idx="28">
                  <c:v>2.4861995901847678E-2</c:v>
                </c:pt>
                <c:pt idx="29">
                  <c:v>2.4861995901847678E-2</c:v>
                </c:pt>
                <c:pt idx="30">
                  <c:v>2.4861995901847678E-2</c:v>
                </c:pt>
                <c:pt idx="31">
                  <c:v>2.4861995901847678E-2</c:v>
                </c:pt>
                <c:pt idx="32">
                  <c:v>2.4861995901847678E-2</c:v>
                </c:pt>
                <c:pt idx="33">
                  <c:v>2.4861995901847678E-2</c:v>
                </c:pt>
                <c:pt idx="34">
                  <c:v>2.4861995901847678E-2</c:v>
                </c:pt>
                <c:pt idx="35">
                  <c:v>2.4861995901847678E-2</c:v>
                </c:pt>
                <c:pt idx="36">
                  <c:v>2.4861995901847678E-2</c:v>
                </c:pt>
                <c:pt idx="37">
                  <c:v>2.4861995901847678E-2</c:v>
                </c:pt>
                <c:pt idx="38">
                  <c:v>2.4861995901847678E-2</c:v>
                </c:pt>
                <c:pt idx="39">
                  <c:v>2.4861995901847678E-2</c:v>
                </c:pt>
                <c:pt idx="40">
                  <c:v>2.4861995901847678E-2</c:v>
                </c:pt>
                <c:pt idx="41">
                  <c:v>2.4861995901847678E-2</c:v>
                </c:pt>
                <c:pt idx="42">
                  <c:v>2.4861995901847678E-2</c:v>
                </c:pt>
                <c:pt idx="43">
                  <c:v>2.4861995901847678E-2</c:v>
                </c:pt>
                <c:pt idx="44">
                  <c:v>2.4861995901847678E-2</c:v>
                </c:pt>
                <c:pt idx="45">
                  <c:v>2.4861995901847678E-2</c:v>
                </c:pt>
                <c:pt idx="46">
                  <c:v>2.4861995901847678E-2</c:v>
                </c:pt>
                <c:pt idx="47">
                  <c:v>2.4861995901847678E-2</c:v>
                </c:pt>
                <c:pt idx="48">
                  <c:v>2.4861995901847678E-2</c:v>
                </c:pt>
                <c:pt idx="49">
                  <c:v>2.4861995901847678E-2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887384"/>
        <c:axId val="321887776"/>
      </c:scatterChart>
      <c:valAx>
        <c:axId val="32188738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7502774694783573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887776"/>
        <c:crosses val="autoZero"/>
        <c:crossBetween val="midCat"/>
      </c:valAx>
      <c:valAx>
        <c:axId val="32188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9185667752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88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Quartic Model</a:t>
            </a:r>
          </a:p>
        </c:rich>
      </c:tx>
      <c:layout>
        <c:manualLayout>
          <c:xMode val="edge"/>
          <c:yMode val="edge"/>
          <c:x val="0.34961154273029965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355048859934854"/>
          <c:w val="0.79578246392896779"/>
          <c:h val="0.72312703583061888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0.21940000000000001</c:v>
                </c:pt>
                <c:pt idx="1">
                  <c:v>0.71409999999999996</c:v>
                </c:pt>
                <c:pt idx="2">
                  <c:v>1.2885</c:v>
                </c:pt>
                <c:pt idx="3">
                  <c:v>1.9132</c:v>
                </c:pt>
                <c:pt idx="4">
                  <c:v>2.5910000000000002</c:v>
                </c:pt>
                <c:pt idx="5">
                  <c:v>3.2866</c:v>
                </c:pt>
                <c:pt idx="6">
                  <c:v>4.1078000000000001</c:v>
                </c:pt>
                <c:pt idx="7">
                  <c:v>4.9446000000000003</c:v>
                </c:pt>
                <c:pt idx="8">
                  <c:v>5.8144999999999998</c:v>
                </c:pt>
                <c:pt idx="9">
                  <c:v>6.7229999999999999</c:v>
                </c:pt>
                <c:pt idx="10">
                  <c:v>7.7283999999999997</c:v>
                </c:pt>
                <c:pt idx="11">
                  <c:v>8.7566000000000006</c:v>
                </c:pt>
                <c:pt idx="12">
                  <c:v>9.8012999999999995</c:v>
                </c:pt>
                <c:pt idx="13">
                  <c:v>10.8818</c:v>
                </c:pt>
                <c:pt idx="14">
                  <c:v>12.0982</c:v>
                </c:pt>
                <c:pt idx="15">
                  <c:v>13.312200000000001</c:v>
                </c:pt>
                <c:pt idx="16">
                  <c:v>14.584</c:v>
                </c:pt>
                <c:pt idx="17">
                  <c:v>15.9238</c:v>
                </c:pt>
                <c:pt idx="18">
                  <c:v>17.327100000000002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Line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Data'!$R$12:$R$113</c:f>
              <c:numCache>
                <c:formatCode>General</c:formatCode>
                <c:ptCount val="102"/>
                <c:pt idx="51">
                  <c:v>0.22056434366470512</c:v>
                </c:pt>
                <c:pt idx="52">
                  <c:v>0.39215229463100371</c:v>
                </c:pt>
                <c:pt idx="53">
                  <c:v>0.57251300497057223</c:v>
                </c:pt>
                <c:pt idx="54">
                  <c:v>0.76141862031773633</c:v>
                </c:pt>
                <c:pt idx="55">
                  <c:v>0.9586510430796058</c:v>
                </c:pt>
                <c:pt idx="56">
                  <c:v>1.1640019324360755</c:v>
                </c:pt>
                <c:pt idx="57">
                  <c:v>1.377272704339825</c:v>
                </c:pt>
                <c:pt idx="58">
                  <c:v>1.5982745315163187</c:v>
                </c:pt>
                <c:pt idx="59">
                  <c:v>1.8268283434638053</c:v>
                </c:pt>
                <c:pt idx="60">
                  <c:v>2.0627648264533187</c:v>
                </c:pt>
                <c:pt idx="61">
                  <c:v>2.3059244235286762</c:v>
                </c:pt>
                <c:pt idx="62">
                  <c:v>2.5561573345064823</c:v>
                </c:pt>
                <c:pt idx="63">
                  <c:v>2.8133235159761236</c:v>
                </c:pt>
                <c:pt idx="64">
                  <c:v>3.0772926812997734</c:v>
                </c:pt>
                <c:pt idx="65">
                  <c:v>3.3479443006123879</c:v>
                </c:pt>
                <c:pt idx="66">
                  <c:v>3.6251676008217095</c:v>
                </c:pt>
                <c:pt idx="67">
                  <c:v>3.9088615656082641</c:v>
                </c:pt>
                <c:pt idx="68">
                  <c:v>4.1989349354253633</c:v>
                </c:pt>
                <c:pt idx="69">
                  <c:v>4.4953062074991026</c:v>
                </c:pt>
                <c:pt idx="70">
                  <c:v>4.797903635828364</c:v>
                </c:pt>
                <c:pt idx="71">
                  <c:v>5.1066652311848113</c:v>
                </c:pt>
                <c:pt idx="72">
                  <c:v>5.4215387611128936</c:v>
                </c:pt>
                <c:pt idx="73">
                  <c:v>5.7424817499298468</c:v>
                </c:pt>
                <c:pt idx="74">
                  <c:v>6.0694614787256924</c:v>
                </c:pt>
                <c:pt idx="75">
                  <c:v>6.4024549853632307</c:v>
                </c:pt>
                <c:pt idx="76">
                  <c:v>6.7414490644780525</c:v>
                </c:pt>
                <c:pt idx="77">
                  <c:v>7.0864402674785296</c:v>
                </c:pt>
                <c:pt idx="78">
                  <c:v>7.4374349025458208</c:v>
                </c:pt>
                <c:pt idx="79">
                  <c:v>7.7944490346338737</c:v>
                </c:pt>
                <c:pt idx="80">
                  <c:v>8.1575084854694087</c:v>
                </c:pt>
                <c:pt idx="81">
                  <c:v>8.5266488335519419</c:v>
                </c:pt>
                <c:pt idx="82">
                  <c:v>8.901915414153768</c:v>
                </c:pt>
                <c:pt idx="83">
                  <c:v>9.2833633193199709</c:v>
                </c:pt>
                <c:pt idx="84">
                  <c:v>9.6710573978684202</c:v>
                </c:pt>
                <c:pt idx="85">
                  <c:v>10.065072255389758</c:v>
                </c:pt>
                <c:pt idx="86">
                  <c:v>10.465492254247428</c:v>
                </c:pt>
                <c:pt idx="87">
                  <c:v>10.872411513577646</c:v>
                </c:pt>
                <c:pt idx="88">
                  <c:v>11.285933909289419</c:v>
                </c:pt>
                <c:pt idx="89">
                  <c:v>11.706173074064539</c:v>
                </c:pt>
                <c:pt idx="90">
                  <c:v>12.133252397357577</c:v>
                </c:pt>
                <c:pt idx="91">
                  <c:v>12.567305025395894</c:v>
                </c:pt>
                <c:pt idx="92">
                  <c:v>13.008473861179635</c:v>
                </c:pt>
                <c:pt idx="93">
                  <c:v>13.456911564481725</c:v>
                </c:pt>
                <c:pt idx="94">
                  <c:v>13.912780551847877</c:v>
                </c:pt>
                <c:pt idx="95">
                  <c:v>14.376252996596595</c:v>
                </c:pt>
                <c:pt idx="96">
                  <c:v>14.847510828819161</c:v>
                </c:pt>
                <c:pt idx="97">
                  <c:v>15.326745735379639</c:v>
                </c:pt>
                <c:pt idx="98">
                  <c:v>15.814159159914876</c:v>
                </c:pt>
                <c:pt idx="99">
                  <c:v>16.309962302834521</c:v>
                </c:pt>
                <c:pt idx="100">
                  <c:v>16.814376121320986</c:v>
                </c:pt>
                <c:pt idx="101">
                  <c:v>17.327631329329481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Data'!$S$12:$S$113</c:f>
              <c:numCache>
                <c:formatCode>General</c:formatCode>
                <c:ptCount val="102"/>
                <c:pt idx="51">
                  <c:v>0.19967404057448518</c:v>
                </c:pt>
                <c:pt idx="52">
                  <c:v>0.37537770866040387</c:v>
                </c:pt>
                <c:pt idx="53">
                  <c:v>0.55852831180041596</c:v>
                </c:pt>
                <c:pt idx="54">
                  <c:v>0.74901529361588814</c:v>
                </c:pt>
                <c:pt idx="55">
                  <c:v>0.9468980936869974</c:v>
                </c:pt>
                <c:pt idx="56">
                  <c:v>1.1523426565371606</c:v>
                </c:pt>
                <c:pt idx="57">
                  <c:v>1.3654799814783969</c:v>
                </c:pt>
                <c:pt idx="58">
                  <c:v>1.5863341910232884</c:v>
                </c:pt>
                <c:pt idx="59">
                  <c:v>1.8148339034526655</c:v>
                </c:pt>
                <c:pt idx="60">
                  <c:v>2.0508476682062753</c:v>
                </c:pt>
                <c:pt idx="61">
                  <c:v>2.2942126209235276</c:v>
                </c:pt>
                <c:pt idx="62">
                  <c:v>2.5447524882161106</c:v>
                </c:pt>
                <c:pt idx="63">
                  <c:v>2.8022883957734517</c:v>
                </c:pt>
                <c:pt idx="64">
                  <c:v>3.0666459169160998</c:v>
                </c:pt>
                <c:pt idx="65">
                  <c:v>3.3376606355912348</c:v>
                </c:pt>
                <c:pt idx="66">
                  <c:v>3.6151834222863526</c:v>
                </c:pt>
                <c:pt idx="67">
                  <c:v>3.8990855449515527</c:v>
                </c:pt>
                <c:pt idx="68">
                  <c:v>4.1892626732032499</c:v>
                </c:pt>
                <c:pt idx="69">
                  <c:v>4.4856363193043425</c:v>
                </c:pt>
                <c:pt idx="70">
                  <c:v>4.7881518998151371</c:v>
                </c:pt>
                <c:pt idx="71">
                  <c:v>5.0967740872772866</c:v>
                </c:pt>
                <c:pt idx="72">
                  <c:v>5.4114812144595739</c:v>
                </c:pt>
                <c:pt idx="73">
                  <c:v>5.7322603921593993</c:v>
                </c:pt>
                <c:pt idx="74">
                  <c:v>6.0591041136297097</c:v>
                </c:pt>
                <c:pt idx="75">
                  <c:v>6.3920082910782794</c:v>
                </c:pt>
                <c:pt idx="76">
                  <c:v>6.7309712965008179</c:v>
                </c:pt>
                <c:pt idx="77">
                  <c:v>7.0759935731935792</c:v>
                </c:pt>
                <c:pt idx="78">
                  <c:v>7.4270775374498381</c:v>
                </c:pt>
                <c:pt idx="79">
                  <c:v>7.7842276768634253</c:v>
                </c:pt>
                <c:pt idx="80">
                  <c:v>8.147450938816089</c:v>
                </c:pt>
                <c:pt idx="81">
                  <c:v>8.5167576896444164</c:v>
                </c:pt>
                <c:pt idx="82">
                  <c:v>8.8921636781405411</c:v>
                </c:pt>
                <c:pt idx="83">
                  <c:v>9.2736934311252135</c:v>
                </c:pt>
                <c:pt idx="84">
                  <c:v>9.6613851356463076</c:v>
                </c:pt>
                <c:pt idx="85">
                  <c:v>10.055296234733042</c:v>
                </c:pt>
                <c:pt idx="86">
                  <c:v>10.45550807571207</c:v>
                </c:pt>
                <c:pt idx="87">
                  <c:v>10.86212784855649</c:v>
                </c:pt>
                <c:pt idx="88">
                  <c:v>11.275287144905741</c:v>
                </c:pt>
                <c:pt idx="89">
                  <c:v>11.695137953861868</c:v>
                </c:pt>
                <c:pt idx="90">
                  <c:v>12.121847551067196</c:v>
                </c:pt>
                <c:pt idx="91">
                  <c:v>12.555593222790735</c:v>
                </c:pt>
                <c:pt idx="92">
                  <c:v>12.996556702932589</c:v>
                </c:pt>
                <c:pt idx="93">
                  <c:v>13.444917124470576</c:v>
                </c:pt>
                <c:pt idx="94">
                  <c:v>13.900840211354843</c:v>
                </c:pt>
                <c:pt idx="95">
                  <c:v>14.364460273735158</c:v>
                </c:pt>
                <c:pt idx="96">
                  <c:v>14.835851552920245</c:v>
                </c:pt>
                <c:pt idx="97">
                  <c:v>15.314992785987016</c:v>
                </c:pt>
                <c:pt idx="98">
                  <c:v>15.801755833213026</c:v>
                </c:pt>
                <c:pt idx="99">
                  <c:v>16.295977609664369</c:v>
                </c:pt>
                <c:pt idx="100">
                  <c:v>16.797601535350381</c:v>
                </c:pt>
                <c:pt idx="101">
                  <c:v>17.306741026239262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0.18</c:v>
                </c:pt>
                <c:pt idx="53">
                  <c:v>0.36</c:v>
                </c:pt>
                <c:pt idx="54">
                  <c:v>0.54</c:v>
                </c:pt>
                <c:pt idx="55">
                  <c:v>0.72</c:v>
                </c:pt>
                <c:pt idx="56">
                  <c:v>0.89999999999999991</c:v>
                </c:pt>
                <c:pt idx="57">
                  <c:v>1.0799999999999998</c:v>
                </c:pt>
                <c:pt idx="58">
                  <c:v>1.2599999999999998</c:v>
                </c:pt>
                <c:pt idx="59">
                  <c:v>1.4399999999999997</c:v>
                </c:pt>
                <c:pt idx="60">
                  <c:v>1.6199999999999997</c:v>
                </c:pt>
                <c:pt idx="61">
                  <c:v>1.7999999999999996</c:v>
                </c:pt>
                <c:pt idx="62">
                  <c:v>1.9799999999999995</c:v>
                </c:pt>
                <c:pt idx="63">
                  <c:v>2.1599999999999997</c:v>
                </c:pt>
                <c:pt idx="64">
                  <c:v>2.34</c:v>
                </c:pt>
                <c:pt idx="65">
                  <c:v>2.52</c:v>
                </c:pt>
                <c:pt idx="66">
                  <c:v>2.7</c:v>
                </c:pt>
                <c:pt idx="67">
                  <c:v>2.8800000000000003</c:v>
                </c:pt>
                <c:pt idx="68">
                  <c:v>3.0600000000000005</c:v>
                </c:pt>
                <c:pt idx="69">
                  <c:v>3.2400000000000007</c:v>
                </c:pt>
                <c:pt idx="70">
                  <c:v>3.4200000000000008</c:v>
                </c:pt>
                <c:pt idx="71">
                  <c:v>3.600000000000001</c:v>
                </c:pt>
                <c:pt idx="72">
                  <c:v>3.7800000000000011</c:v>
                </c:pt>
                <c:pt idx="73">
                  <c:v>3.9600000000000013</c:v>
                </c:pt>
                <c:pt idx="74">
                  <c:v>4.1400000000000015</c:v>
                </c:pt>
                <c:pt idx="75">
                  <c:v>4.3200000000000012</c:v>
                </c:pt>
                <c:pt idx="76">
                  <c:v>4.5000000000000009</c:v>
                </c:pt>
                <c:pt idx="77">
                  <c:v>4.6800000000000006</c:v>
                </c:pt>
                <c:pt idx="78">
                  <c:v>4.8600000000000003</c:v>
                </c:pt>
                <c:pt idx="79">
                  <c:v>5.04</c:v>
                </c:pt>
                <c:pt idx="80">
                  <c:v>5.22</c:v>
                </c:pt>
                <c:pt idx="81">
                  <c:v>5.3999999999999995</c:v>
                </c:pt>
                <c:pt idx="82">
                  <c:v>5.5799999999999992</c:v>
                </c:pt>
                <c:pt idx="83">
                  <c:v>5.7599999999999989</c:v>
                </c:pt>
                <c:pt idx="84">
                  <c:v>5.9399999999999986</c:v>
                </c:pt>
                <c:pt idx="85">
                  <c:v>6.1199999999999983</c:v>
                </c:pt>
                <c:pt idx="86">
                  <c:v>6.299999999999998</c:v>
                </c:pt>
                <c:pt idx="87">
                  <c:v>6.4799999999999978</c:v>
                </c:pt>
                <c:pt idx="88">
                  <c:v>6.6599999999999975</c:v>
                </c:pt>
                <c:pt idx="89">
                  <c:v>6.8399999999999972</c:v>
                </c:pt>
                <c:pt idx="90">
                  <c:v>7.0199999999999969</c:v>
                </c:pt>
                <c:pt idx="91">
                  <c:v>7.1999999999999966</c:v>
                </c:pt>
                <c:pt idx="92">
                  <c:v>7.3799999999999963</c:v>
                </c:pt>
                <c:pt idx="93">
                  <c:v>7.5599999999999961</c:v>
                </c:pt>
                <c:pt idx="94">
                  <c:v>7.7399999999999958</c:v>
                </c:pt>
                <c:pt idx="95">
                  <c:v>7.9199999999999955</c:v>
                </c:pt>
                <c:pt idx="96">
                  <c:v>8.0999999999999961</c:v>
                </c:pt>
                <c:pt idx="97">
                  <c:v>8.2799999999999958</c:v>
                </c:pt>
                <c:pt idx="98">
                  <c:v>8.4599999999999955</c:v>
                </c:pt>
                <c:pt idx="99">
                  <c:v>8.6399999999999952</c:v>
                </c:pt>
                <c:pt idx="100">
                  <c:v>8.819999999999995</c:v>
                </c:pt>
                <c:pt idx="101">
                  <c:v>8.9999999999999947</c:v>
                </c:pt>
              </c:numCache>
            </c:numRef>
          </c:xVal>
          <c:yVal>
            <c:numRef>
              <c:f>'Chart Data'!$T$12:$T$113</c:f>
              <c:numCache>
                <c:formatCode>General</c:formatCode>
                <c:ptCount val="102"/>
                <c:pt idx="51">
                  <c:v>0.24145464675492506</c:v>
                </c:pt>
                <c:pt idx="52">
                  <c:v>0.40892688060160354</c:v>
                </c:pt>
                <c:pt idx="53">
                  <c:v>0.5864976981407285</c:v>
                </c:pt>
                <c:pt idx="54">
                  <c:v>0.77382194701958451</c:v>
                </c:pt>
                <c:pt idx="55">
                  <c:v>0.97040399247221421</c:v>
                </c:pt>
                <c:pt idx="56">
                  <c:v>1.1756612083349904</c:v>
                </c:pt>
                <c:pt idx="57">
                  <c:v>1.389065427201253</c:v>
                </c:pt>
                <c:pt idx="58">
                  <c:v>1.610214872009349</c:v>
                </c:pt>
                <c:pt idx="59">
                  <c:v>1.8388227834749451</c:v>
                </c:pt>
                <c:pt idx="60">
                  <c:v>2.0746819847003621</c:v>
                </c:pt>
                <c:pt idx="61">
                  <c:v>2.3176362261338248</c:v>
                </c:pt>
                <c:pt idx="62">
                  <c:v>2.5675621807968541</c:v>
                </c:pt>
                <c:pt idx="63">
                  <c:v>2.8243586361787956</c:v>
                </c:pt>
                <c:pt idx="64">
                  <c:v>3.087939445683447</c:v>
                </c:pt>
                <c:pt idx="65">
                  <c:v>3.358227965633541</c:v>
                </c:pt>
                <c:pt idx="66">
                  <c:v>3.6351517793570665</c:v>
                </c:pt>
                <c:pt idx="67">
                  <c:v>3.9186375862649756</c:v>
                </c:pt>
                <c:pt idx="68">
                  <c:v>4.2086071976474768</c:v>
                </c:pt>
                <c:pt idx="69">
                  <c:v>4.5049760956938627</c:v>
                </c:pt>
                <c:pt idx="70">
                  <c:v>4.8076553718415909</c:v>
                </c:pt>
                <c:pt idx="71">
                  <c:v>5.116556375092336</c:v>
                </c:pt>
                <c:pt idx="72">
                  <c:v>5.4315963077662133</c:v>
                </c:pt>
                <c:pt idx="73">
                  <c:v>5.7527031077002944</c:v>
                </c:pt>
                <c:pt idx="74">
                  <c:v>6.0798188438216751</c:v>
                </c:pt>
                <c:pt idx="75">
                  <c:v>6.4129016796481819</c:v>
                </c:pt>
                <c:pt idx="76">
                  <c:v>6.751926832455287</c:v>
                </c:pt>
                <c:pt idx="77">
                  <c:v>7.09688696176348</c:v>
                </c:pt>
                <c:pt idx="78">
                  <c:v>7.4477922676418036</c:v>
                </c:pt>
                <c:pt idx="79">
                  <c:v>7.8046703924043221</c:v>
                </c:pt>
                <c:pt idx="80">
                  <c:v>8.1675660321227284</c:v>
                </c:pt>
                <c:pt idx="81">
                  <c:v>8.5365399774594675</c:v>
                </c:pt>
                <c:pt idx="82">
                  <c:v>8.9116671501669948</c:v>
                </c:pt>
                <c:pt idx="83">
                  <c:v>9.2930332075147284</c:v>
                </c:pt>
                <c:pt idx="84">
                  <c:v>9.6807296600905328</c:v>
                </c:pt>
                <c:pt idx="85">
                  <c:v>10.074848276046474</c:v>
                </c:pt>
                <c:pt idx="86">
                  <c:v>10.475476432782786</c:v>
                </c:pt>
                <c:pt idx="87">
                  <c:v>10.882695178598802</c:v>
                </c:pt>
                <c:pt idx="88">
                  <c:v>11.296580673673096</c:v>
                </c:pt>
                <c:pt idx="89">
                  <c:v>11.71720819426721</c:v>
                </c:pt>
                <c:pt idx="90">
                  <c:v>12.144657243647957</c:v>
                </c:pt>
                <c:pt idx="91">
                  <c:v>12.579016828001054</c:v>
                </c:pt>
                <c:pt idx="92">
                  <c:v>13.020391019426681</c:v>
                </c:pt>
                <c:pt idx="93">
                  <c:v>13.468906004492874</c:v>
                </c:pt>
                <c:pt idx="94">
                  <c:v>13.924720892340911</c:v>
                </c:pt>
                <c:pt idx="95">
                  <c:v>14.388045719458031</c:v>
                </c:pt>
                <c:pt idx="96">
                  <c:v>14.859170104718077</c:v>
                </c:pt>
                <c:pt idx="97">
                  <c:v>15.338498684772262</c:v>
                </c:pt>
                <c:pt idx="98">
                  <c:v>15.826562486616726</c:v>
                </c:pt>
                <c:pt idx="99">
                  <c:v>16.323946996004672</c:v>
                </c:pt>
                <c:pt idx="100">
                  <c:v>16.831150707291592</c:v>
                </c:pt>
                <c:pt idx="101">
                  <c:v>17.3485216324197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23104"/>
        <c:axId val="321888560"/>
      </c:scatterChart>
      <c:valAx>
        <c:axId val="23692310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888560"/>
        <c:crosses val="autoZero"/>
        <c:crossBetween val="midCat"/>
      </c:valAx>
      <c:valAx>
        <c:axId val="3218885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856677524429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92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6071032186459"/>
          <c:y val="0.26384364820846906"/>
          <c:w val="0.22641509433962265"/>
          <c:h val="0.138436482084690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Quartic Model</a:t>
            </a:r>
          </a:p>
        </c:rich>
      </c:tx>
      <c:layout>
        <c:manualLayout>
          <c:xMode val="edge"/>
          <c:yMode val="edge"/>
          <c:x val="0.37957824639289678"/>
          <c:y val="1.9543973941368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355048859934854"/>
          <c:w val="0.85571587125416204"/>
          <c:h val="0.76872964169381108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Data'!$U$12:$U$61</c:f>
              <c:numCache>
                <c:formatCode>General</c:formatCode>
                <c:ptCount val="50"/>
                <c:pt idx="0">
                  <c:v>-1.1643436647051086E-3</c:v>
                </c:pt>
                <c:pt idx="1">
                  <c:v>-4.6124679280211689E-3</c:v>
                </c:pt>
                <c:pt idx="2">
                  <c:v>6.9797554227291059E-3</c:v>
                </c:pt>
                <c:pt idx="3">
                  <c:v>8.5383788763013779E-3</c:v>
                </c:pt>
                <c:pt idx="4">
                  <c:v>6.6085618610918218E-3</c:v>
                </c:pt>
                <c:pt idx="5">
                  <c:v>-3.0945429254864987E-2</c:v>
                </c:pt>
                <c:pt idx="6">
                  <c:v>6.2597788361076212E-3</c:v>
                </c:pt>
                <c:pt idx="7">
                  <c:v>1.0226666381324634E-2</c:v>
                </c:pt>
                <c:pt idx="8">
                  <c:v>-1.2317943226047845E-4</c:v>
                </c:pt>
                <c:pt idx="9">
                  <c:v>-1.8449064478049948E-2</c:v>
                </c:pt>
                <c:pt idx="10">
                  <c:v>1.3808812310188934E-2</c:v>
                </c:pt>
                <c:pt idx="11">
                  <c:v>2.2229358938332666E-2</c:v>
                </c:pt>
                <c:pt idx="12">
                  <c:v>-3.8940964810585399E-4</c:v>
                </c:pt>
                <c:pt idx="13">
                  <c:v>-3.6230371563970465E-2</c:v>
                </c:pt>
                <c:pt idx="14">
                  <c:v>1.2742702015533069E-2</c:v>
                </c:pt>
                <c:pt idx="15">
                  <c:v>5.5851468548375749E-3</c:v>
                </c:pt>
                <c:pt idx="16">
                  <c:v>-7.2859434198235817E-4</c:v>
                </c:pt>
                <c:pt idx="17">
                  <c:v>1.950280687879058E-4</c:v>
                </c:pt>
                <c:pt idx="18">
                  <c:v>-5.3132932949750966E-4</c:v>
                </c:pt>
                <c:pt idx="19">
                  <c:v>-5.3132932949750966E-4</c:v>
                </c:pt>
                <c:pt idx="20">
                  <c:v>-5.3132932949750966E-4</c:v>
                </c:pt>
                <c:pt idx="21">
                  <c:v>-5.3132932949750966E-4</c:v>
                </c:pt>
                <c:pt idx="22">
                  <c:v>-5.3132932949750966E-4</c:v>
                </c:pt>
                <c:pt idx="23">
                  <c:v>-5.3132932949750966E-4</c:v>
                </c:pt>
                <c:pt idx="24">
                  <c:v>-5.3132932949750966E-4</c:v>
                </c:pt>
                <c:pt idx="25">
                  <c:v>-5.3132932949750966E-4</c:v>
                </c:pt>
                <c:pt idx="26">
                  <c:v>-5.3132932949750966E-4</c:v>
                </c:pt>
                <c:pt idx="27">
                  <c:v>-5.3132932949750966E-4</c:v>
                </c:pt>
                <c:pt idx="28">
                  <c:v>-5.3132932949750966E-4</c:v>
                </c:pt>
                <c:pt idx="29">
                  <c:v>-5.3132932949750966E-4</c:v>
                </c:pt>
                <c:pt idx="30">
                  <c:v>-5.3132932949750966E-4</c:v>
                </c:pt>
                <c:pt idx="31">
                  <c:v>-5.3132932949750966E-4</c:v>
                </c:pt>
                <c:pt idx="32">
                  <c:v>-5.3132932949750966E-4</c:v>
                </c:pt>
                <c:pt idx="33">
                  <c:v>-5.3132932949750966E-4</c:v>
                </c:pt>
                <c:pt idx="34">
                  <c:v>-5.3132932949750966E-4</c:v>
                </c:pt>
                <c:pt idx="35">
                  <c:v>-5.3132932949750966E-4</c:v>
                </c:pt>
                <c:pt idx="36">
                  <c:v>-5.3132932949750966E-4</c:v>
                </c:pt>
                <c:pt idx="37">
                  <c:v>-5.3132932949750966E-4</c:v>
                </c:pt>
                <c:pt idx="38">
                  <c:v>-5.3132932949750966E-4</c:v>
                </c:pt>
                <c:pt idx="39">
                  <c:v>-5.3132932949750966E-4</c:v>
                </c:pt>
                <c:pt idx="40">
                  <c:v>-5.3132932949750966E-4</c:v>
                </c:pt>
                <c:pt idx="41">
                  <c:v>-5.3132932949750966E-4</c:v>
                </c:pt>
                <c:pt idx="42">
                  <c:v>-5.3132932949750966E-4</c:v>
                </c:pt>
                <c:pt idx="43">
                  <c:v>-5.3132932949750966E-4</c:v>
                </c:pt>
                <c:pt idx="44">
                  <c:v>-5.3132932949750966E-4</c:v>
                </c:pt>
                <c:pt idx="45">
                  <c:v>-5.3132932949750966E-4</c:v>
                </c:pt>
                <c:pt idx="46">
                  <c:v>-5.3132932949750966E-4</c:v>
                </c:pt>
                <c:pt idx="47">
                  <c:v>-5.3132932949750966E-4</c:v>
                </c:pt>
                <c:pt idx="48">
                  <c:v>-5.3132932949750966E-4</c:v>
                </c:pt>
                <c:pt idx="49">
                  <c:v>-5.3132932949750966E-4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90488"/>
        <c:axId val="237190880"/>
      </c:scatterChart>
      <c:valAx>
        <c:axId val="2371904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7502774694783573"/>
              <c:y val="0.92833876221498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190880"/>
        <c:crosses val="autoZero"/>
        <c:crossBetween val="midCat"/>
      </c:valAx>
      <c:valAx>
        <c:axId val="237190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9185667752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190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first-order linear regression of the multipoint calibration data." title="First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iduals from the first-order linear regression of the multipoint calibration data." title="First-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second-order linear regression of the multipoint calibration data." title="Second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iduals from the second-order linear regression of the multipoint calibration data." title="Second-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third-order linear regression of the multipoint calibration data." title="Third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iduals from the third-order linear regression of the multipoint calibration data." title="Third-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fourth-order linear regression of the multipoint calibration data." title="Fourth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iduals from the fourth-order linear regression of the multipoint calibration data." title="Fourth-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4"/>
  <sheetViews>
    <sheetView showGridLines="0" zoomScale="80" workbookViewId="0">
      <selection activeCell="D84" sqref="D84"/>
    </sheetView>
  </sheetViews>
  <sheetFormatPr defaultRowHeight="15" x14ac:dyDescent="0.2"/>
  <cols>
    <col min="2" max="2" width="10.5546875" customWidth="1"/>
    <col min="3" max="3" width="3.44140625" customWidth="1"/>
    <col min="4" max="4" width="23.77734375" customWidth="1"/>
    <col min="6" max="6" width="12.109375" customWidth="1"/>
    <col min="7" max="7" width="11.6640625" customWidth="1"/>
  </cols>
  <sheetData>
    <row r="1" spans="1:7" ht="19.5" thickTop="1" thickBot="1" x14ac:dyDescent="0.3">
      <c r="B1" s="114"/>
      <c r="C1" s="115"/>
      <c r="D1" s="116" t="s">
        <v>0</v>
      </c>
      <c r="E1" s="115"/>
      <c r="F1" s="117"/>
    </row>
    <row r="2" spans="1:7" ht="16.5" thickTop="1" thickBot="1" x14ac:dyDescent="0.25"/>
    <row r="3" spans="1:7" ht="17.25" thickTop="1" thickBot="1" x14ac:dyDescent="0.3">
      <c r="D3" s="118" t="s">
        <v>1</v>
      </c>
      <c r="E3" s="97"/>
    </row>
    <row r="4" spans="1:7" ht="15.75" thickTop="1" x14ac:dyDescent="0.2">
      <c r="D4" s="97"/>
      <c r="E4" s="97"/>
    </row>
    <row r="5" spans="1:7" x14ac:dyDescent="0.2">
      <c r="A5" s="2" t="s">
        <v>2</v>
      </c>
      <c r="E5" s="2"/>
      <c r="F5" s="2"/>
      <c r="G5" s="2"/>
    </row>
    <row r="6" spans="1:7" x14ac:dyDescent="0.2">
      <c r="A6" s="2"/>
      <c r="E6" s="2"/>
      <c r="F6" s="2"/>
      <c r="G6" s="2"/>
    </row>
    <row r="7" spans="1:7" ht="18.75" x14ac:dyDescent="0.35">
      <c r="B7" s="5" t="s">
        <v>3</v>
      </c>
      <c r="C7" s="29" t="s">
        <v>4</v>
      </c>
      <c r="E7" s="2"/>
      <c r="F7" s="2"/>
      <c r="G7" s="2"/>
    </row>
    <row r="8" spans="1:7" ht="20.25" x14ac:dyDescent="0.35">
      <c r="B8" s="6" t="s">
        <v>5</v>
      </c>
      <c r="C8" s="29" t="s">
        <v>6</v>
      </c>
      <c r="E8" s="2"/>
      <c r="F8" s="2"/>
      <c r="G8" s="2"/>
    </row>
    <row r="9" spans="1:7" ht="20.25" x14ac:dyDescent="0.35">
      <c r="B9" s="6" t="s">
        <v>7</v>
      </c>
      <c r="C9" s="29" t="s">
        <v>8</v>
      </c>
      <c r="E9" s="2"/>
      <c r="F9" s="2"/>
      <c r="G9" s="2"/>
    </row>
    <row r="10" spans="1:7" ht="20.25" x14ac:dyDescent="0.35">
      <c r="B10" s="6" t="s">
        <v>9</v>
      </c>
      <c r="C10" s="29" t="s">
        <v>10</v>
      </c>
      <c r="E10" s="2"/>
      <c r="F10" s="2"/>
      <c r="G10" s="2"/>
    </row>
    <row r="11" spans="1:7" ht="15.75" x14ac:dyDescent="0.25">
      <c r="B11" s="6"/>
      <c r="C11" s="28"/>
      <c r="E11" s="2"/>
      <c r="F11" s="2"/>
      <c r="G11" s="2"/>
    </row>
    <row r="12" spans="1:7" ht="15.75" x14ac:dyDescent="0.25">
      <c r="B12" s="6" t="s">
        <v>11</v>
      </c>
      <c r="C12" s="28"/>
      <c r="E12" s="2"/>
      <c r="F12" s="2"/>
      <c r="G12" s="2"/>
    </row>
    <row r="13" spans="1:7" ht="15.75" x14ac:dyDescent="0.25">
      <c r="B13" s="6"/>
      <c r="C13" s="28" t="s">
        <v>12</v>
      </c>
      <c r="D13" t="s">
        <v>13</v>
      </c>
      <c r="E13" s="2"/>
      <c r="F13" s="2"/>
      <c r="G13" s="2"/>
    </row>
    <row r="14" spans="1:7" ht="15.75" x14ac:dyDescent="0.25">
      <c r="B14" s="6"/>
      <c r="C14" s="28" t="s">
        <v>14</v>
      </c>
      <c r="D14" t="s">
        <v>15</v>
      </c>
      <c r="E14" s="2"/>
      <c r="F14" s="2"/>
      <c r="G14" s="2"/>
    </row>
    <row r="15" spans="1:7" ht="15.75" x14ac:dyDescent="0.25">
      <c r="B15" s="6"/>
      <c r="C15" s="603" t="s">
        <v>16</v>
      </c>
      <c r="D15" s="3" t="s">
        <v>17</v>
      </c>
      <c r="E15" s="2"/>
      <c r="F15" s="2"/>
      <c r="G15" s="2"/>
    </row>
    <row r="16" spans="1:7" ht="15.75" x14ac:dyDescent="0.25">
      <c r="B16" s="6"/>
      <c r="C16" s="603"/>
      <c r="D16" s="3"/>
      <c r="E16" s="2"/>
      <c r="F16" s="2"/>
      <c r="G16" s="2"/>
    </row>
    <row r="17" spans="1:7" ht="15.75" x14ac:dyDescent="0.25">
      <c r="A17" t="s">
        <v>18</v>
      </c>
      <c r="B17" s="6"/>
      <c r="C17" s="603"/>
      <c r="D17" s="3"/>
      <c r="E17" s="2"/>
      <c r="F17" s="2"/>
      <c r="G17" s="2"/>
    </row>
    <row r="18" spans="1:7" ht="15.75" x14ac:dyDescent="0.25">
      <c r="B18" s="6"/>
      <c r="C18" s="603"/>
      <c r="D18" s="3"/>
      <c r="E18" s="2"/>
      <c r="F18" s="2"/>
      <c r="G18" s="2"/>
    </row>
    <row r="19" spans="1:7" ht="15.75" x14ac:dyDescent="0.25">
      <c r="A19" s="1" t="s">
        <v>19</v>
      </c>
      <c r="C19" s="6"/>
      <c r="D19" s="28"/>
      <c r="E19" s="2"/>
      <c r="F19" s="2"/>
      <c r="G19" s="2"/>
    </row>
    <row r="20" spans="1:7" x14ac:dyDescent="0.2">
      <c r="A20" s="97" t="s">
        <v>20</v>
      </c>
    </row>
    <row r="21" spans="1:7" x14ac:dyDescent="0.2">
      <c r="A21" s="97"/>
    </row>
    <row r="22" spans="1:7" x14ac:dyDescent="0.2">
      <c r="A22" s="99" t="s">
        <v>21</v>
      </c>
      <c r="B22" s="97" t="s">
        <v>22</v>
      </c>
    </row>
    <row r="23" spans="1:7" x14ac:dyDescent="0.2">
      <c r="A23" s="99" t="s">
        <v>21</v>
      </c>
      <c r="B23" s="97" t="s">
        <v>23</v>
      </c>
    </row>
    <row r="24" spans="1:7" x14ac:dyDescent="0.2">
      <c r="A24" s="99" t="s">
        <v>21</v>
      </c>
      <c r="B24" s="97" t="s">
        <v>24</v>
      </c>
    </row>
    <row r="25" spans="1:7" x14ac:dyDescent="0.2">
      <c r="A25" s="99" t="s">
        <v>21</v>
      </c>
      <c r="B25" s="97" t="s">
        <v>25</v>
      </c>
    </row>
    <row r="26" spans="1:7" x14ac:dyDescent="0.2">
      <c r="A26" s="97"/>
      <c r="B26" s="97" t="s">
        <v>26</v>
      </c>
    </row>
    <row r="27" spans="1:7" ht="15.75" thickBot="1" x14ac:dyDescent="0.25">
      <c r="A27" s="97"/>
      <c r="B27" s="97"/>
    </row>
    <row r="28" spans="1:7" ht="17.25" thickTop="1" thickBot="1" x14ac:dyDescent="0.3">
      <c r="A28" s="97"/>
      <c r="B28" s="97"/>
      <c r="D28" s="118" t="s">
        <v>27</v>
      </c>
    </row>
    <row r="29" spans="1:7" ht="15.75" thickTop="1" x14ac:dyDescent="0.2">
      <c r="A29" s="97"/>
      <c r="B29" s="97"/>
      <c r="C29" s="112"/>
      <c r="D29" s="112"/>
      <c r="E29" s="112"/>
    </row>
    <row r="30" spans="1:7" x14ac:dyDescent="0.2">
      <c r="A30" s="112" t="s">
        <v>28</v>
      </c>
      <c r="B30" s="97"/>
    </row>
    <row r="31" spans="1:7" x14ac:dyDescent="0.2">
      <c r="A31" s="112" t="s">
        <v>29</v>
      </c>
      <c r="B31" s="97"/>
    </row>
    <row r="32" spans="1:7" x14ac:dyDescent="0.2">
      <c r="A32" s="112" t="s">
        <v>30</v>
      </c>
      <c r="B32" s="97"/>
    </row>
    <row r="33" spans="1:5" x14ac:dyDescent="0.2">
      <c r="A33" s="112" t="s">
        <v>31</v>
      </c>
      <c r="B33" s="97"/>
    </row>
    <row r="34" spans="1:5" x14ac:dyDescent="0.2">
      <c r="A34" s="112" t="s">
        <v>32</v>
      </c>
      <c r="B34" s="97"/>
    </row>
    <row r="35" spans="1:5" x14ac:dyDescent="0.2">
      <c r="A35" s="112" t="s">
        <v>33</v>
      </c>
      <c r="B35" s="97"/>
    </row>
    <row r="36" spans="1:5" x14ac:dyDescent="0.2">
      <c r="A36" s="112" t="s">
        <v>34</v>
      </c>
      <c r="B36" s="97"/>
    </row>
    <row r="37" spans="1:5" x14ac:dyDescent="0.2">
      <c r="A37" s="112" t="s">
        <v>35</v>
      </c>
      <c r="B37" s="97"/>
    </row>
    <row r="38" spans="1:5" x14ac:dyDescent="0.2">
      <c r="A38" s="112" t="s">
        <v>36</v>
      </c>
      <c r="C38" s="97"/>
    </row>
    <row r="39" spans="1:5" x14ac:dyDescent="0.2">
      <c r="A39" s="112" t="s">
        <v>37</v>
      </c>
      <c r="C39" s="97"/>
    </row>
    <row r="40" spans="1:5" x14ac:dyDescent="0.2">
      <c r="A40" s="112" t="s">
        <v>38</v>
      </c>
      <c r="C40" s="97"/>
    </row>
    <row r="41" spans="1:5" ht="15.75" thickBot="1" x14ac:dyDescent="0.25">
      <c r="A41" s="112"/>
      <c r="C41" s="97"/>
    </row>
    <row r="42" spans="1:5" ht="17.25" thickTop="1" thickBot="1" x14ac:dyDescent="0.3">
      <c r="D42" s="118" t="s">
        <v>39</v>
      </c>
      <c r="E42" s="97"/>
    </row>
    <row r="43" spans="1:5" ht="15.75" thickTop="1" x14ac:dyDescent="0.2"/>
    <row r="44" spans="1:5" x14ac:dyDescent="0.2">
      <c r="A44" t="s">
        <v>40</v>
      </c>
    </row>
    <row r="45" spans="1:5" x14ac:dyDescent="0.2">
      <c r="A45" t="s">
        <v>41</v>
      </c>
    </row>
    <row r="47" spans="1:5" ht="15.75" x14ac:dyDescent="0.25">
      <c r="B47" s="95" t="s">
        <v>42</v>
      </c>
    </row>
    <row r="48" spans="1:5" ht="15.75" x14ac:dyDescent="0.25">
      <c r="B48" s="95"/>
    </row>
    <row r="49" spans="2:7" ht="15.75" x14ac:dyDescent="0.25">
      <c r="B49" s="95" t="s">
        <v>43</v>
      </c>
    </row>
    <row r="50" spans="2:7" x14ac:dyDescent="0.2">
      <c r="B50" s="3" t="s">
        <v>44</v>
      </c>
    </row>
    <row r="51" spans="2:7" ht="15.75" x14ac:dyDescent="0.25">
      <c r="B51" s="95"/>
    </row>
    <row r="52" spans="2:7" ht="15.75" x14ac:dyDescent="0.25">
      <c r="B52" s="363" t="s">
        <v>45</v>
      </c>
      <c r="C52" s="185"/>
      <c r="D52" s="185"/>
      <c r="E52" s="185"/>
      <c r="F52" s="185"/>
      <c r="G52" s="185"/>
    </row>
    <row r="53" spans="2:7" x14ac:dyDescent="0.2">
      <c r="B53" s="365"/>
      <c r="C53" s="185"/>
      <c r="D53" s="185"/>
      <c r="E53" s="185"/>
      <c r="F53" s="185"/>
      <c r="G53" s="185"/>
    </row>
    <row r="54" spans="2:7" x14ac:dyDescent="0.2">
      <c r="B54" s="97"/>
    </row>
    <row r="55" spans="2:7" ht="15.75" x14ac:dyDescent="0.25">
      <c r="B55" s="363" t="s">
        <v>46</v>
      </c>
      <c r="C55" s="185"/>
      <c r="D55" s="185"/>
      <c r="E55" s="185"/>
      <c r="F55" s="185"/>
      <c r="G55" s="185"/>
    </row>
    <row r="56" spans="2:7" x14ac:dyDescent="0.2">
      <c r="B56" s="364" t="s">
        <v>47</v>
      </c>
      <c r="C56" s="185"/>
      <c r="D56" s="185"/>
      <c r="E56" s="185"/>
      <c r="F56" s="185"/>
      <c r="G56" s="185"/>
    </row>
    <row r="57" spans="2:7" x14ac:dyDescent="0.2">
      <c r="B57" s="112"/>
    </row>
    <row r="58" spans="2:7" ht="15.75" x14ac:dyDescent="0.25">
      <c r="B58" s="361" t="s">
        <v>48</v>
      </c>
      <c r="C58" s="126"/>
      <c r="D58" s="126"/>
      <c r="E58" s="126"/>
      <c r="F58" s="126"/>
      <c r="G58" s="126"/>
    </row>
    <row r="59" spans="2:7" x14ac:dyDescent="0.2">
      <c r="B59" s="362" t="s">
        <v>49</v>
      </c>
      <c r="C59" s="126"/>
      <c r="D59" s="126"/>
      <c r="E59" s="126"/>
      <c r="F59" s="126"/>
      <c r="G59" s="126"/>
    </row>
    <row r="60" spans="2:7" x14ac:dyDescent="0.2">
      <c r="B60" s="112"/>
    </row>
    <row r="61" spans="2:7" ht="15.75" x14ac:dyDescent="0.25">
      <c r="B61" s="361" t="s">
        <v>50</v>
      </c>
      <c r="C61" s="126"/>
      <c r="D61" s="126"/>
      <c r="E61" s="126"/>
      <c r="F61" s="126"/>
      <c r="G61" s="126"/>
    </row>
    <row r="62" spans="2:7" x14ac:dyDescent="0.2">
      <c r="B62" s="369" t="s">
        <v>51</v>
      </c>
      <c r="C62" s="126"/>
      <c r="D62" s="126"/>
      <c r="E62" s="126"/>
      <c r="F62" s="126"/>
      <c r="G62" s="126"/>
    </row>
    <row r="63" spans="2:7" x14ac:dyDescent="0.2">
      <c r="B63" s="112"/>
    </row>
    <row r="64" spans="2:7" ht="15.75" x14ac:dyDescent="0.25">
      <c r="B64" s="537" t="s">
        <v>52</v>
      </c>
      <c r="C64" s="125"/>
      <c r="D64" s="125"/>
      <c r="E64" s="125"/>
      <c r="F64" s="125"/>
      <c r="G64" s="125"/>
    </row>
    <row r="65" spans="2:7" x14ac:dyDescent="0.2">
      <c r="B65" s="538" t="s">
        <v>49</v>
      </c>
      <c r="C65" s="125"/>
      <c r="D65" s="125"/>
      <c r="E65" s="125"/>
      <c r="F65" s="125"/>
      <c r="G65" s="125"/>
    </row>
    <row r="66" spans="2:7" x14ac:dyDescent="0.2">
      <c r="B66" s="112"/>
    </row>
    <row r="67" spans="2:7" ht="15.75" x14ac:dyDescent="0.25">
      <c r="B67" s="537" t="s">
        <v>53</v>
      </c>
      <c r="C67" s="125"/>
      <c r="D67" s="125"/>
      <c r="E67" s="125"/>
      <c r="F67" s="125"/>
      <c r="G67" s="125"/>
    </row>
    <row r="68" spans="2:7" x14ac:dyDescent="0.2">
      <c r="B68" s="360" t="s">
        <v>54</v>
      </c>
      <c r="C68" s="125"/>
      <c r="D68" s="125"/>
      <c r="E68" s="125"/>
      <c r="F68" s="125"/>
      <c r="G68" s="125"/>
    </row>
    <row r="69" spans="2:7" x14ac:dyDescent="0.2">
      <c r="B69" s="112"/>
    </row>
    <row r="70" spans="2:7" ht="15.75" x14ac:dyDescent="0.25">
      <c r="B70" s="366" t="s">
        <v>55</v>
      </c>
      <c r="C70" s="238"/>
      <c r="D70" s="238"/>
      <c r="E70" s="238"/>
      <c r="F70" s="238"/>
      <c r="G70" s="238"/>
    </row>
    <row r="71" spans="2:7" x14ac:dyDescent="0.2">
      <c r="B71" s="367" t="s">
        <v>49</v>
      </c>
      <c r="C71" s="238"/>
      <c r="D71" s="238"/>
      <c r="E71" s="238"/>
      <c r="F71" s="238"/>
      <c r="G71" s="238"/>
    </row>
    <row r="72" spans="2:7" x14ac:dyDescent="0.2">
      <c r="B72" s="112"/>
    </row>
    <row r="73" spans="2:7" ht="15.75" x14ac:dyDescent="0.25">
      <c r="B73" s="366" t="s">
        <v>56</v>
      </c>
      <c r="C73" s="238"/>
      <c r="D73" s="238"/>
      <c r="E73" s="238"/>
      <c r="F73" s="238"/>
      <c r="G73" s="238"/>
    </row>
    <row r="74" spans="2:7" x14ac:dyDescent="0.2">
      <c r="B74" s="368" t="s">
        <v>57</v>
      </c>
      <c r="C74" s="238"/>
      <c r="D74" s="238"/>
      <c r="E74" s="238"/>
      <c r="F74" s="238"/>
      <c r="G74" s="238"/>
    </row>
    <row r="75" spans="2:7" x14ac:dyDescent="0.2">
      <c r="B75" s="112"/>
    </row>
    <row r="76" spans="2:7" x14ac:dyDescent="0.2">
      <c r="B76" s="112"/>
    </row>
    <row r="77" spans="2:7" ht="15.75" x14ac:dyDescent="0.25">
      <c r="B77" s="95" t="s">
        <v>58</v>
      </c>
    </row>
    <row r="78" spans="2:7" ht="15.75" thickBot="1" x14ac:dyDescent="0.25">
      <c r="B78" s="97"/>
    </row>
    <row r="79" spans="2:7" ht="17.25" thickTop="1" thickBot="1" x14ac:dyDescent="0.3">
      <c r="D79" s="118" t="s">
        <v>59</v>
      </c>
      <c r="E79" s="97"/>
    </row>
    <row r="80" spans="2:7" ht="15.75" thickTop="1" x14ac:dyDescent="0.2"/>
    <row r="81" spans="1:5" ht="15.75" x14ac:dyDescent="0.25">
      <c r="A81" s="97" t="s">
        <v>60</v>
      </c>
    </row>
    <row r="82" spans="1:5" x14ac:dyDescent="0.2">
      <c r="A82" s="97" t="s">
        <v>61</v>
      </c>
    </row>
    <row r="83" spans="1:5" x14ac:dyDescent="0.2">
      <c r="A83" s="97" t="s">
        <v>62</v>
      </c>
    </row>
    <row r="84" spans="1:5" ht="15.75" x14ac:dyDescent="0.25">
      <c r="A84" s="97" t="s">
        <v>63</v>
      </c>
    </row>
    <row r="85" spans="1:5" ht="15.75" x14ac:dyDescent="0.25">
      <c r="A85" s="97" t="s">
        <v>64</v>
      </c>
    </row>
    <row r="86" spans="1:5" ht="15.75" x14ac:dyDescent="0.25">
      <c r="A86" s="97" t="s">
        <v>65</v>
      </c>
    </row>
    <row r="88" spans="1:5" x14ac:dyDescent="0.2">
      <c r="A88" t="s">
        <v>66</v>
      </c>
    </row>
    <row r="89" spans="1:5" x14ac:dyDescent="0.2">
      <c r="A89" t="s">
        <v>67</v>
      </c>
    </row>
    <row r="91" spans="1:5" x14ac:dyDescent="0.2">
      <c r="A91" s="97" t="s">
        <v>68</v>
      </c>
    </row>
    <row r="92" spans="1:5" x14ac:dyDescent="0.2">
      <c r="A92" t="s">
        <v>69</v>
      </c>
    </row>
    <row r="93" spans="1:5" x14ac:dyDescent="0.2">
      <c r="C93" s="365" t="s">
        <v>70</v>
      </c>
      <c r="D93" s="365"/>
      <c r="E93" s="365"/>
    </row>
    <row r="94" spans="1:5" x14ac:dyDescent="0.2">
      <c r="C94" s="369" t="s">
        <v>71</v>
      </c>
      <c r="D94" s="369"/>
      <c r="E94" s="369"/>
    </row>
    <row r="95" spans="1:5" x14ac:dyDescent="0.2">
      <c r="C95" s="360" t="s">
        <v>72</v>
      </c>
      <c r="D95" s="360"/>
      <c r="E95" s="360"/>
    </row>
    <row r="96" spans="1:5" x14ac:dyDescent="0.2">
      <c r="C96" s="368" t="s">
        <v>73</v>
      </c>
      <c r="D96" s="368"/>
      <c r="E96" s="368"/>
    </row>
    <row r="97" spans="1:6" ht="15.75" thickBot="1" x14ac:dyDescent="0.25">
      <c r="A97" s="113"/>
    </row>
    <row r="98" spans="1:6" ht="17.25" thickTop="1" thickBot="1" x14ac:dyDescent="0.3">
      <c r="D98" s="118" t="s">
        <v>74</v>
      </c>
    </row>
    <row r="99" spans="1:6" ht="15.75" thickTop="1" x14ac:dyDescent="0.2"/>
    <row r="100" spans="1:6" x14ac:dyDescent="0.2">
      <c r="A100" s="3" t="s">
        <v>75</v>
      </c>
      <c r="D100" s="2"/>
      <c r="E100" s="2"/>
      <c r="F100" s="2"/>
    </row>
    <row r="101" spans="1:6" ht="18.75" thickBot="1" x14ac:dyDescent="0.3">
      <c r="A101" s="2"/>
      <c r="B101" s="46"/>
      <c r="C101" s="46"/>
      <c r="D101" s="2"/>
      <c r="E101" s="2"/>
      <c r="F101" s="2"/>
    </row>
    <row r="102" spans="1:6" ht="19.5" thickTop="1" thickBot="1" x14ac:dyDescent="0.3">
      <c r="A102" s="119" t="s">
        <v>76</v>
      </c>
      <c r="D102" s="120" t="s">
        <v>77</v>
      </c>
      <c r="E102" s="2"/>
    </row>
    <row r="103" spans="1:6" ht="15.75" thickTop="1" x14ac:dyDescent="0.2">
      <c r="A103" s="2"/>
      <c r="B103" s="2"/>
      <c r="C103" s="2"/>
      <c r="D103" s="2"/>
      <c r="E103" s="2"/>
    </row>
    <row r="104" spans="1:6" x14ac:dyDescent="0.2">
      <c r="A104" s="1" t="s">
        <v>78</v>
      </c>
      <c r="B104" s="2"/>
      <c r="C104" s="2"/>
      <c r="D104" s="2"/>
      <c r="E104" s="2"/>
    </row>
    <row r="105" spans="1:6" x14ac:dyDescent="0.2">
      <c r="A105" s="2" t="s">
        <v>79</v>
      </c>
      <c r="B105" s="2"/>
      <c r="C105" s="2"/>
      <c r="D105" s="2"/>
      <c r="E105" s="2"/>
    </row>
    <row r="106" spans="1:6" x14ac:dyDescent="0.2">
      <c r="A106" s="2" t="s">
        <v>80</v>
      </c>
      <c r="B106" s="2"/>
      <c r="C106" s="2"/>
      <c r="D106" s="2"/>
      <c r="E106" s="2"/>
    </row>
    <row r="107" spans="1:6" x14ac:dyDescent="0.2">
      <c r="A107" s="1" t="s">
        <v>81</v>
      </c>
      <c r="B107" s="2"/>
      <c r="C107" s="2"/>
      <c r="D107" s="2"/>
    </row>
    <row r="108" spans="1:6" x14ac:dyDescent="0.2">
      <c r="A108" s="1" t="s">
        <v>82</v>
      </c>
      <c r="B108" s="2"/>
      <c r="C108" s="2"/>
      <c r="D108" s="2"/>
    </row>
    <row r="109" spans="1:6" ht="15.75" thickBot="1" x14ac:dyDescent="0.25">
      <c r="A109" s="2"/>
      <c r="B109" s="2"/>
      <c r="C109" s="2"/>
      <c r="D109" s="2"/>
    </row>
    <row r="110" spans="1:6" ht="19.5" thickTop="1" thickBot="1" x14ac:dyDescent="0.3">
      <c r="A110" s="119" t="s">
        <v>83</v>
      </c>
      <c r="D110" s="120" t="s">
        <v>84</v>
      </c>
    </row>
    <row r="111" spans="1:6" ht="15.75" thickTop="1" x14ac:dyDescent="0.2"/>
    <row r="112" spans="1:6" ht="19.5" x14ac:dyDescent="0.35">
      <c r="A112" s="1" t="s">
        <v>85</v>
      </c>
    </row>
    <row r="113" spans="1:6" ht="19.5" x14ac:dyDescent="0.35">
      <c r="A113" s="1" t="s">
        <v>86</v>
      </c>
    </row>
    <row r="114" spans="1:6" ht="18" x14ac:dyDescent="0.2">
      <c r="A114" s="1" t="s">
        <v>87</v>
      </c>
    </row>
    <row r="115" spans="1:6" x14ac:dyDescent="0.2">
      <c r="A115" s="97" t="s">
        <v>88</v>
      </c>
    </row>
    <row r="116" spans="1:6" x14ac:dyDescent="0.2">
      <c r="A116" s="97" t="s">
        <v>89</v>
      </c>
    </row>
    <row r="117" spans="1:6" ht="15.75" thickBot="1" x14ac:dyDescent="0.25"/>
    <row r="118" spans="1:6" ht="19.5" thickTop="1" thickBot="1" x14ac:dyDescent="0.3">
      <c r="A118" s="119" t="s">
        <v>90</v>
      </c>
      <c r="C118" s="121" t="s">
        <v>91</v>
      </c>
      <c r="D118" s="2"/>
      <c r="E118" s="2"/>
      <c r="F118" s="2"/>
    </row>
    <row r="119" spans="1:6" ht="15.75" thickTop="1" x14ac:dyDescent="0.2">
      <c r="A119" s="2"/>
      <c r="B119" s="2"/>
      <c r="C119" s="2"/>
      <c r="D119" s="2"/>
      <c r="E119" s="2"/>
      <c r="F119" s="2"/>
    </row>
    <row r="120" spans="1:6" x14ac:dyDescent="0.2">
      <c r="A120" s="97" t="s">
        <v>92</v>
      </c>
    </row>
    <row r="121" spans="1:6" x14ac:dyDescent="0.2">
      <c r="A121" t="s">
        <v>93</v>
      </c>
    </row>
    <row r="122" spans="1:6" ht="15.75" thickBot="1" x14ac:dyDescent="0.25">
      <c r="C122" s="113"/>
    </row>
    <row r="123" spans="1:6" ht="19.5" thickTop="1" thickBot="1" x14ac:dyDescent="0.3">
      <c r="A123" s="119" t="s">
        <v>94</v>
      </c>
      <c r="C123" s="121" t="s">
        <v>95</v>
      </c>
      <c r="D123" s="2"/>
    </row>
    <row r="124" spans="1:6" ht="15.75" thickTop="1" x14ac:dyDescent="0.2"/>
    <row r="125" spans="1:6" x14ac:dyDescent="0.2">
      <c r="A125" t="s">
        <v>96</v>
      </c>
    </row>
    <row r="126" spans="1:6" x14ac:dyDescent="0.2">
      <c r="A126" t="s">
        <v>97</v>
      </c>
    </row>
    <row r="127" spans="1:6" x14ac:dyDescent="0.2">
      <c r="A127" t="s">
        <v>98</v>
      </c>
    </row>
    <row r="128" spans="1:6" x14ac:dyDescent="0.2">
      <c r="A128" t="s">
        <v>99</v>
      </c>
    </row>
    <row r="129" spans="1:4" x14ac:dyDescent="0.2">
      <c r="A129" t="s">
        <v>100</v>
      </c>
    </row>
    <row r="130" spans="1:4" ht="15.75" thickBot="1" x14ac:dyDescent="0.25"/>
    <row r="131" spans="1:4" ht="19.5" thickTop="1" thickBot="1" x14ac:dyDescent="0.3">
      <c r="A131" s="119" t="s">
        <v>101</v>
      </c>
      <c r="C131" s="121" t="s">
        <v>102</v>
      </c>
      <c r="D131" s="2"/>
    </row>
    <row r="132" spans="1:4" ht="15.75" thickTop="1" x14ac:dyDescent="0.2"/>
    <row r="133" spans="1:4" x14ac:dyDescent="0.2">
      <c r="A133" t="s">
        <v>103</v>
      </c>
    </row>
    <row r="134" spans="1:4" x14ac:dyDescent="0.2">
      <c r="A134" t="s">
        <v>104</v>
      </c>
    </row>
    <row r="135" spans="1:4" x14ac:dyDescent="0.2">
      <c r="A135" t="s">
        <v>105</v>
      </c>
    </row>
    <row r="137" spans="1:4" x14ac:dyDescent="0.2">
      <c r="A137" t="s">
        <v>106</v>
      </c>
    </row>
    <row r="138" spans="1:4" x14ac:dyDescent="0.2">
      <c r="A138" t="s">
        <v>107</v>
      </c>
    </row>
    <row r="139" spans="1:4" x14ac:dyDescent="0.2">
      <c r="A139" t="s">
        <v>108</v>
      </c>
    </row>
    <row r="140" spans="1:4" x14ac:dyDescent="0.2">
      <c r="A140" t="s">
        <v>109</v>
      </c>
    </row>
    <row r="141" spans="1:4" x14ac:dyDescent="0.2">
      <c r="A141" t="s">
        <v>110</v>
      </c>
    </row>
    <row r="142" spans="1:4" x14ac:dyDescent="0.2">
      <c r="A142" t="s">
        <v>111</v>
      </c>
    </row>
    <row r="143" spans="1:4" x14ac:dyDescent="0.2">
      <c r="A143" t="s">
        <v>112</v>
      </c>
    </row>
    <row r="144" spans="1:4" ht="15.75" thickBot="1" x14ac:dyDescent="0.25"/>
    <row r="145" spans="1:4" ht="19.5" thickTop="1" thickBot="1" x14ac:dyDescent="0.3">
      <c r="A145" s="119" t="s">
        <v>113</v>
      </c>
      <c r="C145" s="121" t="s">
        <v>114</v>
      </c>
      <c r="D145" s="2"/>
    </row>
    <row r="146" spans="1:4" ht="15.75" thickTop="1" x14ac:dyDescent="0.2"/>
    <row r="147" spans="1:4" x14ac:dyDescent="0.2">
      <c r="A147" t="s">
        <v>115</v>
      </c>
    </row>
    <row r="148" spans="1:4" x14ac:dyDescent="0.2">
      <c r="A148" t="s">
        <v>116</v>
      </c>
    </row>
    <row r="149" spans="1:4" x14ac:dyDescent="0.2">
      <c r="A149" t="s">
        <v>117</v>
      </c>
    </row>
    <row r="150" spans="1:4" x14ac:dyDescent="0.2">
      <c r="A150" s="97" t="s">
        <v>118</v>
      </c>
    </row>
    <row r="151" spans="1:4" ht="15.75" thickBot="1" x14ac:dyDescent="0.25"/>
    <row r="152" spans="1:4" ht="19.5" thickTop="1" thickBot="1" x14ac:dyDescent="0.3">
      <c r="A152" s="119" t="s">
        <v>119</v>
      </c>
      <c r="C152" s="121" t="s">
        <v>120</v>
      </c>
      <c r="D152" s="2"/>
    </row>
    <row r="153" spans="1:4" ht="18.75" thickTop="1" x14ac:dyDescent="0.25">
      <c r="A153" s="78"/>
      <c r="B153" s="2"/>
      <c r="C153" s="121" t="s">
        <v>121</v>
      </c>
      <c r="D153" s="2"/>
    </row>
    <row r="154" spans="1:4" ht="18" x14ac:dyDescent="0.25">
      <c r="A154" s="78"/>
      <c r="B154" s="2"/>
      <c r="C154" s="82"/>
      <c r="D154" s="2"/>
    </row>
    <row r="155" spans="1:4" x14ac:dyDescent="0.2">
      <c r="A155" s="604" t="s">
        <v>122</v>
      </c>
    </row>
    <row r="156" spans="1:4" x14ac:dyDescent="0.2">
      <c r="A156" s="97" t="s">
        <v>123</v>
      </c>
    </row>
    <row r="157" spans="1:4" x14ac:dyDescent="0.2">
      <c r="A157" s="604" t="s">
        <v>124</v>
      </c>
    </row>
    <row r="158" spans="1:4" x14ac:dyDescent="0.2">
      <c r="A158" s="97" t="s">
        <v>125</v>
      </c>
    </row>
    <row r="159" spans="1:4" x14ac:dyDescent="0.2">
      <c r="A159" s="97" t="s">
        <v>126</v>
      </c>
    </row>
    <row r="160" spans="1:4" x14ac:dyDescent="0.2">
      <c r="A160" s="97" t="s">
        <v>127</v>
      </c>
    </row>
    <row r="161" spans="1:7" x14ac:dyDescent="0.2">
      <c r="A161" s="97" t="s">
        <v>128</v>
      </c>
    </row>
    <row r="162" spans="1:7" x14ac:dyDescent="0.2">
      <c r="A162" s="97"/>
    </row>
    <row r="163" spans="1:7" ht="15.75" x14ac:dyDescent="0.25">
      <c r="B163" s="582" t="s">
        <v>129</v>
      </c>
      <c r="C163" s="595" t="s">
        <v>130</v>
      </c>
      <c r="D163" s="596"/>
      <c r="E163" s="597"/>
      <c r="F163" s="597"/>
      <c r="G163" s="598"/>
    </row>
    <row r="164" spans="1:7" ht="15.75" x14ac:dyDescent="0.25">
      <c r="B164" s="583" t="s">
        <v>131</v>
      </c>
      <c r="C164" s="591">
        <v>1</v>
      </c>
      <c r="D164" s="587"/>
      <c r="E164" s="587"/>
      <c r="F164" s="587"/>
      <c r="G164" s="599"/>
    </row>
    <row r="165" spans="1:7" ht="15.75" x14ac:dyDescent="0.25">
      <c r="B165" s="584" t="s">
        <v>132</v>
      </c>
      <c r="C165" s="592">
        <v>2</v>
      </c>
      <c r="D165" s="588"/>
      <c r="E165" s="588"/>
      <c r="F165" s="588"/>
      <c r="G165" s="600"/>
    </row>
    <row r="166" spans="1:7" ht="15.75" x14ac:dyDescent="0.25">
      <c r="B166" s="585" t="s">
        <v>133</v>
      </c>
      <c r="C166" s="593">
        <v>3</v>
      </c>
      <c r="D166" s="589"/>
      <c r="E166" s="589"/>
      <c r="F166" s="589"/>
      <c r="G166" s="601"/>
    </row>
    <row r="167" spans="1:7" ht="15.75" x14ac:dyDescent="0.25">
      <c r="B167" s="586" t="s">
        <v>134</v>
      </c>
      <c r="C167" s="594">
        <v>4</v>
      </c>
      <c r="D167" s="590"/>
      <c r="E167" s="590"/>
      <c r="F167" s="590"/>
      <c r="G167" s="602"/>
    </row>
    <row r="168" spans="1:7" x14ac:dyDescent="0.2">
      <c r="A168" s="97"/>
    </row>
    <row r="169" spans="1:7" x14ac:dyDescent="0.2">
      <c r="A169" s="604" t="s">
        <v>135</v>
      </c>
    </row>
    <row r="170" spans="1:7" x14ac:dyDescent="0.2">
      <c r="A170" s="604" t="s">
        <v>136</v>
      </c>
    </row>
    <row r="171" spans="1:7" x14ac:dyDescent="0.2">
      <c r="A171" s="604" t="s">
        <v>137</v>
      </c>
    </row>
    <row r="173" spans="1:7" x14ac:dyDescent="0.2">
      <c r="A173" s="97" t="s">
        <v>138</v>
      </c>
    </row>
    <row r="174" spans="1:7" x14ac:dyDescent="0.2">
      <c r="A174" s="604" t="s">
        <v>139</v>
      </c>
    </row>
    <row r="175" spans="1:7" x14ac:dyDescent="0.2">
      <c r="A175" s="604" t="s">
        <v>140</v>
      </c>
    </row>
    <row r="176" spans="1:7" x14ac:dyDescent="0.2">
      <c r="A176" s="604" t="s">
        <v>141</v>
      </c>
    </row>
    <row r="178" spans="1:1" x14ac:dyDescent="0.2">
      <c r="A178" s="604" t="s">
        <v>142</v>
      </c>
    </row>
    <row r="179" spans="1:1" x14ac:dyDescent="0.2">
      <c r="A179" s="97" t="s">
        <v>143</v>
      </c>
    </row>
    <row r="180" spans="1:1" x14ac:dyDescent="0.2">
      <c r="A180" s="97" t="s">
        <v>144</v>
      </c>
    </row>
    <row r="183" spans="1:1" x14ac:dyDescent="0.2">
      <c r="A183" s="69" t="s">
        <v>145</v>
      </c>
    </row>
    <row r="184" spans="1:1" x14ac:dyDescent="0.2">
      <c r="A184" s="69" t="s">
        <v>146</v>
      </c>
    </row>
  </sheetData>
  <sheetProtection sheet="1" objects="1" scenarios="1"/>
  <phoneticPr fontId="30" type="noConversion"/>
  <pageMargins left="1" right="0.75" top="1" bottom="1" header="0.5" footer="0.5"/>
  <pageSetup scale="73" fitToHeight="3" orientation="portrait" horizontalDpi="4294967293" r:id="rId1"/>
  <headerFooter alignWithMargins="0">
    <oddFooter>&amp;L&amp;F&amp;C&amp;A&amp;R&amp;D</oddFooter>
  </headerFooter>
  <rowBreaks count="1" manualBreakCount="1">
    <brk id="7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359"/>
  <sheetViews>
    <sheetView showGridLines="0" tabSelected="1" zoomScale="80" workbookViewId="0">
      <selection activeCell="D27" sqref="D27"/>
    </sheetView>
  </sheetViews>
  <sheetFormatPr defaultColWidth="8.77734375" defaultRowHeight="18" customHeight="1" x14ac:dyDescent="0.2"/>
  <cols>
    <col min="1" max="1" width="3.77734375" style="2" customWidth="1"/>
    <col min="2" max="2" width="11.33203125" style="2" customWidth="1"/>
    <col min="3" max="3" width="12.5546875" style="2" customWidth="1"/>
    <col min="4" max="4" width="8.77734375" style="2"/>
    <col min="5" max="5" width="10.21875" style="2" customWidth="1"/>
    <col min="6" max="6" width="8.77734375" style="2"/>
    <col min="7" max="7" width="10.33203125" style="2" customWidth="1"/>
    <col min="8" max="11" width="8.77734375" style="2"/>
    <col min="12" max="12" width="10.88671875" style="2" customWidth="1"/>
    <col min="13" max="14" width="10.33203125" style="2" customWidth="1"/>
    <col min="15" max="15" width="8.77734375" style="2"/>
    <col min="16" max="16" width="13.109375" style="2" customWidth="1"/>
    <col min="17" max="18" width="8.77734375" style="2"/>
    <col min="24" max="24" width="10.6640625" customWidth="1"/>
    <col min="25" max="25" width="12.77734375" customWidth="1"/>
    <col min="28" max="28" width="12.5546875" customWidth="1"/>
    <col min="29" max="29" width="11.21875" customWidth="1"/>
    <col min="30" max="31" width="12.77734375" customWidth="1"/>
    <col min="32" max="32" width="12.5546875" customWidth="1"/>
    <col min="33" max="33" width="12.21875" customWidth="1"/>
    <col min="34" max="34" width="12.44140625" customWidth="1"/>
    <col min="35" max="35" width="12.5546875" customWidth="1"/>
    <col min="38" max="46" width="9" customWidth="1"/>
    <col min="47" max="47" width="13" customWidth="1"/>
    <col min="48" max="51" width="9" customWidth="1"/>
    <col min="52" max="52" width="13.109375" customWidth="1"/>
    <col min="53" max="55" width="9" customWidth="1"/>
    <col min="56" max="56" width="11.109375" customWidth="1"/>
    <col min="57" max="57" width="12.5546875" customWidth="1"/>
    <col min="58" max="58" width="13.109375" customWidth="1"/>
    <col min="59" max="61" width="12.5546875" customWidth="1"/>
    <col min="62" max="64" width="16.109375" customWidth="1"/>
    <col min="65" max="65" width="12.5546875" customWidth="1"/>
    <col min="66" max="66" width="16.109375" customWidth="1"/>
    <col min="67" max="67" width="12.5546875" customWidth="1"/>
    <col min="68" max="68" width="9.88671875" customWidth="1"/>
    <col min="69" max="69" width="12.5546875" customWidth="1"/>
    <col min="70" max="70" width="13.109375" customWidth="1"/>
    <col min="71" max="71" width="12.5546875" customWidth="1"/>
    <col min="72" max="72" width="13.109375" customWidth="1"/>
    <col min="73" max="73" width="12.5546875" customWidth="1"/>
    <col min="80" max="81" width="9" customWidth="1"/>
    <col min="82" max="82" width="9.33203125" customWidth="1"/>
    <col min="84" max="84" width="9.33203125" customWidth="1"/>
    <col min="86" max="86" width="9.33203125" customWidth="1"/>
    <col min="88" max="88" width="9.33203125" customWidth="1"/>
    <col min="89" max="89" width="9.88671875" customWidth="1"/>
  </cols>
  <sheetData>
    <row r="1" spans="1:101" ht="18" customHeight="1" x14ac:dyDescent="0.25">
      <c r="A1" s="701" t="s">
        <v>456</v>
      </c>
    </row>
    <row r="2" spans="1:101" ht="18" customHeight="1" thickBot="1" x14ac:dyDescent="0.25">
      <c r="B2"/>
      <c r="C2"/>
      <c r="D2"/>
      <c r="E2"/>
      <c r="F2"/>
      <c r="G2"/>
      <c r="H2"/>
      <c r="I2"/>
      <c r="J2"/>
      <c r="K2" s="184"/>
      <c r="L2" s="184"/>
      <c r="M2" s="184"/>
      <c r="N2" s="184"/>
      <c r="O2" s="184"/>
      <c r="P2" s="184"/>
      <c r="Q2" s="184"/>
      <c r="R2" s="184"/>
      <c r="S2" s="126"/>
      <c r="T2" s="126"/>
      <c r="U2" s="126"/>
      <c r="V2" s="126"/>
      <c r="W2" s="126"/>
      <c r="X2" s="126"/>
      <c r="Y2" s="126"/>
      <c r="Z2" s="126"/>
      <c r="AA2" s="126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465"/>
    </row>
    <row r="3" spans="1:101" s="2" customFormat="1" ht="18" customHeight="1" thickTop="1" thickBot="1" x14ac:dyDescent="0.3">
      <c r="B3" s="81" t="s">
        <v>76</v>
      </c>
      <c r="C3"/>
      <c r="D3" s="82" t="s">
        <v>77</v>
      </c>
      <c r="E3"/>
      <c r="F3"/>
      <c r="G3"/>
      <c r="H3"/>
      <c r="I3"/>
      <c r="J3"/>
      <c r="K3" s="186" t="s">
        <v>147</v>
      </c>
      <c r="L3" s="184"/>
      <c r="M3" s="184"/>
      <c r="N3" s="185"/>
      <c r="O3" s="185"/>
      <c r="P3" s="185"/>
      <c r="Q3" s="185"/>
      <c r="R3" s="185"/>
      <c r="S3" s="128" t="s">
        <v>148</v>
      </c>
      <c r="T3" s="126"/>
      <c r="U3" s="126"/>
      <c r="V3" s="126"/>
      <c r="W3" s="126"/>
      <c r="X3" s="126"/>
      <c r="Y3" s="126"/>
      <c r="Z3" s="126"/>
      <c r="AA3" s="126"/>
      <c r="AB3" s="468" t="s">
        <v>149</v>
      </c>
      <c r="AC3" s="125"/>
      <c r="AD3" s="125"/>
      <c r="AE3" s="125"/>
      <c r="AF3" s="125"/>
      <c r="AG3" s="125"/>
      <c r="AH3" s="125"/>
      <c r="AI3" s="468" t="s">
        <v>149</v>
      </c>
      <c r="AJ3" s="125"/>
      <c r="AK3" s="125"/>
      <c r="AL3" s="125"/>
      <c r="AM3" s="125"/>
      <c r="AN3" s="125"/>
      <c r="AO3" s="125"/>
      <c r="AP3" s="468" t="s">
        <v>149</v>
      </c>
      <c r="AQ3" s="125"/>
      <c r="AR3" s="125"/>
      <c r="AS3" s="125"/>
      <c r="AT3" s="125"/>
      <c r="AU3" s="125"/>
      <c r="AV3" s="125"/>
      <c r="AW3" s="468" t="s">
        <v>149</v>
      </c>
      <c r="AX3" s="125"/>
      <c r="AY3" s="125"/>
      <c r="AZ3" s="125"/>
      <c r="BA3" s="125"/>
      <c r="BB3" s="125"/>
      <c r="BC3" s="125"/>
      <c r="BD3" s="125"/>
      <c r="BE3" s="237" t="s">
        <v>150</v>
      </c>
      <c r="BF3" s="239"/>
      <c r="BG3" s="239"/>
      <c r="BH3" s="239"/>
      <c r="BI3" s="239"/>
      <c r="BJ3" s="239"/>
      <c r="BK3" s="239"/>
      <c r="BL3" s="237" t="s">
        <v>150</v>
      </c>
      <c r="BM3" s="239"/>
      <c r="BN3" s="239"/>
      <c r="BO3" s="239"/>
      <c r="BP3" s="239"/>
      <c r="BQ3" s="239"/>
      <c r="BR3" s="239"/>
      <c r="BS3" s="237" t="s">
        <v>150</v>
      </c>
      <c r="BT3" s="239"/>
      <c r="BU3" s="239"/>
      <c r="BV3" s="239"/>
      <c r="BW3" s="239"/>
      <c r="BX3" s="239"/>
      <c r="BY3" s="239"/>
      <c r="BZ3" s="237" t="s">
        <v>150</v>
      </c>
      <c r="CA3" s="239"/>
      <c r="CB3" s="239"/>
      <c r="CC3" s="239"/>
      <c r="CD3" s="239"/>
      <c r="CE3" s="239"/>
      <c r="CF3" s="239"/>
      <c r="CG3" s="237" t="s">
        <v>150</v>
      </c>
      <c r="CH3" s="239"/>
      <c r="CI3" s="239"/>
      <c r="CJ3" s="239"/>
      <c r="CK3" s="239"/>
      <c r="CL3" s="239"/>
      <c r="CM3" s="239"/>
      <c r="CN3" s="237" t="s">
        <v>150</v>
      </c>
      <c r="CO3" s="239"/>
      <c r="CP3" s="239"/>
      <c r="CQ3" s="239"/>
      <c r="CR3" s="239"/>
      <c r="CS3" s="239"/>
      <c r="CT3" s="239"/>
      <c r="CU3" s="239"/>
      <c r="CV3" s="239"/>
      <c r="CW3" s="466"/>
    </row>
    <row r="4" spans="1:101" s="2" customFormat="1" ht="18" customHeight="1" thickTop="1" x14ac:dyDescent="0.2">
      <c r="K4" s="184"/>
      <c r="L4" s="184"/>
      <c r="M4" s="184"/>
      <c r="N4" s="184"/>
      <c r="O4" s="184"/>
      <c r="P4" s="184"/>
      <c r="Q4" s="184"/>
      <c r="R4" s="184"/>
      <c r="S4" s="127"/>
      <c r="T4" s="127"/>
      <c r="U4" s="127"/>
      <c r="V4" s="127"/>
      <c r="W4" s="127"/>
      <c r="X4" s="127"/>
      <c r="Y4" s="127"/>
      <c r="Z4" s="127"/>
      <c r="AA4" s="127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69"/>
      <c r="AX4" s="469"/>
      <c r="AY4" s="469"/>
      <c r="AZ4" s="469"/>
      <c r="BA4" s="469"/>
      <c r="BB4" s="469"/>
      <c r="BC4" s="469"/>
      <c r="BD4" s="46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466"/>
    </row>
    <row r="5" spans="1:101" s="2" customFormat="1" ht="18" customHeight="1" x14ac:dyDescent="0.2">
      <c r="B5" s="1" t="s">
        <v>151</v>
      </c>
      <c r="K5" s="184"/>
      <c r="L5" s="184"/>
      <c r="M5" s="184"/>
      <c r="N5" s="184"/>
      <c r="O5" s="184"/>
      <c r="P5" s="184"/>
      <c r="Q5" s="184"/>
      <c r="R5" s="184"/>
      <c r="S5" s="127"/>
      <c r="T5" s="127"/>
      <c r="U5" s="127"/>
      <c r="V5" s="127"/>
      <c r="W5" s="127"/>
      <c r="X5" s="127"/>
      <c r="Y5" s="127"/>
      <c r="Z5" s="127"/>
      <c r="AA5" s="127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466"/>
    </row>
    <row r="6" spans="1:101" s="2" customFormat="1" ht="18" customHeight="1" x14ac:dyDescent="0.2">
      <c r="B6" s="2" t="s">
        <v>152</v>
      </c>
      <c r="K6" s="184"/>
      <c r="L6" s="184"/>
      <c r="M6" s="184"/>
      <c r="N6" s="184"/>
      <c r="O6" s="184"/>
      <c r="P6" s="184"/>
      <c r="Q6" s="184"/>
      <c r="R6" s="184"/>
      <c r="S6" s="127"/>
      <c r="T6" s="127"/>
      <c r="U6" s="127"/>
      <c r="V6" s="127"/>
      <c r="W6" s="127"/>
      <c r="X6" s="127"/>
      <c r="Y6" s="127"/>
      <c r="Z6" s="127"/>
      <c r="AA6" s="127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466"/>
    </row>
    <row r="7" spans="1:101" s="2" customFormat="1" ht="18" customHeight="1" x14ac:dyDescent="0.2">
      <c r="B7" s="2" t="s">
        <v>153</v>
      </c>
      <c r="K7" s="184"/>
      <c r="L7" s="184"/>
      <c r="M7" s="184"/>
      <c r="N7" s="184"/>
      <c r="O7" s="184"/>
      <c r="P7" s="184"/>
      <c r="Q7" s="184"/>
      <c r="R7" s="184"/>
      <c r="S7" s="127"/>
      <c r="T7" s="127"/>
      <c r="U7" s="127"/>
      <c r="V7" s="127"/>
      <c r="W7" s="127"/>
      <c r="X7" s="127"/>
      <c r="Y7" s="127"/>
      <c r="Z7" s="127"/>
      <c r="AA7" s="127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69"/>
      <c r="BB7" s="469"/>
      <c r="BC7" s="469"/>
      <c r="BD7" s="46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466"/>
    </row>
    <row r="8" spans="1:101" s="2" customFormat="1" ht="18" customHeight="1" x14ac:dyDescent="0.2">
      <c r="B8" s="2" t="s">
        <v>154</v>
      </c>
      <c r="K8" s="184"/>
      <c r="L8" s="184"/>
      <c r="M8" s="184"/>
      <c r="N8" s="184"/>
      <c r="O8" s="184"/>
      <c r="P8" s="184"/>
      <c r="Q8" s="184"/>
      <c r="R8" s="184"/>
      <c r="S8" s="127"/>
      <c r="T8" s="127"/>
      <c r="U8" s="127"/>
      <c r="V8" s="127"/>
      <c r="W8" s="127"/>
      <c r="X8" s="127"/>
      <c r="Y8" s="127"/>
      <c r="Z8" s="127"/>
      <c r="AA8" s="127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466"/>
    </row>
    <row r="9" spans="1:101" ht="18" customHeight="1" x14ac:dyDescent="0.2">
      <c r="B9" s="2" t="s">
        <v>155</v>
      </c>
      <c r="K9" s="185"/>
      <c r="L9" s="185"/>
      <c r="M9" s="185"/>
      <c r="N9" s="185"/>
      <c r="O9" s="185"/>
      <c r="P9" s="185"/>
      <c r="Q9" s="185"/>
      <c r="R9" s="185"/>
      <c r="S9" s="126"/>
      <c r="T9" s="126"/>
      <c r="U9" s="126"/>
      <c r="V9" s="126"/>
      <c r="W9" s="126"/>
      <c r="X9" s="126"/>
      <c r="Y9" s="126"/>
      <c r="Z9" s="126"/>
      <c r="AA9" s="126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465"/>
    </row>
    <row r="10" spans="1:101" ht="18" customHeight="1" thickBot="1" x14ac:dyDescent="0.25">
      <c r="K10" s="185"/>
      <c r="L10" s="185"/>
      <c r="M10" s="185"/>
      <c r="N10" s="185"/>
      <c r="O10" s="185"/>
      <c r="P10" s="185"/>
      <c r="Q10" s="185"/>
      <c r="R10" s="185"/>
      <c r="S10" s="126"/>
      <c r="T10" s="126"/>
      <c r="U10" s="126"/>
      <c r="V10" s="126"/>
      <c r="W10" s="126"/>
      <c r="X10" s="126"/>
      <c r="Y10" s="126"/>
      <c r="Z10" s="126"/>
      <c r="AA10" s="126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465"/>
    </row>
    <row r="11" spans="1:101" ht="18" customHeight="1" thickTop="1" thickBot="1" x14ac:dyDescent="0.4">
      <c r="B11" s="96" t="s">
        <v>156</v>
      </c>
      <c r="C11" s="9" t="s">
        <v>157</v>
      </c>
      <c r="D11" s="9" t="s">
        <v>158</v>
      </c>
      <c r="F11" s="86" t="s">
        <v>159</v>
      </c>
      <c r="G11"/>
      <c r="H11"/>
      <c r="I11"/>
      <c r="J11"/>
      <c r="K11" s="184" t="s">
        <v>160</v>
      </c>
      <c r="L11" s="187"/>
      <c r="M11" s="187"/>
      <c r="N11" s="185"/>
      <c r="O11" s="185"/>
      <c r="P11" s="185"/>
      <c r="Q11" s="185"/>
      <c r="R11" s="185"/>
      <c r="S11" s="130" t="s">
        <v>161</v>
      </c>
      <c r="T11" s="127"/>
      <c r="U11" s="127" t="s">
        <v>160</v>
      </c>
      <c r="V11" s="129"/>
      <c r="W11" s="129"/>
      <c r="X11" s="126"/>
      <c r="Y11" s="126"/>
      <c r="Z11" s="126"/>
      <c r="AA11" s="126"/>
      <c r="AB11" s="470" t="s">
        <v>162</v>
      </c>
      <c r="AC11" s="125"/>
      <c r="AD11" s="469" t="s">
        <v>160</v>
      </c>
      <c r="AE11" s="456"/>
      <c r="AF11" s="456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241" t="s">
        <v>163</v>
      </c>
      <c r="BF11" s="238"/>
      <c r="BG11" s="239" t="s">
        <v>160</v>
      </c>
      <c r="BH11" s="240"/>
      <c r="BI11" s="240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465"/>
    </row>
    <row r="12" spans="1:101" ht="18" customHeight="1" thickTop="1" x14ac:dyDescent="0.2">
      <c r="B12" s="679">
        <v>1</v>
      </c>
      <c r="C12" s="682">
        <v>0</v>
      </c>
      <c r="D12" s="580">
        <v>0.21940000000000001</v>
      </c>
      <c r="E12" s="605"/>
      <c r="F12"/>
      <c r="G12"/>
      <c r="H12"/>
      <c r="I12"/>
      <c r="J12"/>
      <c r="K12" s="188">
        <f>n</f>
        <v>19</v>
      </c>
      <c r="L12" s="189">
        <f>K13</f>
        <v>85.5</v>
      </c>
      <c r="M12" s="187"/>
      <c r="N12" s="185"/>
      <c r="O12" s="185"/>
      <c r="P12" s="185"/>
      <c r="Q12" s="185"/>
      <c r="R12" s="185"/>
      <c r="S12" s="131">
        <f>C12^2</f>
        <v>0</v>
      </c>
      <c r="T12" s="129"/>
      <c r="U12" s="132">
        <f>n</f>
        <v>19</v>
      </c>
      <c r="V12" s="133">
        <f>L12</f>
        <v>85.5</v>
      </c>
      <c r="W12" s="134">
        <f>U14</f>
        <v>527.25</v>
      </c>
      <c r="X12" s="126"/>
      <c r="Y12" s="126"/>
      <c r="Z12" s="126"/>
      <c r="AA12" s="126"/>
      <c r="AB12" s="471">
        <f>C12^3</f>
        <v>0</v>
      </c>
      <c r="AC12" s="125"/>
      <c r="AD12" s="472">
        <f t="shared" ref="AD12:AF14" si="0">U12</f>
        <v>19</v>
      </c>
      <c r="AE12" s="473">
        <f t="shared" si="0"/>
        <v>85.5</v>
      </c>
      <c r="AF12" s="473">
        <f t="shared" si="0"/>
        <v>527.25</v>
      </c>
      <c r="AG12" s="474">
        <f>AD15</f>
        <v>3655.125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242">
        <f>C12^4</f>
        <v>0</v>
      </c>
      <c r="BF12" s="238"/>
      <c r="BG12" s="287">
        <f t="shared" ref="BG12:BH15" si="1">AD12</f>
        <v>19</v>
      </c>
      <c r="BH12" s="288">
        <f t="shared" si="1"/>
        <v>85.5</v>
      </c>
      <c r="BI12" s="288">
        <f t="shared" ref="BI12:BJ15" si="2">AF12</f>
        <v>527.25</v>
      </c>
      <c r="BJ12" s="288">
        <f t="shared" si="2"/>
        <v>3655.125</v>
      </c>
      <c r="BK12" s="260">
        <f>BH15</f>
        <v>27021.5625</v>
      </c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465"/>
    </row>
    <row r="13" spans="1:101" ht="18" customHeight="1" x14ac:dyDescent="0.3">
      <c r="B13" s="680">
        <v>2</v>
      </c>
      <c r="C13" s="610">
        <v>0.5</v>
      </c>
      <c r="D13" s="581">
        <v>0.71409999999999996</v>
      </c>
      <c r="E13" s="605"/>
      <c r="F13" s="83" t="s">
        <v>164</v>
      </c>
      <c r="G13" s="84"/>
      <c r="H13" s="85"/>
      <c r="I13"/>
      <c r="J13"/>
      <c r="K13" s="190">
        <f>SUM(X)</f>
        <v>85.5</v>
      </c>
      <c r="L13" s="191">
        <f>SUMPRODUCT(X,X)</f>
        <v>527.25</v>
      </c>
      <c r="M13" s="187"/>
      <c r="N13" s="185"/>
      <c r="O13" s="185"/>
      <c r="P13" s="185"/>
      <c r="Q13" s="185"/>
      <c r="R13" s="185"/>
      <c r="S13" s="135">
        <f>C13^2</f>
        <v>0.25</v>
      </c>
      <c r="T13" s="136"/>
      <c r="U13" s="137">
        <f>K13</f>
        <v>85.5</v>
      </c>
      <c r="V13" s="138">
        <f>L13</f>
        <v>527.25</v>
      </c>
      <c r="W13" s="140">
        <f>V14</f>
        <v>3655.125</v>
      </c>
      <c r="X13" s="126"/>
      <c r="Y13" s="126"/>
      <c r="Z13" s="126"/>
      <c r="AA13" s="126"/>
      <c r="AB13" s="475">
        <f>C13^3</f>
        <v>0.125</v>
      </c>
      <c r="AC13" s="125"/>
      <c r="AD13" s="476">
        <f t="shared" si="0"/>
        <v>85.5</v>
      </c>
      <c r="AE13" s="403">
        <f t="shared" si="0"/>
        <v>527.25</v>
      </c>
      <c r="AF13" s="403">
        <f t="shared" si="0"/>
        <v>3655.125</v>
      </c>
      <c r="AG13" s="477">
        <f>AE15</f>
        <v>27021.5625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243">
        <f>C13^4</f>
        <v>6.25E-2</v>
      </c>
      <c r="BF13" s="238"/>
      <c r="BG13" s="264">
        <f t="shared" si="1"/>
        <v>85.5</v>
      </c>
      <c r="BH13" s="244">
        <f t="shared" si="1"/>
        <v>527.25</v>
      </c>
      <c r="BI13" s="244">
        <f t="shared" si="2"/>
        <v>3655.125</v>
      </c>
      <c r="BJ13" s="244">
        <f t="shared" si="2"/>
        <v>27021.5625</v>
      </c>
      <c r="BK13" s="265">
        <f>BI15</f>
        <v>208037.53125</v>
      </c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465"/>
    </row>
    <row r="14" spans="1:101" ht="18" customHeight="1" thickBot="1" x14ac:dyDescent="0.25">
      <c r="B14" s="680">
        <v>3</v>
      </c>
      <c r="C14" s="610">
        <v>1</v>
      </c>
      <c r="D14" s="581">
        <v>1.2885</v>
      </c>
      <c r="E14" s="605"/>
      <c r="F14"/>
      <c r="G14"/>
      <c r="H14"/>
      <c r="I14"/>
      <c r="J14"/>
      <c r="K14" s="187"/>
      <c r="L14" s="187"/>
      <c r="M14" s="187"/>
      <c r="N14" s="185"/>
      <c r="O14" s="185"/>
      <c r="P14" s="185"/>
      <c r="Q14" s="185"/>
      <c r="R14" s="185"/>
      <c r="S14" s="135">
        <f>C14^2</f>
        <v>1</v>
      </c>
      <c r="T14" s="129"/>
      <c r="U14" s="141">
        <f>SUM(S12:S61)</f>
        <v>527.25</v>
      </c>
      <c r="V14" s="142">
        <f>SUMPRODUCT(X,S12:S61)</f>
        <v>3655.125</v>
      </c>
      <c r="W14" s="143">
        <f>SUMPRODUCT(S12:S61,S12:S61)</f>
        <v>27021.5625</v>
      </c>
      <c r="X14" s="126"/>
      <c r="Y14" s="126"/>
      <c r="Z14" s="126"/>
      <c r="AA14" s="126"/>
      <c r="AB14" s="475">
        <f>C14^3</f>
        <v>1</v>
      </c>
      <c r="AC14" s="125"/>
      <c r="AD14" s="476">
        <f t="shared" si="0"/>
        <v>527.25</v>
      </c>
      <c r="AE14" s="403">
        <f t="shared" si="0"/>
        <v>3655.125</v>
      </c>
      <c r="AF14" s="403">
        <f t="shared" si="0"/>
        <v>27021.5625</v>
      </c>
      <c r="AG14" s="477">
        <f>AF15</f>
        <v>208037.53125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243">
        <f>C14^4</f>
        <v>1</v>
      </c>
      <c r="BF14" s="238"/>
      <c r="BG14" s="264">
        <f t="shared" si="1"/>
        <v>527.25</v>
      </c>
      <c r="BH14" s="244">
        <f t="shared" si="1"/>
        <v>3655.125</v>
      </c>
      <c r="BI14" s="244">
        <f t="shared" si="2"/>
        <v>27021.5625</v>
      </c>
      <c r="BJ14" s="244">
        <f t="shared" si="2"/>
        <v>208037.53125</v>
      </c>
      <c r="BK14" s="265">
        <f>BJ15</f>
        <v>1647030.140625</v>
      </c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465"/>
    </row>
    <row r="15" spans="1:101" ht="18" customHeight="1" thickTop="1" thickBot="1" x14ac:dyDescent="0.35">
      <c r="B15" s="680">
        <f>IF(C15="","",+B14+1)</f>
        <v>4</v>
      </c>
      <c r="C15" s="610">
        <v>1.5</v>
      </c>
      <c r="D15" s="581">
        <v>1.9132</v>
      </c>
      <c r="E15" s="605"/>
      <c r="F15" s="87" t="s">
        <v>165</v>
      </c>
      <c r="G15" s="88"/>
      <c r="H15" s="89"/>
      <c r="I15"/>
      <c r="J15"/>
      <c r="K15" s="192" t="s">
        <v>166</v>
      </c>
      <c r="L15" s="187"/>
      <c r="M15" s="187"/>
      <c r="N15" s="185"/>
      <c r="O15" s="185"/>
      <c r="P15" s="185"/>
      <c r="Q15" s="185"/>
      <c r="R15" s="185"/>
      <c r="S15" s="144">
        <f t="shared" ref="S15:S61" si="3">IF(C15="","",+C15^2)</f>
        <v>2.25</v>
      </c>
      <c r="T15" s="136"/>
      <c r="U15" s="129"/>
      <c r="V15" s="129"/>
      <c r="W15" s="129"/>
      <c r="X15" s="126"/>
      <c r="Y15" s="126"/>
      <c r="Z15" s="126"/>
      <c r="AA15" s="126"/>
      <c r="AB15" s="478">
        <f t="shared" ref="AB15:AB61" si="4">IF(C15="","",+C15^3)</f>
        <v>3.375</v>
      </c>
      <c r="AC15" s="125"/>
      <c r="AD15" s="479">
        <f>SUM(xcubed)</f>
        <v>3655.125</v>
      </c>
      <c r="AE15" s="480">
        <f>SUMPRODUCT(X,xcubed)</f>
        <v>27021.5625</v>
      </c>
      <c r="AF15" s="480">
        <f>SUMPRODUCT(xsquared,xcubed)</f>
        <v>208037.53125</v>
      </c>
      <c r="AG15" s="481">
        <f>SUMPRODUCT(xcubed,xcubed)</f>
        <v>1647030.140625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245">
        <f t="shared" ref="BE15:BE61" si="5">IF(C15="","",C15^4)</f>
        <v>5.0625</v>
      </c>
      <c r="BF15" s="238"/>
      <c r="BG15" s="264">
        <f t="shared" si="1"/>
        <v>3655.125</v>
      </c>
      <c r="BH15" s="244">
        <f t="shared" si="1"/>
        <v>27021.5625</v>
      </c>
      <c r="BI15" s="244">
        <f t="shared" si="2"/>
        <v>208037.53125</v>
      </c>
      <c r="BJ15" s="244">
        <f t="shared" si="2"/>
        <v>1647030.140625</v>
      </c>
      <c r="BK15" s="265">
        <f>BJ16</f>
        <v>13307929.3828125</v>
      </c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465"/>
    </row>
    <row r="16" spans="1:101" ht="18" customHeight="1" thickTop="1" x14ac:dyDescent="0.2">
      <c r="B16" s="680">
        <f t="shared" ref="B16:B31" si="6">IF(C16="","",+B15+1)</f>
        <v>5</v>
      </c>
      <c r="C16" s="610">
        <v>2</v>
      </c>
      <c r="D16" s="581">
        <v>2.5910000000000002</v>
      </c>
      <c r="E16" s="605"/>
      <c r="F16"/>
      <c r="G16"/>
      <c r="H16"/>
      <c r="I16"/>
      <c r="J16"/>
      <c r="K16" s="193">
        <f>MDETERM(K12:L13)</f>
        <v>2707.4999999999991</v>
      </c>
      <c r="L16" s="187"/>
      <c r="M16" s="187"/>
      <c r="N16" s="185"/>
      <c r="O16" s="185"/>
      <c r="P16" s="185"/>
      <c r="Q16" s="185"/>
      <c r="R16" s="185"/>
      <c r="S16" s="135">
        <f t="shared" si="3"/>
        <v>4</v>
      </c>
      <c r="T16" s="129"/>
      <c r="U16" s="127" t="s">
        <v>166</v>
      </c>
      <c r="V16" s="129"/>
      <c r="W16" s="129"/>
      <c r="X16" s="126"/>
      <c r="Y16" s="126"/>
      <c r="Z16" s="126"/>
      <c r="AA16" s="126"/>
      <c r="AB16" s="475">
        <f t="shared" si="4"/>
        <v>8</v>
      </c>
      <c r="AC16" s="125"/>
      <c r="AD16" s="469" t="s">
        <v>166</v>
      </c>
      <c r="AE16" s="456"/>
      <c r="AF16" s="45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243">
        <f t="shared" si="5"/>
        <v>16</v>
      </c>
      <c r="BF16" s="238"/>
      <c r="BG16" s="273">
        <f>SUM(BE12:BE61)</f>
        <v>27021.5625</v>
      </c>
      <c r="BH16" s="274">
        <f>SUMPRODUCT(X,BE12:BE61)</f>
        <v>208037.53125</v>
      </c>
      <c r="BI16" s="274">
        <f>SUMPRODUCT(xsquared,BE12:BE61)</f>
        <v>1647030.140625</v>
      </c>
      <c r="BJ16" s="274">
        <f>SUMPRODUCT(xcubed,BE12:BE61)</f>
        <v>13307929.3828125</v>
      </c>
      <c r="BK16" s="275">
        <f>SUMPRODUCT(BE12:BE61,BE12:BE61)</f>
        <v>109207686.03515625</v>
      </c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465"/>
    </row>
    <row r="17" spans="2:101" ht="18" customHeight="1" x14ac:dyDescent="0.2">
      <c r="B17" s="680">
        <f t="shared" si="6"/>
        <v>6</v>
      </c>
      <c r="C17" s="610">
        <v>2.5</v>
      </c>
      <c r="D17" s="581">
        <v>3.2866</v>
      </c>
      <c r="E17" s="605"/>
      <c r="F17" t="s">
        <v>167</v>
      </c>
      <c r="G17"/>
      <c r="H17"/>
      <c r="I17"/>
      <c r="J17"/>
      <c r="K17" s="187"/>
      <c r="L17" s="187"/>
      <c r="M17" s="187"/>
      <c r="N17" s="185"/>
      <c r="O17" s="185"/>
      <c r="P17" s="185"/>
      <c r="Q17" s="185"/>
      <c r="R17" s="185"/>
      <c r="S17" s="135">
        <f t="shared" si="3"/>
        <v>6.25</v>
      </c>
      <c r="T17" s="129"/>
      <c r="U17" s="145">
        <f>MDETERM(U12:W14)</f>
        <v>2295621.5624999902</v>
      </c>
      <c r="V17" s="129"/>
      <c r="W17" s="129"/>
      <c r="X17" s="126"/>
      <c r="Y17" s="126"/>
      <c r="Z17" s="126"/>
      <c r="AA17" s="126"/>
      <c r="AB17" s="475">
        <f t="shared" si="4"/>
        <v>15.625</v>
      </c>
      <c r="AC17" s="125"/>
      <c r="AD17" s="482">
        <f>MDETERM(AD12:AG15)</f>
        <v>11011063605.6099</v>
      </c>
      <c r="AE17" s="456"/>
      <c r="AF17" s="45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243">
        <f t="shared" si="5"/>
        <v>39.0625</v>
      </c>
      <c r="BF17" s="238">
        <v>1</v>
      </c>
      <c r="BG17" s="239">
        <v>2</v>
      </c>
      <c r="BH17" s="239">
        <v>3</v>
      </c>
      <c r="BI17" s="239">
        <v>4</v>
      </c>
      <c r="BJ17" s="239">
        <v>5</v>
      </c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465"/>
    </row>
    <row r="18" spans="2:101" ht="18" customHeight="1" x14ac:dyDescent="0.2">
      <c r="B18" s="680">
        <f t="shared" si="6"/>
        <v>7</v>
      </c>
      <c r="C18" s="610">
        <v>3</v>
      </c>
      <c r="D18" s="581">
        <v>4.1078000000000001</v>
      </c>
      <c r="E18" s="605"/>
      <c r="F18"/>
      <c r="G18"/>
      <c r="H18"/>
      <c r="I18"/>
      <c r="J18"/>
      <c r="K18" s="184" t="s">
        <v>168</v>
      </c>
      <c r="L18" s="187"/>
      <c r="M18" s="187"/>
      <c r="N18" s="185"/>
      <c r="O18" s="185"/>
      <c r="P18" s="185"/>
      <c r="Q18" s="185"/>
      <c r="R18" s="185"/>
      <c r="S18" s="135">
        <f t="shared" si="3"/>
        <v>9</v>
      </c>
      <c r="T18" s="129"/>
      <c r="U18" s="129"/>
      <c r="V18" s="129"/>
      <c r="W18" s="129"/>
      <c r="X18" s="126"/>
      <c r="Y18" s="126"/>
      <c r="Z18" s="126"/>
      <c r="AA18" s="126"/>
      <c r="AB18" s="475">
        <f t="shared" si="4"/>
        <v>27</v>
      </c>
      <c r="AC18" s="125"/>
      <c r="AD18" s="456"/>
      <c r="AE18" s="125"/>
      <c r="AF18" s="45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243">
        <f t="shared" si="5"/>
        <v>81</v>
      </c>
      <c r="BF18" s="238">
        <v>2</v>
      </c>
      <c r="BG18" s="239" t="s">
        <v>168</v>
      </c>
      <c r="BH18" s="240"/>
      <c r="BI18" s="240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465"/>
    </row>
    <row r="19" spans="2:101" ht="18" customHeight="1" x14ac:dyDescent="0.2">
      <c r="B19" s="680">
        <f t="shared" si="6"/>
        <v>8</v>
      </c>
      <c r="C19" s="610">
        <v>3.5</v>
      </c>
      <c r="D19" s="581">
        <v>4.9446000000000003</v>
      </c>
      <c r="E19" s="605"/>
      <c r="F19"/>
      <c r="G19"/>
      <c r="H19"/>
      <c r="I19"/>
      <c r="J19"/>
      <c r="K19" s="188">
        <f>L13/K16</f>
        <v>0.19473684210526324</v>
      </c>
      <c r="L19" s="189">
        <f>K20</f>
        <v>-3.1578947368421061E-2</v>
      </c>
      <c r="M19" s="187"/>
      <c r="N19" s="185"/>
      <c r="O19" s="185"/>
      <c r="P19" s="185"/>
      <c r="Q19" s="185"/>
      <c r="R19" s="185"/>
      <c r="S19" s="135">
        <f t="shared" si="3"/>
        <v>12.25</v>
      </c>
      <c r="T19" s="129"/>
      <c r="U19" s="127" t="s">
        <v>168</v>
      </c>
      <c r="V19" s="129"/>
      <c r="W19" s="129"/>
      <c r="X19" s="126"/>
      <c r="Y19" s="126"/>
      <c r="Z19" s="126"/>
      <c r="AA19" s="126"/>
      <c r="AB19" s="475">
        <f t="shared" si="4"/>
        <v>42.875</v>
      </c>
      <c r="AC19" s="125"/>
      <c r="AD19" s="469" t="s">
        <v>168</v>
      </c>
      <c r="AE19" s="456"/>
      <c r="AF19" s="45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243">
        <f t="shared" si="5"/>
        <v>150.0625</v>
      </c>
      <c r="BF19" s="238">
        <v>3</v>
      </c>
      <c r="BG19" s="464">
        <f t="shared" ref="BG19:BK23" si="7">INDEX(MINVERSE($BG$12:$BK$16),$BF17,BF$17)</f>
        <v>0.74537133347188533</v>
      </c>
      <c r="BH19" s="288">
        <f t="shared" si="7"/>
        <v>-0.9493100339778906</v>
      </c>
      <c r="BI19" s="288">
        <f t="shared" si="7"/>
        <v>0.3567713750778384</v>
      </c>
      <c r="BJ19" s="288">
        <f t="shared" si="7"/>
        <v>-5.1314055890685085E-2</v>
      </c>
      <c r="BK19" s="260">
        <f t="shared" si="7"/>
        <v>2.4963594757628628E-3</v>
      </c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465"/>
    </row>
    <row r="20" spans="2:101" ht="18" customHeight="1" x14ac:dyDescent="0.2">
      <c r="B20" s="680">
        <f t="shared" si="6"/>
        <v>9</v>
      </c>
      <c r="C20" s="610">
        <v>4</v>
      </c>
      <c r="D20" s="581">
        <v>5.8144999999999998</v>
      </c>
      <c r="E20" s="605"/>
      <c r="F20"/>
      <c r="G20"/>
      <c r="H20"/>
      <c r="I20"/>
      <c r="J20"/>
      <c r="K20" s="190">
        <f>-L12/K16</f>
        <v>-3.1578947368421061E-2</v>
      </c>
      <c r="L20" s="191">
        <f>K12/K16</f>
        <v>7.0175438596491255E-3</v>
      </c>
      <c r="M20" s="187"/>
      <c r="N20" s="185"/>
      <c r="O20" s="185"/>
      <c r="P20" s="185"/>
      <c r="Q20" s="185"/>
      <c r="R20" s="185"/>
      <c r="S20" s="135">
        <f t="shared" si="3"/>
        <v>16</v>
      </c>
      <c r="T20" s="129"/>
      <c r="U20" s="132">
        <f>(W14*V13-V14*W13)/U17</f>
        <v>0.38646616541353546</v>
      </c>
      <c r="V20" s="133">
        <f>U21</f>
        <v>-0.16691729323308341</v>
      </c>
      <c r="W20" s="134">
        <f>U22</f>
        <v>1.5037593984962469E-2</v>
      </c>
      <c r="X20" s="126"/>
      <c r="Y20" s="126"/>
      <c r="Z20" s="126"/>
      <c r="AA20" s="126"/>
      <c r="AB20" s="475">
        <f t="shared" si="4"/>
        <v>64</v>
      </c>
      <c r="AC20" s="125"/>
      <c r="AD20" s="483">
        <f>INDEX(MINVERSE($AD$12:$AG$15),1,1)</f>
        <v>0.58168147641829382</v>
      </c>
      <c r="AE20" s="473">
        <f>INDEX(MINVERSE($AD$12:$AG$15),1,2)</f>
        <v>-0.46867167919796343</v>
      </c>
      <c r="AF20" s="473">
        <f>INDEX(MINVERSE($AD$12:$AG$15),1,3)</f>
        <v>0.10116199589882956</v>
      </c>
      <c r="AG20" s="474">
        <f>INDEX(MINVERSE($AD$12:$AG$15),1,4)</f>
        <v>-6.3795853269531713E-3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243">
        <f t="shared" si="5"/>
        <v>256</v>
      </c>
      <c r="BF20" s="238">
        <v>4</v>
      </c>
      <c r="BG20" s="264">
        <f t="shared" si="7"/>
        <v>-0.94931003397774971</v>
      </c>
      <c r="BH20" s="244">
        <f t="shared" si="7"/>
        <v>1.9802739786237895</v>
      </c>
      <c r="BI20" s="244">
        <f t="shared" si="7"/>
        <v>-0.89428101175918173</v>
      </c>
      <c r="BJ20" s="244">
        <f t="shared" si="7"/>
        <v>0.14180119497109753</v>
      </c>
      <c r="BK20" s="265">
        <f t="shared" si="7"/>
        <v>-7.3299966959890165E-3</v>
      </c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465"/>
    </row>
    <row r="21" spans="2:101" ht="18" customHeight="1" x14ac:dyDescent="0.2">
      <c r="B21" s="680">
        <f t="shared" si="6"/>
        <v>10</v>
      </c>
      <c r="C21" s="610">
        <v>4.5</v>
      </c>
      <c r="D21" s="581">
        <v>6.7229999999999999</v>
      </c>
      <c r="E21" s="605"/>
      <c r="F21"/>
      <c r="G21"/>
      <c r="H21"/>
      <c r="I21"/>
      <c r="J21"/>
      <c r="K21" s="187"/>
      <c r="L21" s="187"/>
      <c r="M21" s="187"/>
      <c r="N21" s="185"/>
      <c r="O21" s="185"/>
      <c r="P21" s="185"/>
      <c r="Q21" s="185"/>
      <c r="R21" s="185"/>
      <c r="S21" s="135">
        <f t="shared" si="3"/>
        <v>20.25</v>
      </c>
      <c r="T21" s="129"/>
      <c r="U21" s="137">
        <f>(V14*W12-V12*W14)/U17</f>
        <v>-0.16691729323308341</v>
      </c>
      <c r="V21" s="138">
        <f>(U12*W14-U14*W12)/U17</f>
        <v>0.10255049388176367</v>
      </c>
      <c r="W21" s="140">
        <f>V22</f>
        <v>-1.0614772224679391E-2</v>
      </c>
      <c r="X21" s="126"/>
      <c r="Y21" s="126"/>
      <c r="Z21" s="126"/>
      <c r="AA21" s="126"/>
      <c r="AB21" s="475">
        <f t="shared" si="4"/>
        <v>91.125</v>
      </c>
      <c r="AC21" s="125"/>
      <c r="AD21" s="476">
        <f>INDEX(MINVERSE($AD$12:$AG$15),2,1)</f>
        <v>-0.46867167919797126</v>
      </c>
      <c r="AE21" s="403">
        <f>INDEX(MINVERSE($AD$12:$AG$15),2,2)</f>
        <v>0.56898782904971779</v>
      </c>
      <c r="AF21" s="403">
        <f>INDEX(MINVERSE($AD$12:$AG$15),2,3)</f>
        <v>-0.14374170720919138</v>
      </c>
      <c r="AG21" s="477">
        <f>INDEX(MINVERSE($AD$12:$AG$15),2,4)</f>
        <v>9.8612544432972165E-3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243">
        <f t="shared" si="5"/>
        <v>410.0625</v>
      </c>
      <c r="BF21" s="238">
        <v>5</v>
      </c>
      <c r="BG21" s="264">
        <f t="shared" si="7"/>
        <v>0.3567713750777402</v>
      </c>
      <c r="BH21" s="244">
        <f t="shared" si="7"/>
        <v>-0.89428101175910457</v>
      </c>
      <c r="BI21" s="244">
        <f t="shared" si="7"/>
        <v>0.43832149738023463</v>
      </c>
      <c r="BJ21" s="244">
        <f t="shared" si="7"/>
        <v>-7.2981803497290415E-2</v>
      </c>
      <c r="BK21" s="265">
        <f t="shared" si="7"/>
        <v>3.8981822532738915E-3</v>
      </c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465"/>
    </row>
    <row r="22" spans="2:101" ht="18" customHeight="1" x14ac:dyDescent="0.2">
      <c r="B22" s="680">
        <f t="shared" si="6"/>
        <v>11</v>
      </c>
      <c r="C22" s="610">
        <v>5</v>
      </c>
      <c r="D22" s="581">
        <v>7.7283999999999997</v>
      </c>
      <c r="E22" s="605"/>
      <c r="F22"/>
      <c r="G22"/>
      <c r="H22"/>
      <c r="I22"/>
      <c r="J22"/>
      <c r="K22" s="194" t="s">
        <v>169</v>
      </c>
      <c r="L22" s="187"/>
      <c r="M22" s="187"/>
      <c r="N22" s="185"/>
      <c r="O22" s="185"/>
      <c r="P22" s="185"/>
      <c r="Q22" s="185"/>
      <c r="R22" s="185"/>
      <c r="S22" s="135">
        <f t="shared" si="3"/>
        <v>25</v>
      </c>
      <c r="T22" s="129"/>
      <c r="U22" s="141">
        <f>(V12*W13-V13*W12)/U17</f>
        <v>1.5037593984962469E-2</v>
      </c>
      <c r="V22" s="142">
        <f>(U13*W12-U12*W13)/U17</f>
        <v>-1.0614772224679391E-2</v>
      </c>
      <c r="W22" s="143">
        <f>(U12*V13-U13*V12)/U17</f>
        <v>1.1794191360754878E-3</v>
      </c>
      <c r="X22" s="126"/>
      <c r="Y22" s="126"/>
      <c r="Z22" s="126"/>
      <c r="AA22" s="126"/>
      <c r="AB22" s="475">
        <f t="shared" si="4"/>
        <v>125</v>
      </c>
      <c r="AC22" s="125"/>
      <c r="AD22" s="476">
        <f>INDEX(MINVERSE($AD$12:$AG$15),3,1)</f>
        <v>0.10116199589883261</v>
      </c>
      <c r="AE22" s="403">
        <f>INDEX(MINVERSE($AD$12:$AG$15),3,2)</f>
        <v>-0.14374170720919252</v>
      </c>
      <c r="AF22" s="403">
        <f>INDEX(MINVERSE($AD$12:$AG$15),3,3)</f>
        <v>3.9175478803959961E-2</v>
      </c>
      <c r="AG22" s="477">
        <f>INDEX(MINVERSE($AD$12:$AG$15),3,4)</f>
        <v>-2.8145229383618195E-3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243">
        <f t="shared" si="5"/>
        <v>625</v>
      </c>
      <c r="BF22" s="238"/>
      <c r="BG22" s="264">
        <f t="shared" si="7"/>
        <v>-5.1314055890665726E-2</v>
      </c>
      <c r="BH22" s="244">
        <f t="shared" si="7"/>
        <v>0.14180119497107649</v>
      </c>
      <c r="BI22" s="244">
        <f t="shared" si="7"/>
        <v>-7.2981803497286446E-2</v>
      </c>
      <c r="BJ22" s="244">
        <f t="shared" si="7"/>
        <v>1.2543435884386105E-2</v>
      </c>
      <c r="BK22" s="265">
        <f t="shared" si="7"/>
        <v>-6.8527515020927747E-4</v>
      </c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465"/>
    </row>
    <row r="23" spans="2:101" ht="18" customHeight="1" x14ac:dyDescent="0.2">
      <c r="B23" s="680">
        <f t="shared" si="6"/>
        <v>12</v>
      </c>
      <c r="C23" s="610">
        <v>5.5</v>
      </c>
      <c r="D23" s="581">
        <v>8.7566000000000006</v>
      </c>
      <c r="E23" s="605"/>
      <c r="F23"/>
      <c r="G23"/>
      <c r="H23"/>
      <c r="I23"/>
      <c r="J23"/>
      <c r="K23" s="195">
        <f>SUM(Y)</f>
        <v>142.01609999999999</v>
      </c>
      <c r="L23" s="187"/>
      <c r="M23" s="187"/>
      <c r="N23" s="185"/>
      <c r="O23" s="185"/>
      <c r="P23" s="185"/>
      <c r="Q23" s="185"/>
      <c r="R23" s="185"/>
      <c r="S23" s="135">
        <f t="shared" si="3"/>
        <v>30.25</v>
      </c>
      <c r="T23" s="129"/>
      <c r="U23" s="129"/>
      <c r="V23" s="129"/>
      <c r="W23" s="129"/>
      <c r="X23" s="126"/>
      <c r="Y23" s="126"/>
      <c r="Z23" s="126"/>
      <c r="AA23" s="126"/>
      <c r="AB23" s="475">
        <f t="shared" si="4"/>
        <v>166.375</v>
      </c>
      <c r="AC23" s="125"/>
      <c r="AD23" s="479">
        <f>INDEX(MINVERSE($AD$12:$AG$15),4,1)</f>
        <v>-6.3795853269534002E-3</v>
      </c>
      <c r="AE23" s="480">
        <f>INDEX(MINVERSE($AD$12:$AG$15),4,2)</f>
        <v>9.8612544432973431E-3</v>
      </c>
      <c r="AF23" s="480">
        <f>INDEX(MINVERSE($AD$12:$AG$15),4,3)</f>
        <v>-2.8145229383618321E-3</v>
      </c>
      <c r="AG23" s="481">
        <f>INDEX(MINVERSE($AD$12:$AG$15),4,4)</f>
        <v>2.0848318061939539E-4</v>
      </c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243">
        <f t="shared" si="5"/>
        <v>915.0625</v>
      </c>
      <c r="BF23" s="238"/>
      <c r="BG23" s="273">
        <f t="shared" si="7"/>
        <v>2.496359475761727E-3</v>
      </c>
      <c r="BH23" s="274">
        <f t="shared" si="7"/>
        <v>-7.3299966959875897E-3</v>
      </c>
      <c r="BI23" s="274">
        <f t="shared" si="7"/>
        <v>3.8981822532735294E-3</v>
      </c>
      <c r="BJ23" s="274">
        <f t="shared" si="7"/>
        <v>-6.8527515020925243E-4</v>
      </c>
      <c r="BK23" s="275">
        <f t="shared" si="7"/>
        <v>3.8070841678292743E-5</v>
      </c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465"/>
    </row>
    <row r="24" spans="2:101" ht="18" customHeight="1" x14ac:dyDescent="0.2">
      <c r="B24" s="680">
        <f t="shared" si="6"/>
        <v>13</v>
      </c>
      <c r="C24" s="610">
        <v>6</v>
      </c>
      <c r="D24" s="581">
        <v>9.8012999999999995</v>
      </c>
      <c r="E24" s="605"/>
      <c r="F24"/>
      <c r="G24"/>
      <c r="H24"/>
      <c r="I24"/>
      <c r="J24"/>
      <c r="K24" s="196">
        <f>SUMPRODUCT(X,Y)</f>
        <v>909.89475000000004</v>
      </c>
      <c r="L24" s="187"/>
      <c r="M24" s="187"/>
      <c r="N24" s="185"/>
      <c r="O24" s="185"/>
      <c r="P24" s="185"/>
      <c r="Q24" s="185"/>
      <c r="R24" s="185"/>
      <c r="S24" s="135">
        <f t="shared" si="3"/>
        <v>36</v>
      </c>
      <c r="T24" s="129"/>
      <c r="U24" s="127" t="s">
        <v>169</v>
      </c>
      <c r="V24" s="129"/>
      <c r="W24" s="129"/>
      <c r="X24" s="126"/>
      <c r="Y24" s="126"/>
      <c r="Z24" s="126"/>
      <c r="AA24" s="126"/>
      <c r="AB24" s="475">
        <f t="shared" si="4"/>
        <v>216</v>
      </c>
      <c r="AC24" s="125"/>
      <c r="AD24" s="469" t="s">
        <v>169</v>
      </c>
      <c r="AE24" s="456"/>
      <c r="AF24" s="45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243">
        <f t="shared" si="5"/>
        <v>1296</v>
      </c>
      <c r="BF24" s="238"/>
      <c r="BG24" s="240"/>
      <c r="BH24" s="240"/>
      <c r="BI24" s="240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465"/>
    </row>
    <row r="25" spans="2:101" ht="18" customHeight="1" x14ac:dyDescent="0.2">
      <c r="B25" s="680">
        <f t="shared" si="6"/>
        <v>14</v>
      </c>
      <c r="C25" s="610">
        <v>6.5</v>
      </c>
      <c r="D25" s="581">
        <v>10.8818</v>
      </c>
      <c r="E25" s="605"/>
      <c r="F25"/>
      <c r="G25"/>
      <c r="H25"/>
      <c r="I25"/>
      <c r="J25"/>
      <c r="K25" s="187"/>
      <c r="L25" s="187"/>
      <c r="M25" s="187"/>
      <c r="N25" s="185"/>
      <c r="O25" s="185"/>
      <c r="P25" s="185"/>
      <c r="Q25" s="185"/>
      <c r="R25" s="185"/>
      <c r="S25" s="135">
        <f t="shared" si="3"/>
        <v>42.25</v>
      </c>
      <c r="T25" s="129"/>
      <c r="U25" s="131">
        <f>K23</f>
        <v>142.01609999999999</v>
      </c>
      <c r="V25" s="129"/>
      <c r="W25" s="129"/>
      <c r="X25" s="126"/>
      <c r="Y25" s="126"/>
      <c r="Z25" s="126"/>
      <c r="AA25" s="126"/>
      <c r="AB25" s="475">
        <f t="shared" si="4"/>
        <v>274.625</v>
      </c>
      <c r="AC25" s="125"/>
      <c r="AD25" s="471">
        <f>U25</f>
        <v>142.01609999999999</v>
      </c>
      <c r="AE25" s="456"/>
      <c r="AF25" s="45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243">
        <f t="shared" si="5"/>
        <v>1785.0625</v>
      </c>
      <c r="BF25" s="238"/>
      <c r="BG25" s="239" t="s">
        <v>169</v>
      </c>
      <c r="BH25" s="240"/>
      <c r="BI25" s="239" t="s">
        <v>170</v>
      </c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465"/>
    </row>
    <row r="26" spans="2:101" ht="18" customHeight="1" x14ac:dyDescent="0.2">
      <c r="B26" s="680">
        <f t="shared" si="6"/>
        <v>15</v>
      </c>
      <c r="C26" s="610">
        <v>7</v>
      </c>
      <c r="D26" s="581">
        <v>12.0982</v>
      </c>
      <c r="E26" s="605"/>
      <c r="F26"/>
      <c r="G26"/>
      <c r="H26"/>
      <c r="I26"/>
      <c r="J26"/>
      <c r="K26" s="184" t="s">
        <v>170</v>
      </c>
      <c r="L26" s="187"/>
      <c r="M26" s="184" t="s">
        <v>171</v>
      </c>
      <c r="N26" s="185"/>
      <c r="O26" s="185"/>
      <c r="P26" s="185"/>
      <c r="Q26" s="185"/>
      <c r="R26" s="185"/>
      <c r="S26" s="135">
        <f t="shared" si="3"/>
        <v>49</v>
      </c>
      <c r="T26" s="129"/>
      <c r="U26" s="135">
        <f>K24</f>
        <v>909.89475000000004</v>
      </c>
      <c r="V26" s="129"/>
      <c r="W26" s="129"/>
      <c r="X26" s="126"/>
      <c r="Y26" s="126"/>
      <c r="Z26" s="126"/>
      <c r="AA26" s="126"/>
      <c r="AB26" s="475">
        <f t="shared" si="4"/>
        <v>343</v>
      </c>
      <c r="AC26" s="125"/>
      <c r="AD26" s="475">
        <f>U26</f>
        <v>909.89475000000004</v>
      </c>
      <c r="AE26" s="456"/>
      <c r="AF26" s="45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243">
        <f t="shared" si="5"/>
        <v>2401</v>
      </c>
      <c r="BF26" s="238"/>
      <c r="BG26" s="242">
        <f>AD25</f>
        <v>142.01609999999999</v>
      </c>
      <c r="BH26" s="240"/>
      <c r="BI26" s="242">
        <f>SUMPRODUCT($BG$26:$BG$30,BG19:BG23)</f>
        <v>0.22056434366470512</v>
      </c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465"/>
    </row>
    <row r="27" spans="2:101" ht="18" customHeight="1" x14ac:dyDescent="0.3">
      <c r="B27" s="680">
        <f t="shared" si="6"/>
        <v>16</v>
      </c>
      <c r="C27" s="610">
        <v>7.5</v>
      </c>
      <c r="D27" s="581">
        <v>13.312200000000001</v>
      </c>
      <c r="E27" s="605"/>
      <c r="F27"/>
      <c r="G27"/>
      <c r="H27"/>
      <c r="I27"/>
      <c r="J27"/>
      <c r="K27" s="195">
        <f>SUMPRODUCT(K19:K20,$K$23:$K$24)</f>
        <v>-1.0777515789473675</v>
      </c>
      <c r="L27" s="197"/>
      <c r="M27" s="198">
        <f>K27</f>
        <v>-1.0777515789473675</v>
      </c>
      <c r="N27" s="199">
        <f>K28</f>
        <v>1.9005073684210547</v>
      </c>
      <c r="O27" s="185"/>
      <c r="P27" s="185"/>
      <c r="Q27" s="185"/>
      <c r="R27" s="185"/>
      <c r="S27" s="135">
        <f t="shared" si="3"/>
        <v>56.25</v>
      </c>
      <c r="T27" s="129"/>
      <c r="U27" s="146">
        <f>SUMPRODUCT(Y,S12:S61)</f>
        <v>6463.0799750000006</v>
      </c>
      <c r="V27" s="129"/>
      <c r="W27" s="129"/>
      <c r="X27" s="126"/>
      <c r="Y27" s="126"/>
      <c r="Z27" s="126"/>
      <c r="AA27" s="126"/>
      <c r="AB27" s="475">
        <f t="shared" si="4"/>
        <v>421.875</v>
      </c>
      <c r="AC27" s="125"/>
      <c r="AD27" s="475">
        <f>U27</f>
        <v>6463.0799750000006</v>
      </c>
      <c r="AE27" s="456"/>
      <c r="AF27" s="45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243">
        <f t="shared" si="5"/>
        <v>3164.0625</v>
      </c>
      <c r="BF27" s="238"/>
      <c r="BG27" s="243">
        <f>AD26</f>
        <v>909.89475000000004</v>
      </c>
      <c r="BH27" s="240"/>
      <c r="BI27" s="243">
        <f>SUMPRODUCT($BG$26:$BG$30,BH19:BH23)</f>
        <v>0.92846211461801431</v>
      </c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465"/>
    </row>
    <row r="28" spans="2:101" ht="18" customHeight="1" x14ac:dyDescent="0.2">
      <c r="B28" s="680">
        <f t="shared" si="6"/>
        <v>17</v>
      </c>
      <c r="C28" s="610">
        <v>8</v>
      </c>
      <c r="D28" s="581">
        <v>14.584</v>
      </c>
      <c r="E28" s="605"/>
      <c r="F28"/>
      <c r="G28"/>
      <c r="H28"/>
      <c r="I28"/>
      <c r="J28"/>
      <c r="K28" s="196">
        <f>SUMPRODUCT(L19:L20,$K$23:$K$24)</f>
        <v>1.9005073684210547</v>
      </c>
      <c r="L28" s="187"/>
      <c r="M28" s="187"/>
      <c r="N28" s="185"/>
      <c r="O28" s="185"/>
      <c r="P28" s="185"/>
      <c r="Q28" s="185"/>
      <c r="R28" s="185"/>
      <c r="S28" s="135">
        <f t="shared" si="3"/>
        <v>64</v>
      </c>
      <c r="T28" s="129"/>
      <c r="U28" s="129"/>
      <c r="V28" s="129"/>
      <c r="W28" s="129"/>
      <c r="X28" s="126"/>
      <c r="Y28" s="126"/>
      <c r="Z28" s="126"/>
      <c r="AA28" s="126"/>
      <c r="AB28" s="475">
        <f t="shared" si="4"/>
        <v>512</v>
      </c>
      <c r="AC28" s="125"/>
      <c r="AD28" s="484">
        <f>SUMPRODUCT(Y,xcubed)</f>
        <v>48559.446637500005</v>
      </c>
      <c r="AE28" s="456"/>
      <c r="AF28" s="45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243">
        <f t="shared" si="5"/>
        <v>4096</v>
      </c>
      <c r="BF28" s="238"/>
      <c r="BG28" s="243">
        <f>AD27</f>
        <v>6463.0799750000006</v>
      </c>
      <c r="BH28" s="240"/>
      <c r="BI28" s="243">
        <f>SUMPRODUCT($BG$26:$BG$30,BI19:BI23)</f>
        <v>0.1390363803600394</v>
      </c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465"/>
    </row>
    <row r="29" spans="2:101" ht="18" customHeight="1" x14ac:dyDescent="0.2">
      <c r="B29" s="680">
        <f t="shared" si="6"/>
        <v>18</v>
      </c>
      <c r="C29" s="610">
        <v>8.5</v>
      </c>
      <c r="D29" s="581">
        <v>15.9238</v>
      </c>
      <c r="E29" s="605"/>
      <c r="F29"/>
      <c r="G29"/>
      <c r="H29"/>
      <c r="I29"/>
      <c r="J29"/>
      <c r="K29" s="187"/>
      <c r="L29" s="187"/>
      <c r="M29" s="187"/>
      <c r="N29" s="185"/>
      <c r="O29" s="185"/>
      <c r="P29" s="185"/>
      <c r="Q29" s="185"/>
      <c r="R29" s="185"/>
      <c r="S29" s="135">
        <f t="shared" si="3"/>
        <v>72.25</v>
      </c>
      <c r="T29" s="129"/>
      <c r="U29" s="127" t="s">
        <v>170</v>
      </c>
      <c r="V29" s="129"/>
      <c r="W29" s="127" t="s">
        <v>171</v>
      </c>
      <c r="X29" s="126"/>
      <c r="Y29" s="126"/>
      <c r="Z29" s="126"/>
      <c r="AA29" s="126"/>
      <c r="AB29" s="475">
        <f t="shared" si="4"/>
        <v>614.125</v>
      </c>
      <c r="AC29" s="125"/>
      <c r="AD29" s="469" t="s">
        <v>170</v>
      </c>
      <c r="AE29" s="456"/>
      <c r="AF29" s="45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243">
        <f t="shared" si="5"/>
        <v>5220.0625</v>
      </c>
      <c r="BF29" s="238"/>
      <c r="BG29" s="243">
        <f>AD28</f>
        <v>48559.446637500005</v>
      </c>
      <c r="BH29" s="240"/>
      <c r="BI29" s="243">
        <f>SUMPRODUCT($BG$26:$BG$30,BJ19:BJ23)</f>
        <v>-6.9298561057280494E-3</v>
      </c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465"/>
    </row>
    <row r="30" spans="2:101" ht="18" customHeight="1" x14ac:dyDescent="0.3">
      <c r="B30" s="680">
        <f t="shared" si="6"/>
        <v>19</v>
      </c>
      <c r="C30" s="610">
        <v>9</v>
      </c>
      <c r="D30" s="581">
        <v>17.327100000000002</v>
      </c>
      <c r="E30" s="605"/>
      <c r="F30"/>
      <c r="G30"/>
      <c r="H30"/>
      <c r="I30"/>
      <c r="J30"/>
      <c r="K30" s="194" t="s">
        <v>172</v>
      </c>
      <c r="L30" s="187"/>
      <c r="M30" s="187"/>
      <c r="N30" s="185"/>
      <c r="O30" s="185"/>
      <c r="P30" s="185"/>
      <c r="Q30" s="185"/>
      <c r="R30" s="185"/>
      <c r="S30" s="135">
        <f t="shared" si="3"/>
        <v>81</v>
      </c>
      <c r="T30" s="129"/>
      <c r="U30" s="131">
        <f>SUMPRODUCT($U$25:$U$27,U20:U22)</f>
        <v>0.19642135338347089</v>
      </c>
      <c r="V30" s="136"/>
      <c r="W30" s="178">
        <f>U30</f>
        <v>0.19642135338347089</v>
      </c>
      <c r="X30" s="147">
        <f>U31</f>
        <v>1.0010911808934111</v>
      </c>
      <c r="Y30" s="148">
        <f>U32</f>
        <v>9.9935131947515465E-2</v>
      </c>
      <c r="Z30" s="126"/>
      <c r="AA30" s="126"/>
      <c r="AB30" s="475">
        <f t="shared" si="4"/>
        <v>729</v>
      </c>
      <c r="AC30" s="125"/>
      <c r="AD30" s="471">
        <f>SUMPRODUCT($AD$25:$AD$28,AD20:AD23)</f>
        <v>0.19517101845531215</v>
      </c>
      <c r="AE30" s="48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243">
        <f t="shared" si="5"/>
        <v>6561</v>
      </c>
      <c r="BF30" s="238"/>
      <c r="BG30" s="247">
        <f>SUMPRODUCT(Y,BE12:BE61)</f>
        <v>378182.02409374999</v>
      </c>
      <c r="BH30" s="240"/>
      <c r="BI30" s="247">
        <f>SUMPRODUCT($BG$26:$BG$30,BK19:BK23)</f>
        <v>3.8726204024008837E-4</v>
      </c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465"/>
    </row>
    <row r="31" spans="2:101" ht="18" customHeight="1" x14ac:dyDescent="0.2">
      <c r="B31" s="680" t="str">
        <f t="shared" si="6"/>
        <v/>
      </c>
      <c r="C31" s="610"/>
      <c r="D31" s="581"/>
      <c r="E31" s="605"/>
      <c r="F31"/>
      <c r="G31"/>
      <c r="H31"/>
      <c r="I31"/>
      <c r="J31"/>
      <c r="K31" s="193">
        <f>SUMPRODUCT(Y,Y)</f>
        <v>1584.6791234500001</v>
      </c>
      <c r="L31" s="187"/>
      <c r="M31" s="187"/>
      <c r="N31" s="185"/>
      <c r="O31" s="185"/>
      <c r="P31" s="185"/>
      <c r="Q31" s="185"/>
      <c r="R31" s="185"/>
      <c r="S31" s="135" t="str">
        <f t="shared" si="3"/>
        <v/>
      </c>
      <c r="T31" s="129"/>
      <c r="U31" s="135">
        <f>SUMPRODUCT($U$25:$U$27,V20:V22)</f>
        <v>1.0010911808934111</v>
      </c>
      <c r="V31" s="129"/>
      <c r="W31" s="129"/>
      <c r="X31" s="126"/>
      <c r="Y31" s="126"/>
      <c r="Z31" s="126"/>
      <c r="AA31" s="126"/>
      <c r="AB31" s="475" t="str">
        <f t="shared" si="4"/>
        <v/>
      </c>
      <c r="AC31" s="125"/>
      <c r="AD31" s="475">
        <f>SUMPRODUCT($AD$25:$AD$28,AE20:AE23)</f>
        <v>1.0030238881515743</v>
      </c>
      <c r="AE31" s="486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243" t="str">
        <f t="shared" si="5"/>
        <v/>
      </c>
      <c r="BF31" s="238"/>
      <c r="BG31" s="249"/>
      <c r="BH31" s="249"/>
      <c r="BI31" s="240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465"/>
    </row>
    <row r="32" spans="2:101" ht="18" customHeight="1" x14ac:dyDescent="0.2">
      <c r="B32" s="680" t="str">
        <f t="shared" ref="B32:B47" si="8">IF(C32="","",+B31+1)</f>
        <v/>
      </c>
      <c r="C32" s="610"/>
      <c r="D32" s="581"/>
      <c r="E32" s="605"/>
      <c r="F32"/>
      <c r="G32"/>
      <c r="H32"/>
      <c r="I32"/>
      <c r="J32"/>
      <c r="K32" s="187"/>
      <c r="L32" s="187"/>
      <c r="M32" s="187"/>
      <c r="N32" s="185"/>
      <c r="O32" s="185"/>
      <c r="P32" s="185"/>
      <c r="Q32" s="185"/>
      <c r="R32" s="185"/>
      <c r="S32" s="135" t="str">
        <f t="shared" si="3"/>
        <v/>
      </c>
      <c r="T32" s="129"/>
      <c r="U32" s="146">
        <f>SUMPRODUCT($U$25:$U$27,W20:W22)</f>
        <v>9.9935131947515465E-2</v>
      </c>
      <c r="V32" s="129"/>
      <c r="W32" s="129"/>
      <c r="X32" s="126"/>
      <c r="Y32" s="126"/>
      <c r="Z32" s="126"/>
      <c r="AA32" s="126"/>
      <c r="AB32" s="475" t="str">
        <f t="shared" si="4"/>
        <v/>
      </c>
      <c r="AC32" s="125"/>
      <c r="AD32" s="475">
        <f>SUMPRODUCT($AD$25:$AD$28,AF20:AF23)</f>
        <v>9.9383513596848161E-2</v>
      </c>
      <c r="AE32" s="486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243" t="str">
        <f t="shared" si="5"/>
        <v/>
      </c>
      <c r="BF32" s="238"/>
      <c r="BG32" s="249"/>
      <c r="BH32" s="249"/>
      <c r="BI32" s="240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465"/>
    </row>
    <row r="33" spans="2:101" ht="18" customHeight="1" x14ac:dyDescent="0.2">
      <c r="B33" s="680" t="str">
        <f t="shared" si="8"/>
        <v/>
      </c>
      <c r="C33" s="610"/>
      <c r="D33" s="581"/>
      <c r="E33" s="605"/>
      <c r="F33"/>
      <c r="G33"/>
      <c r="H33"/>
      <c r="I33"/>
      <c r="J33"/>
      <c r="K33" s="184" t="s">
        <v>173</v>
      </c>
      <c r="L33" s="187"/>
      <c r="M33" s="187"/>
      <c r="N33" s="185"/>
      <c r="O33" s="185"/>
      <c r="P33" s="185"/>
      <c r="Q33" s="185"/>
      <c r="R33" s="185"/>
      <c r="S33" s="135" t="str">
        <f t="shared" si="3"/>
        <v/>
      </c>
      <c r="T33" s="129"/>
      <c r="U33" s="129"/>
      <c r="V33" s="129"/>
      <c r="W33" s="129"/>
      <c r="X33" s="126"/>
      <c r="Y33" s="126"/>
      <c r="Z33" s="126"/>
      <c r="AA33" s="126"/>
      <c r="AB33" s="475" t="str">
        <f t="shared" si="4"/>
        <v/>
      </c>
      <c r="AC33" s="125"/>
      <c r="AD33" s="484">
        <f>SUMPRODUCT($AD$25:$AD$28,AG20:AG23)</f>
        <v>4.0860618565119466E-5</v>
      </c>
      <c r="AE33" s="486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243" t="str">
        <f t="shared" si="5"/>
        <v/>
      </c>
      <c r="BF33" s="238"/>
      <c r="BG33" s="249"/>
      <c r="BH33" s="249"/>
      <c r="BI33" s="240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465"/>
    </row>
    <row r="34" spans="2:101" ht="18" customHeight="1" x14ac:dyDescent="0.2">
      <c r="B34" s="680" t="str">
        <f t="shared" si="8"/>
        <v/>
      </c>
      <c r="C34" s="610"/>
      <c r="D34" s="581"/>
      <c r="E34" s="605"/>
      <c r="F34"/>
      <c r="G34"/>
      <c r="H34"/>
      <c r="I34"/>
      <c r="J34"/>
      <c r="K34" s="200">
        <f>n-2</f>
        <v>17</v>
      </c>
      <c r="L34" s="187"/>
      <c r="M34" s="187"/>
      <c r="N34" s="185"/>
      <c r="O34" s="185"/>
      <c r="P34" s="185"/>
      <c r="Q34" s="185"/>
      <c r="R34" s="185"/>
      <c r="S34" s="135" t="str">
        <f t="shared" si="3"/>
        <v/>
      </c>
      <c r="T34" s="129"/>
      <c r="U34" s="127" t="s">
        <v>455</v>
      </c>
      <c r="V34" s="129"/>
      <c r="W34" s="129"/>
      <c r="X34" s="126"/>
      <c r="Y34" s="126"/>
      <c r="Z34" s="126"/>
      <c r="AA34" s="126"/>
      <c r="AB34" s="475" t="str">
        <f t="shared" si="4"/>
        <v/>
      </c>
      <c r="AC34" s="125"/>
      <c r="AD34" s="469" t="s">
        <v>455</v>
      </c>
      <c r="AE34" s="486"/>
      <c r="AF34" s="45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243" t="str">
        <f t="shared" si="5"/>
        <v/>
      </c>
      <c r="BF34" s="238"/>
      <c r="BG34" s="239" t="s">
        <v>455</v>
      </c>
      <c r="BH34" s="249"/>
      <c r="BI34" s="240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465"/>
    </row>
    <row r="35" spans="2:101" ht="18" customHeight="1" x14ac:dyDescent="0.2">
      <c r="B35" s="680" t="str">
        <f t="shared" si="8"/>
        <v/>
      </c>
      <c r="C35" s="610"/>
      <c r="D35" s="581"/>
      <c r="E35" s="605"/>
      <c r="F35"/>
      <c r="G35"/>
      <c r="H35"/>
      <c r="I35"/>
      <c r="J35"/>
      <c r="K35" s="187"/>
      <c r="L35" s="187"/>
      <c r="M35" s="187"/>
      <c r="N35" s="185"/>
      <c r="O35" s="185"/>
      <c r="P35" s="185"/>
      <c r="Q35" s="185"/>
      <c r="R35" s="185"/>
      <c r="S35" s="135" t="str">
        <f t="shared" si="3"/>
        <v/>
      </c>
      <c r="T35" s="129"/>
      <c r="U35" s="149">
        <f>TINV(0.05,df-1)</f>
        <v>2.119905299221255</v>
      </c>
      <c r="V35" s="129"/>
      <c r="W35" s="129"/>
      <c r="X35" s="126"/>
      <c r="Y35" s="126"/>
      <c r="Z35" s="126"/>
      <c r="AA35" s="126"/>
      <c r="AB35" s="475" t="str">
        <f t="shared" si="4"/>
        <v/>
      </c>
      <c r="AC35" s="125"/>
      <c r="AD35" s="487">
        <f>TINV(0.05,df-2)</f>
        <v>2.1314495455597742</v>
      </c>
      <c r="AE35" s="486"/>
      <c r="AF35" s="45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243" t="str">
        <f t="shared" si="5"/>
        <v/>
      </c>
      <c r="BF35" s="238"/>
      <c r="BG35" s="250">
        <f>TINV(0.05,df-3)</f>
        <v>2.1447866879178044</v>
      </c>
      <c r="BH35" s="249"/>
      <c r="BI35" s="240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465"/>
    </row>
    <row r="36" spans="2:101" ht="18" customHeight="1" x14ac:dyDescent="0.2">
      <c r="B36" s="680" t="str">
        <f t="shared" si="8"/>
        <v/>
      </c>
      <c r="C36" s="610"/>
      <c r="D36" s="581"/>
      <c r="E36" s="605"/>
      <c r="F36"/>
      <c r="G36"/>
      <c r="H36"/>
      <c r="I36"/>
      <c r="J36"/>
      <c r="K36" s="184" t="s">
        <v>455</v>
      </c>
      <c r="L36" s="187"/>
      <c r="M36" s="187"/>
      <c r="N36" s="185"/>
      <c r="O36" s="185"/>
      <c r="P36" s="185"/>
      <c r="Q36" s="185"/>
      <c r="R36" s="185"/>
      <c r="S36" s="135" t="str">
        <f t="shared" si="3"/>
        <v/>
      </c>
      <c r="T36" s="129"/>
      <c r="U36" s="129"/>
      <c r="V36" s="129"/>
      <c r="W36" s="129"/>
      <c r="X36" s="126"/>
      <c r="Y36" s="126"/>
      <c r="Z36" s="126"/>
      <c r="AA36" s="126"/>
      <c r="AB36" s="475" t="str">
        <f t="shared" si="4"/>
        <v/>
      </c>
      <c r="AC36" s="125"/>
      <c r="AD36" s="456"/>
      <c r="AE36" s="486"/>
      <c r="AF36" s="488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243" t="str">
        <f t="shared" si="5"/>
        <v/>
      </c>
      <c r="BF36" s="238"/>
      <c r="BG36" s="240"/>
      <c r="BH36" s="249"/>
      <c r="BI36" s="251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465"/>
    </row>
    <row r="37" spans="2:101" ht="18" customHeight="1" x14ac:dyDescent="0.2">
      <c r="B37" s="680" t="str">
        <f t="shared" si="8"/>
        <v/>
      </c>
      <c r="C37" s="610"/>
      <c r="D37" s="581"/>
      <c r="E37" s="605"/>
      <c r="F37"/>
      <c r="G37"/>
      <c r="H37"/>
      <c r="I37"/>
      <c r="J37"/>
      <c r="K37" s="193">
        <f>TINV(0.05,df)</f>
        <v>2.109815577833317</v>
      </c>
      <c r="L37" s="187"/>
      <c r="M37" s="187"/>
      <c r="N37" s="185"/>
      <c r="O37" s="185"/>
      <c r="P37" s="185"/>
      <c r="Q37" s="185"/>
      <c r="R37" s="185"/>
      <c r="S37" s="135" t="str">
        <f t="shared" si="3"/>
        <v/>
      </c>
      <c r="T37" s="129"/>
      <c r="U37" s="127" t="s">
        <v>174</v>
      </c>
      <c r="V37" s="129"/>
      <c r="W37" s="129"/>
      <c r="X37" s="126"/>
      <c r="Y37" s="126"/>
      <c r="Z37" s="126"/>
      <c r="AA37" s="126"/>
      <c r="AB37" s="475" t="str">
        <f t="shared" si="4"/>
        <v/>
      </c>
      <c r="AC37" s="125"/>
      <c r="AD37" s="469" t="s">
        <v>174</v>
      </c>
      <c r="AE37" s="486"/>
      <c r="AF37" s="45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243" t="str">
        <f t="shared" si="5"/>
        <v/>
      </c>
      <c r="BF37" s="238"/>
      <c r="BG37" s="239" t="s">
        <v>174</v>
      </c>
      <c r="BH37" s="249"/>
      <c r="BI37" s="240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465"/>
    </row>
    <row r="38" spans="2:101" ht="18" customHeight="1" x14ac:dyDescent="0.2">
      <c r="B38" s="680" t="str">
        <f t="shared" si="8"/>
        <v/>
      </c>
      <c r="C38" s="610"/>
      <c r="D38" s="581"/>
      <c r="E38" s="605"/>
      <c r="F38"/>
      <c r="G38"/>
      <c r="H38"/>
      <c r="I38"/>
      <c r="J38"/>
      <c r="K38" s="187"/>
      <c r="L38" s="187"/>
      <c r="M38" s="187"/>
      <c r="N38" s="185"/>
      <c r="O38" s="185"/>
      <c r="P38" s="185"/>
      <c r="Q38" s="185"/>
      <c r="R38" s="185"/>
      <c r="S38" s="135" t="str">
        <f t="shared" si="3"/>
        <v/>
      </c>
      <c r="T38" s="129"/>
      <c r="U38" s="145">
        <f>SUMPRODUCT(U25:U27,U30:U32)</f>
        <v>1584.6713544194274</v>
      </c>
      <c r="V38" s="129"/>
      <c r="W38" s="129"/>
      <c r="X38" s="126"/>
      <c r="Y38" s="126"/>
      <c r="Z38" s="126"/>
      <c r="AA38" s="126"/>
      <c r="AB38" s="475" t="str">
        <f t="shared" si="4"/>
        <v/>
      </c>
      <c r="AC38" s="125"/>
      <c r="AD38" s="482">
        <f>SUMPRODUCT(AD25:AD28,AD30:AD33)</f>
        <v>1584.6713624274739</v>
      </c>
      <c r="AE38" s="456"/>
      <c r="AF38" s="45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243" t="str">
        <f t="shared" si="5"/>
        <v/>
      </c>
      <c r="BF38" s="238"/>
      <c r="BG38" s="139">
        <f>SUMPRODUCT(BG26:BG30,BI26:BI30)</f>
        <v>1584.6753017136218</v>
      </c>
      <c r="BH38" s="240"/>
      <c r="BI38" s="240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465"/>
    </row>
    <row r="39" spans="2:101" ht="18" customHeight="1" x14ac:dyDescent="0.2">
      <c r="B39" s="680" t="str">
        <f t="shared" si="8"/>
        <v/>
      </c>
      <c r="C39" s="610"/>
      <c r="D39" s="581"/>
      <c r="E39" s="605"/>
      <c r="F39"/>
      <c r="G39"/>
      <c r="H39"/>
      <c r="I39"/>
      <c r="J39"/>
      <c r="K39" s="194" t="s">
        <v>174</v>
      </c>
      <c r="L39" s="187"/>
      <c r="M39" s="187"/>
      <c r="N39" s="185"/>
      <c r="O39" s="185"/>
      <c r="P39" s="185"/>
      <c r="Q39" s="185"/>
      <c r="R39" s="185"/>
      <c r="S39" s="135" t="str">
        <f t="shared" si="3"/>
        <v/>
      </c>
      <c r="T39" s="129"/>
      <c r="U39" s="129"/>
      <c r="V39" s="129"/>
      <c r="W39" s="129"/>
      <c r="X39" s="126"/>
      <c r="Y39" s="126"/>
      <c r="Z39" s="126"/>
      <c r="AA39" s="126"/>
      <c r="AB39" s="475" t="str">
        <f t="shared" si="4"/>
        <v/>
      </c>
      <c r="AC39" s="125"/>
      <c r="AD39" s="456"/>
      <c r="AE39" s="456"/>
      <c r="AF39" s="488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243" t="str">
        <f t="shared" si="5"/>
        <v/>
      </c>
      <c r="BF39" s="238"/>
      <c r="BG39" s="240"/>
      <c r="BH39" s="240"/>
      <c r="BI39" s="251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465"/>
    </row>
    <row r="40" spans="2:101" ht="18" customHeight="1" x14ac:dyDescent="0.2">
      <c r="B40" s="680" t="str">
        <f t="shared" si="8"/>
        <v/>
      </c>
      <c r="C40" s="610"/>
      <c r="D40" s="581"/>
      <c r="E40" s="605"/>
      <c r="F40"/>
      <c r="G40"/>
      <c r="H40"/>
      <c r="I40"/>
      <c r="J40"/>
      <c r="K40" s="193">
        <f>SUMPRODUCT(K27:K28,K23:K24)</f>
        <v>1576.2036008516864</v>
      </c>
      <c r="L40" s="187"/>
      <c r="M40" s="187"/>
      <c r="N40" s="185"/>
      <c r="O40" s="185"/>
      <c r="P40" s="185"/>
      <c r="Q40" s="185"/>
      <c r="R40" s="185"/>
      <c r="S40" s="135" t="str">
        <f t="shared" si="3"/>
        <v/>
      </c>
      <c r="T40" s="129"/>
      <c r="U40" s="127" t="s">
        <v>175</v>
      </c>
      <c r="V40" s="129"/>
      <c r="W40" s="129"/>
      <c r="X40" s="126"/>
      <c r="Y40" s="126"/>
      <c r="Z40" s="126"/>
      <c r="AA40" s="126"/>
      <c r="AB40" s="475" t="str">
        <f t="shared" si="4"/>
        <v/>
      </c>
      <c r="AC40" s="125"/>
      <c r="AD40" s="469" t="s">
        <v>175</v>
      </c>
      <c r="AE40" s="456"/>
      <c r="AF40" s="456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243" t="str">
        <f t="shared" si="5"/>
        <v/>
      </c>
      <c r="BF40" s="238"/>
      <c r="BG40" s="239" t="s">
        <v>175</v>
      </c>
      <c r="BH40" s="240"/>
      <c r="BI40" s="240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465"/>
    </row>
    <row r="41" spans="2:101" ht="18" customHeight="1" x14ac:dyDescent="0.2">
      <c r="B41" s="680" t="str">
        <f t="shared" si="8"/>
        <v/>
      </c>
      <c r="C41" s="610"/>
      <c r="D41" s="581"/>
      <c r="E41" s="605"/>
      <c r="F41"/>
      <c r="G41"/>
      <c r="H41"/>
      <c r="I41"/>
      <c r="J41"/>
      <c r="K41" s="187"/>
      <c r="L41" s="187"/>
      <c r="M41" s="187"/>
      <c r="N41" s="185"/>
      <c r="O41" s="185"/>
      <c r="P41" s="185"/>
      <c r="Q41" s="185"/>
      <c r="R41" s="185"/>
      <c r="S41" s="135" t="str">
        <f t="shared" si="3"/>
        <v/>
      </c>
      <c r="T41" s="129"/>
      <c r="U41" s="145">
        <f>U38-SUM(Y)^2/n</f>
        <v>523.16753025048001</v>
      </c>
      <c r="V41" s="129"/>
      <c r="W41" s="129"/>
      <c r="X41" s="126"/>
      <c r="Y41" s="126"/>
      <c r="Z41" s="126"/>
      <c r="AA41" s="126"/>
      <c r="AB41" s="475" t="str">
        <f t="shared" si="4"/>
        <v/>
      </c>
      <c r="AC41" s="125"/>
      <c r="AD41" s="482">
        <f>AD38-SUM(Y)^2/n</f>
        <v>523.16753825852652</v>
      </c>
      <c r="AE41" s="456"/>
      <c r="AF41" s="456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243" t="str">
        <f t="shared" si="5"/>
        <v/>
      </c>
      <c r="BF41" s="238"/>
      <c r="BG41" s="139">
        <f>BG38-SUM(Y)^2/n</f>
        <v>523.17147754467442</v>
      </c>
      <c r="BH41" s="240"/>
      <c r="BI41" s="240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465"/>
    </row>
    <row r="42" spans="2:101" ht="18" customHeight="1" x14ac:dyDescent="0.2">
      <c r="B42" s="680" t="str">
        <f t="shared" si="8"/>
        <v/>
      </c>
      <c r="C42" s="610"/>
      <c r="D42" s="581"/>
      <c r="E42" s="605"/>
      <c r="F42"/>
      <c r="G42"/>
      <c r="H42"/>
      <c r="I42"/>
      <c r="J42"/>
      <c r="K42" s="194" t="s">
        <v>175</v>
      </c>
      <c r="L42" s="187"/>
      <c r="M42" s="187"/>
      <c r="N42" s="185"/>
      <c r="O42" s="185"/>
      <c r="P42" s="185"/>
      <c r="Q42" s="185"/>
      <c r="R42" s="185"/>
      <c r="S42" s="135" t="str">
        <f t="shared" si="3"/>
        <v/>
      </c>
      <c r="T42" s="129"/>
      <c r="U42" s="129"/>
      <c r="V42" s="129"/>
      <c r="W42" s="129"/>
      <c r="X42" s="126"/>
      <c r="Y42" s="126"/>
      <c r="Z42" s="126"/>
      <c r="AA42" s="126"/>
      <c r="AB42" s="475" t="str">
        <f t="shared" si="4"/>
        <v/>
      </c>
      <c r="AC42" s="125"/>
      <c r="AD42" s="456"/>
      <c r="AE42" s="456"/>
      <c r="AF42" s="469" t="s">
        <v>171</v>
      </c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243" t="str">
        <f t="shared" si="5"/>
        <v/>
      </c>
      <c r="BF42" s="238"/>
      <c r="BG42" s="240"/>
      <c r="BH42" s="240"/>
      <c r="BI42" s="239" t="s">
        <v>171</v>
      </c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465"/>
    </row>
    <row r="43" spans="2:101" ht="18" customHeight="1" x14ac:dyDescent="0.2">
      <c r="B43" s="680" t="str">
        <f t="shared" si="8"/>
        <v/>
      </c>
      <c r="C43" s="610"/>
      <c r="D43" s="581"/>
      <c r="E43" s="605"/>
      <c r="F43"/>
      <c r="G43"/>
      <c r="H43"/>
      <c r="I43"/>
      <c r="J43"/>
      <c r="K43" s="193">
        <f>K40-SUM(Y)^2/n</f>
        <v>514.69977668273896</v>
      </c>
      <c r="L43" s="187"/>
      <c r="M43" s="187"/>
      <c r="N43" s="185"/>
      <c r="O43" s="185"/>
      <c r="P43" s="185"/>
      <c r="Q43" s="185"/>
      <c r="R43" s="185"/>
      <c r="S43" s="135" t="str">
        <f t="shared" si="3"/>
        <v/>
      </c>
      <c r="T43" s="129"/>
      <c r="U43" s="127" t="s">
        <v>176</v>
      </c>
      <c r="V43" s="129"/>
      <c r="W43" s="129"/>
      <c r="X43" s="126"/>
      <c r="Y43" s="126"/>
      <c r="Z43" s="126"/>
      <c r="AA43" s="126"/>
      <c r="AB43" s="475" t="str">
        <f t="shared" si="4"/>
        <v/>
      </c>
      <c r="AC43" s="125"/>
      <c r="AD43" s="469" t="s">
        <v>176</v>
      </c>
      <c r="AE43" s="456"/>
      <c r="AF43" s="489">
        <f>AD30</f>
        <v>0.19517101845531215</v>
      </c>
      <c r="AG43" s="490">
        <f>AD31</f>
        <v>1.0030238881515743</v>
      </c>
      <c r="AH43" s="490">
        <f>AD32</f>
        <v>9.9383513596848161E-2</v>
      </c>
      <c r="AI43" s="491">
        <f>AD33</f>
        <v>4.0860618565119466E-5</v>
      </c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243" t="str">
        <f t="shared" si="5"/>
        <v/>
      </c>
      <c r="BF43" s="238"/>
      <c r="BG43" s="239" t="s">
        <v>176</v>
      </c>
      <c r="BH43" s="240"/>
      <c r="BI43" s="252">
        <f>BI26</f>
        <v>0.22056434366470512</v>
      </c>
      <c r="BJ43" s="253">
        <f>BI27</f>
        <v>0.92846211461801431</v>
      </c>
      <c r="BK43" s="253">
        <f>BI28</f>
        <v>0.1390363803600394</v>
      </c>
      <c r="BL43" s="253">
        <f>BI29</f>
        <v>-6.9298561057280494E-3</v>
      </c>
      <c r="BM43" s="254">
        <f>BI30</f>
        <v>3.8726204024008837E-4</v>
      </c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465"/>
    </row>
    <row r="44" spans="2:101" ht="18" customHeight="1" x14ac:dyDescent="0.2">
      <c r="B44" s="680" t="str">
        <f t="shared" si="8"/>
        <v/>
      </c>
      <c r="C44" s="610"/>
      <c r="D44" s="581"/>
      <c r="E44" s="605"/>
      <c r="F44"/>
      <c r="G44"/>
      <c r="H44"/>
      <c r="I44"/>
      <c r="J44"/>
      <c r="K44" s="187"/>
      <c r="L44" s="187"/>
      <c r="M44" s="187"/>
      <c r="N44" s="185"/>
      <c r="O44" s="185"/>
      <c r="P44" s="185"/>
      <c r="Q44" s="185"/>
      <c r="R44" s="185"/>
      <c r="S44" s="135" t="str">
        <f t="shared" si="3"/>
        <v/>
      </c>
      <c r="T44" s="129"/>
      <c r="U44" s="145">
        <f>K31-U38</f>
        <v>7.7690305727173836E-3</v>
      </c>
      <c r="V44" s="129"/>
      <c r="W44" s="129"/>
      <c r="X44" s="126"/>
      <c r="Y44" s="126"/>
      <c r="Z44" s="126"/>
      <c r="AA44" s="126"/>
      <c r="AB44" s="475" t="str">
        <f t="shared" si="4"/>
        <v/>
      </c>
      <c r="AC44" s="125"/>
      <c r="AD44" s="482">
        <f>K31-AD38</f>
        <v>7.7610225262105814E-3</v>
      </c>
      <c r="AE44" s="456"/>
      <c r="AF44" s="456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243" t="str">
        <f t="shared" si="5"/>
        <v/>
      </c>
      <c r="BF44" s="238"/>
      <c r="BG44" s="139">
        <f>K31-BG38</f>
        <v>3.8217363783132896E-3</v>
      </c>
      <c r="BH44" s="240"/>
      <c r="BI44" s="240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465"/>
    </row>
    <row r="45" spans="2:101" ht="18" customHeight="1" x14ac:dyDescent="0.2">
      <c r="B45" s="680" t="str">
        <f t="shared" si="8"/>
        <v/>
      </c>
      <c r="C45" s="610"/>
      <c r="D45" s="581"/>
      <c r="E45" s="605"/>
      <c r="F45"/>
      <c r="G45"/>
      <c r="H45"/>
      <c r="I45"/>
      <c r="J45"/>
      <c r="K45" s="184" t="s">
        <v>176</v>
      </c>
      <c r="L45" s="187"/>
      <c r="M45" s="187"/>
      <c r="N45" s="185"/>
      <c r="O45" s="185"/>
      <c r="P45" s="185"/>
      <c r="Q45" s="185"/>
      <c r="R45" s="185"/>
      <c r="S45" s="135" t="str">
        <f t="shared" si="3"/>
        <v/>
      </c>
      <c r="T45" s="129"/>
      <c r="U45" s="129"/>
      <c r="V45" s="129"/>
      <c r="W45" s="129"/>
      <c r="X45" s="126"/>
      <c r="Y45" s="126"/>
      <c r="Z45" s="126"/>
      <c r="AA45" s="126"/>
      <c r="AB45" s="475" t="str">
        <f t="shared" si="4"/>
        <v/>
      </c>
      <c r="AC45" s="125"/>
      <c r="AD45" s="456"/>
      <c r="AE45" s="456"/>
      <c r="AF45" s="456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243" t="str">
        <f t="shared" si="5"/>
        <v/>
      </c>
      <c r="BF45" s="238"/>
      <c r="BG45" s="240"/>
      <c r="BH45" s="240"/>
      <c r="BI45" s="240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465"/>
    </row>
    <row r="46" spans="2:101" ht="18" customHeight="1" x14ac:dyDescent="0.2">
      <c r="B46" s="680" t="str">
        <f t="shared" si="8"/>
        <v/>
      </c>
      <c r="C46" s="610"/>
      <c r="D46" s="581"/>
      <c r="E46" s="605"/>
      <c r="F46"/>
      <c r="G46"/>
      <c r="H46"/>
      <c r="I46"/>
      <c r="J46"/>
      <c r="K46" s="193">
        <f>K31-K40</f>
        <v>8.4755225983137734</v>
      </c>
      <c r="L46" s="187"/>
      <c r="M46" s="187"/>
      <c r="N46" s="185"/>
      <c r="O46" s="185"/>
      <c r="P46" s="185"/>
      <c r="Q46" s="185"/>
      <c r="R46" s="185"/>
      <c r="S46" s="135" t="str">
        <f t="shared" si="3"/>
        <v/>
      </c>
      <c r="T46" s="129"/>
      <c r="U46" s="130" t="s">
        <v>177</v>
      </c>
      <c r="V46" s="126"/>
      <c r="W46" s="126"/>
      <c r="X46" s="126"/>
      <c r="Y46" s="126"/>
      <c r="Z46" s="126"/>
      <c r="AA46" s="126"/>
      <c r="AB46" s="475" t="str">
        <f t="shared" si="4"/>
        <v/>
      </c>
      <c r="AC46" s="125"/>
      <c r="AD46" s="470" t="s">
        <v>177</v>
      </c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243" t="str">
        <f t="shared" si="5"/>
        <v/>
      </c>
      <c r="BF46" s="238"/>
      <c r="BG46" s="241" t="s">
        <v>177</v>
      </c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465"/>
    </row>
    <row r="47" spans="2:101" ht="18" customHeight="1" x14ac:dyDescent="0.2">
      <c r="B47" s="680" t="str">
        <f t="shared" si="8"/>
        <v/>
      </c>
      <c r="C47" s="610"/>
      <c r="D47" s="581"/>
      <c r="E47" s="605"/>
      <c r="F47"/>
      <c r="G47"/>
      <c r="H47"/>
      <c r="I47"/>
      <c r="J47"/>
      <c r="K47" s="187"/>
      <c r="L47" s="187"/>
      <c r="M47" s="187"/>
      <c r="N47" s="185"/>
      <c r="O47" s="185"/>
      <c r="P47" s="185"/>
      <c r="Q47" s="185"/>
      <c r="R47" s="185"/>
      <c r="S47" s="135" t="str">
        <f t="shared" si="3"/>
        <v/>
      </c>
      <c r="T47" s="129"/>
      <c r="U47" s="145">
        <f>U44/(df-1)</f>
        <v>4.8556441079483648E-4</v>
      </c>
      <c r="V47" s="126"/>
      <c r="W47" s="126"/>
      <c r="X47" s="126"/>
      <c r="Y47" s="126"/>
      <c r="Z47" s="126"/>
      <c r="AA47" s="126"/>
      <c r="AB47" s="475" t="str">
        <f t="shared" si="4"/>
        <v/>
      </c>
      <c r="AC47" s="125"/>
      <c r="AD47" s="482">
        <f>AD44/(df-2)</f>
        <v>5.1740150174737207E-4</v>
      </c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243" t="str">
        <f t="shared" si="5"/>
        <v/>
      </c>
      <c r="BF47" s="238"/>
      <c r="BG47" s="139">
        <f>BG44/(df-3)</f>
        <v>2.7298116987952071E-4</v>
      </c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465"/>
    </row>
    <row r="48" spans="2:101" ht="18" customHeight="1" x14ac:dyDescent="0.2">
      <c r="B48" s="680" t="str">
        <f t="shared" ref="B48:B61" si="9">IF(C48="","",+B47+1)</f>
        <v/>
      </c>
      <c r="C48" s="610"/>
      <c r="D48" s="581"/>
      <c r="E48" s="605"/>
      <c r="F48"/>
      <c r="G48"/>
      <c r="H48"/>
      <c r="I48"/>
      <c r="J48"/>
      <c r="K48" s="201" t="s">
        <v>177</v>
      </c>
      <c r="L48" s="187"/>
      <c r="M48" s="187"/>
      <c r="N48" s="185"/>
      <c r="O48" s="185"/>
      <c r="P48" s="185"/>
      <c r="Q48" s="185"/>
      <c r="R48" s="185"/>
      <c r="S48" s="135" t="str">
        <f t="shared" si="3"/>
        <v/>
      </c>
      <c r="T48" s="129"/>
      <c r="U48" s="126"/>
      <c r="V48" s="126"/>
      <c r="W48" s="126"/>
      <c r="X48" s="126"/>
      <c r="Y48" s="126"/>
      <c r="Z48" s="126"/>
      <c r="AA48" s="126"/>
      <c r="AB48" s="475" t="str">
        <f t="shared" si="4"/>
        <v/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243" t="str">
        <f t="shared" si="5"/>
        <v/>
      </c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465"/>
    </row>
    <row r="49" spans="2:101" ht="18" customHeight="1" x14ac:dyDescent="0.2">
      <c r="B49" s="680" t="str">
        <f t="shared" si="9"/>
        <v/>
      </c>
      <c r="C49" s="610"/>
      <c r="D49" s="581"/>
      <c r="E49" s="605"/>
      <c r="F49"/>
      <c r="G49"/>
      <c r="H49"/>
      <c r="I49"/>
      <c r="J49"/>
      <c r="K49" s="193">
        <f>K46/df</f>
        <v>0.49856015284198668</v>
      </c>
      <c r="L49" s="187"/>
      <c r="M49" s="187"/>
      <c r="N49" s="185"/>
      <c r="O49" s="185"/>
      <c r="P49" s="185"/>
      <c r="Q49" s="185"/>
      <c r="R49" s="185"/>
      <c r="S49" s="135" t="str">
        <f t="shared" si="3"/>
        <v/>
      </c>
      <c r="T49" s="129"/>
      <c r="U49" s="150" t="s">
        <v>178</v>
      </c>
      <c r="V49" s="129"/>
      <c r="W49" s="129"/>
      <c r="X49" s="126"/>
      <c r="Y49" s="126"/>
      <c r="Z49" s="126"/>
      <c r="AA49" s="126"/>
      <c r="AB49" s="475" t="str">
        <f t="shared" si="4"/>
        <v/>
      </c>
      <c r="AC49" s="125"/>
      <c r="AD49" s="492" t="s">
        <v>178</v>
      </c>
      <c r="AE49" s="456"/>
      <c r="AF49" s="456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243" t="str">
        <f t="shared" si="5"/>
        <v/>
      </c>
      <c r="BF49" s="238"/>
      <c r="BG49" s="255" t="s">
        <v>178</v>
      </c>
      <c r="BH49" s="240"/>
      <c r="BI49" s="240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465"/>
    </row>
    <row r="50" spans="2:101" ht="18" customHeight="1" x14ac:dyDescent="0.2">
      <c r="B50" s="680" t="str">
        <f t="shared" si="9"/>
        <v/>
      </c>
      <c r="C50" s="610"/>
      <c r="D50" s="581"/>
      <c r="E50" s="605"/>
      <c r="F50"/>
      <c r="G50"/>
      <c r="H50"/>
      <c r="I50"/>
      <c r="J50"/>
      <c r="K50" s="187"/>
      <c r="L50" s="187"/>
      <c r="M50" s="187"/>
      <c r="N50" s="185"/>
      <c r="O50" s="185"/>
      <c r="P50" s="185"/>
      <c r="Q50" s="185"/>
      <c r="R50" s="185"/>
      <c r="S50" s="135" t="str">
        <f t="shared" si="3"/>
        <v/>
      </c>
      <c r="T50" s="129"/>
      <c r="U50" s="145">
        <f>FINV(0.05,df,df-1)</f>
        <v>2.3167218381527981</v>
      </c>
      <c r="V50" s="129"/>
      <c r="W50" s="129"/>
      <c r="X50" s="126"/>
      <c r="Y50" s="126"/>
      <c r="Z50" s="126"/>
      <c r="AA50" s="126"/>
      <c r="AB50" s="475" t="str">
        <f t="shared" si="4"/>
        <v/>
      </c>
      <c r="AC50" s="125"/>
      <c r="AD50" s="482">
        <f>FINV(0.05,df-1,df-2)</f>
        <v>2.3848750436598887</v>
      </c>
      <c r="AE50" s="456"/>
      <c r="AF50" s="456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243" t="str">
        <f t="shared" si="5"/>
        <v/>
      </c>
      <c r="BF50" s="238"/>
      <c r="BG50" s="139">
        <f>FINV(0.05,df-2,df-3)</f>
        <v>2.4630031048756633</v>
      </c>
      <c r="BH50" s="240"/>
      <c r="BI50" s="240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465"/>
    </row>
    <row r="51" spans="2:101" ht="18" customHeight="1" x14ac:dyDescent="0.2">
      <c r="B51" s="680" t="str">
        <f t="shared" si="9"/>
        <v/>
      </c>
      <c r="C51" s="610"/>
      <c r="D51" s="581"/>
      <c r="E51" s="605"/>
      <c r="F51"/>
      <c r="G51"/>
      <c r="H51"/>
      <c r="I51"/>
      <c r="J51"/>
      <c r="K51" s="184" t="s">
        <v>179</v>
      </c>
      <c r="L51" s="187"/>
      <c r="M51" s="187"/>
      <c r="N51" s="185"/>
      <c r="O51" s="185"/>
      <c r="P51" s="185"/>
      <c r="Q51" s="185"/>
      <c r="R51" s="185"/>
      <c r="S51" s="135" t="str">
        <f t="shared" si="3"/>
        <v/>
      </c>
      <c r="T51" s="129"/>
      <c r="U51" s="129"/>
      <c r="V51" s="129"/>
      <c r="W51" s="129"/>
      <c r="X51" s="126"/>
      <c r="Y51" s="126"/>
      <c r="Z51" s="126"/>
      <c r="AA51" s="126"/>
      <c r="AB51" s="475" t="str">
        <f t="shared" si="4"/>
        <v/>
      </c>
      <c r="AC51" s="125"/>
      <c r="AD51" s="456"/>
      <c r="AE51" s="456"/>
      <c r="AF51" s="456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243" t="str">
        <f t="shared" si="5"/>
        <v/>
      </c>
      <c r="BF51" s="238"/>
      <c r="BG51" s="240"/>
      <c r="BH51" s="240"/>
      <c r="BI51" s="240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465"/>
    </row>
    <row r="52" spans="2:101" ht="18" customHeight="1" x14ac:dyDescent="0.2">
      <c r="B52" s="680" t="str">
        <f t="shared" si="9"/>
        <v/>
      </c>
      <c r="C52" s="40"/>
      <c r="D52" s="7"/>
      <c r="F52"/>
      <c r="G52"/>
      <c r="H52"/>
      <c r="I52"/>
      <c r="J52"/>
      <c r="K52" s="188">
        <f>$K$49*K19</f>
        <v>9.7088029763965869E-2</v>
      </c>
      <c r="L52" s="189">
        <f>$K$49*L19</f>
        <v>-1.5744004826589057E-2</v>
      </c>
      <c r="M52" s="187"/>
      <c r="N52" s="185"/>
      <c r="O52" s="185"/>
      <c r="P52" s="185"/>
      <c r="Q52" s="185"/>
      <c r="R52" s="185"/>
      <c r="S52" s="135" t="str">
        <f t="shared" si="3"/>
        <v/>
      </c>
      <c r="T52" s="129"/>
      <c r="U52" s="127" t="s">
        <v>180</v>
      </c>
      <c r="V52" s="129"/>
      <c r="W52" s="129"/>
      <c r="X52" s="126"/>
      <c r="Y52" s="126"/>
      <c r="Z52" s="126"/>
      <c r="AA52" s="126"/>
      <c r="AB52" s="475" t="str">
        <f t="shared" si="4"/>
        <v/>
      </c>
      <c r="AC52" s="125"/>
      <c r="AD52" s="469" t="s">
        <v>180</v>
      </c>
      <c r="AE52" s="456"/>
      <c r="AF52" s="456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243" t="str">
        <f t="shared" si="5"/>
        <v/>
      </c>
      <c r="BF52" s="238"/>
      <c r="BG52" s="239" t="s">
        <v>180</v>
      </c>
      <c r="BH52" s="240"/>
      <c r="BI52" s="240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465"/>
    </row>
    <row r="53" spans="2:101" ht="18" customHeight="1" x14ac:dyDescent="0.2">
      <c r="B53" s="680" t="str">
        <f t="shared" si="9"/>
        <v/>
      </c>
      <c r="C53" s="40"/>
      <c r="D53" s="7"/>
      <c r="F53"/>
      <c r="G53"/>
      <c r="H53"/>
      <c r="I53"/>
      <c r="J53"/>
      <c r="K53" s="190">
        <f>$K$49*K20</f>
        <v>-1.5744004826589057E-2</v>
      </c>
      <c r="L53" s="191">
        <f>$K$49*L20</f>
        <v>3.4986677392420131E-3</v>
      </c>
      <c r="M53" s="187"/>
      <c r="N53" s="187"/>
      <c r="O53" s="185"/>
      <c r="P53" s="185"/>
      <c r="Q53" s="185"/>
      <c r="R53" s="185"/>
      <c r="S53" s="135" t="str">
        <f t="shared" si="3"/>
        <v/>
      </c>
      <c r="T53" s="129"/>
      <c r="U53" s="145">
        <f>K49/U47</f>
        <v>1026.7641980306528</v>
      </c>
      <c r="V53" s="129"/>
      <c r="W53" s="129"/>
      <c r="X53" s="126"/>
      <c r="Y53" s="126"/>
      <c r="Z53" s="126"/>
      <c r="AA53" s="126"/>
      <c r="AB53" s="475" t="str">
        <f t="shared" si="4"/>
        <v/>
      </c>
      <c r="AC53" s="125"/>
      <c r="AD53" s="482">
        <f>U47/AD47</f>
        <v>0.93846733949357486</v>
      </c>
      <c r="AE53" s="456"/>
      <c r="AF53" s="456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243" t="str">
        <f t="shared" si="5"/>
        <v/>
      </c>
      <c r="BF53" s="238"/>
      <c r="BG53" s="139">
        <f>AD47/BG47</f>
        <v>1.8953743292100529</v>
      </c>
      <c r="BH53" s="240"/>
      <c r="BI53" s="240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465"/>
    </row>
    <row r="54" spans="2:101" ht="18" customHeight="1" x14ac:dyDescent="0.2">
      <c r="B54" s="680" t="str">
        <f t="shared" si="9"/>
        <v/>
      </c>
      <c r="C54" s="40"/>
      <c r="D54" s="7"/>
      <c r="F54"/>
      <c r="G54"/>
      <c r="H54"/>
      <c r="I54"/>
      <c r="J54"/>
      <c r="K54" s="187"/>
      <c r="L54" s="187"/>
      <c r="M54" s="187"/>
      <c r="N54" s="185"/>
      <c r="O54" s="185"/>
      <c r="P54" s="185"/>
      <c r="Q54" s="185"/>
      <c r="R54" s="185"/>
      <c r="S54" s="135" t="str">
        <f t="shared" si="3"/>
        <v/>
      </c>
      <c r="T54" s="129"/>
      <c r="U54" s="129"/>
      <c r="V54" s="129"/>
      <c r="W54" s="129"/>
      <c r="X54" s="126"/>
      <c r="Y54" s="126"/>
      <c r="Z54" s="126"/>
      <c r="AA54" s="126"/>
      <c r="AB54" s="475" t="str">
        <f t="shared" si="4"/>
        <v/>
      </c>
      <c r="AC54" s="125"/>
      <c r="AD54" s="456"/>
      <c r="AE54" s="456"/>
      <c r="AF54" s="456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243" t="str">
        <f t="shared" si="5"/>
        <v/>
      </c>
      <c r="BF54" s="238"/>
      <c r="BG54" s="240"/>
      <c r="BH54" s="240"/>
      <c r="BI54" s="240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465"/>
    </row>
    <row r="55" spans="2:101" ht="18" customHeight="1" x14ac:dyDescent="0.3">
      <c r="B55" s="680" t="str">
        <f t="shared" si="9"/>
        <v/>
      </c>
      <c r="C55" s="40"/>
      <c r="D55" s="7"/>
      <c r="F55"/>
      <c r="G55"/>
      <c r="H55"/>
      <c r="I55"/>
      <c r="J55"/>
      <c r="K55" s="201" t="s">
        <v>181</v>
      </c>
      <c r="L55" s="197"/>
      <c r="M55" s="187"/>
      <c r="N55" s="185"/>
      <c r="O55" s="185"/>
      <c r="P55" s="185"/>
      <c r="Q55" s="185"/>
      <c r="R55" s="185"/>
      <c r="S55" s="135" t="str">
        <f t="shared" si="3"/>
        <v/>
      </c>
      <c r="T55" s="129"/>
      <c r="U55" s="150" t="s">
        <v>182</v>
      </c>
      <c r="V55" s="129"/>
      <c r="W55" s="129"/>
      <c r="X55" s="126"/>
      <c r="Y55" s="126"/>
      <c r="Z55" s="126"/>
      <c r="AA55" s="126"/>
      <c r="AB55" s="475" t="str">
        <f t="shared" si="4"/>
        <v/>
      </c>
      <c r="AC55" s="125"/>
      <c r="AD55" s="492" t="s">
        <v>182</v>
      </c>
      <c r="AE55" s="456"/>
      <c r="AF55" s="456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243" t="str">
        <f t="shared" si="5"/>
        <v/>
      </c>
      <c r="BF55" s="238"/>
      <c r="BG55" s="255" t="s">
        <v>182</v>
      </c>
      <c r="BH55" s="240"/>
      <c r="BI55" s="240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465"/>
    </row>
    <row r="56" spans="2:101" ht="18" customHeight="1" x14ac:dyDescent="0.2">
      <c r="B56" s="680" t="str">
        <f t="shared" si="9"/>
        <v/>
      </c>
      <c r="C56" s="40"/>
      <c r="D56" s="7"/>
      <c r="F56"/>
      <c r="G56"/>
      <c r="H56"/>
      <c r="I56"/>
      <c r="J56"/>
      <c r="K56" s="200">
        <f>COUNT(X)</f>
        <v>19</v>
      </c>
      <c r="L56" s="187"/>
      <c r="M56" s="187"/>
      <c r="N56" s="185"/>
      <c r="O56" s="185"/>
      <c r="P56" s="185"/>
      <c r="Q56" s="185"/>
      <c r="R56" s="185"/>
      <c r="S56" s="135" t="str">
        <f t="shared" si="3"/>
        <v/>
      </c>
      <c r="T56" s="129"/>
      <c r="U56" s="151" t="str">
        <f>IF(U53&gt;U50,"Q","L")</f>
        <v>Q</v>
      </c>
      <c r="V56" s="129"/>
      <c r="W56" s="129"/>
      <c r="X56" s="129"/>
      <c r="Y56" s="126"/>
      <c r="Z56" s="126"/>
      <c r="AA56" s="126"/>
      <c r="AB56" s="475" t="str">
        <f t="shared" si="4"/>
        <v/>
      </c>
      <c r="AC56" s="125"/>
      <c r="AD56" s="493" t="str">
        <f>IF(AD53&gt;AD50,"Cubic","Quadratic")</f>
        <v>Quadratic</v>
      </c>
      <c r="AE56" s="456"/>
      <c r="AF56" s="456"/>
      <c r="AG56" s="456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243" t="str">
        <f t="shared" si="5"/>
        <v/>
      </c>
      <c r="BF56" s="238"/>
      <c r="BG56" s="256" t="str">
        <f>IF(BG53&gt;BG50,"Quartic","Cubic")</f>
        <v>Cubic</v>
      </c>
      <c r="BH56" s="240"/>
      <c r="BI56" s="240"/>
      <c r="BJ56" s="240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465"/>
    </row>
    <row r="57" spans="2:101" ht="18" customHeight="1" x14ac:dyDescent="0.2">
      <c r="B57" s="680" t="str">
        <f t="shared" si="9"/>
        <v/>
      </c>
      <c r="C57" s="40"/>
      <c r="D57" s="7"/>
      <c r="F57"/>
      <c r="G57"/>
      <c r="H57"/>
      <c r="I57"/>
      <c r="J57"/>
      <c r="K57" s="187"/>
      <c r="L57" s="187"/>
      <c r="M57" s="187"/>
      <c r="N57" s="185"/>
      <c r="O57" s="185"/>
      <c r="P57" s="185"/>
      <c r="Q57" s="185"/>
      <c r="R57" s="185"/>
      <c r="S57" s="135" t="str">
        <f t="shared" si="3"/>
        <v/>
      </c>
      <c r="T57" s="129"/>
      <c r="U57" s="129"/>
      <c r="V57" s="129"/>
      <c r="W57" s="129"/>
      <c r="X57" s="126"/>
      <c r="Y57" s="129"/>
      <c r="Z57" s="126"/>
      <c r="AA57" s="126"/>
      <c r="AB57" s="475" t="str">
        <f t="shared" si="4"/>
        <v/>
      </c>
      <c r="AC57" s="125"/>
      <c r="AD57" s="456"/>
      <c r="AE57" s="456"/>
      <c r="AF57" s="456"/>
      <c r="AG57" s="125"/>
      <c r="AH57" s="456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243" t="str">
        <f t="shared" si="5"/>
        <v/>
      </c>
      <c r="BF57" s="238"/>
      <c r="BG57" s="240"/>
      <c r="BH57" s="240"/>
      <c r="BI57" s="240"/>
      <c r="BJ57" s="238"/>
      <c r="BK57" s="240"/>
      <c r="BL57" s="238"/>
      <c r="BM57" s="238"/>
      <c r="BN57" s="238"/>
      <c r="BO57" s="238"/>
      <c r="BP57" s="238"/>
      <c r="BQ57" s="238"/>
      <c r="BR57" s="238"/>
      <c r="BS57" s="238"/>
      <c r="BT57" s="238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465"/>
    </row>
    <row r="58" spans="2:101" ht="18" customHeight="1" x14ac:dyDescent="0.2">
      <c r="B58" s="680" t="str">
        <f t="shared" si="9"/>
        <v/>
      </c>
      <c r="C58" s="40"/>
      <c r="D58" s="7"/>
      <c r="F58"/>
      <c r="G58"/>
      <c r="H58"/>
      <c r="I58"/>
      <c r="J58"/>
      <c r="K58" s="187"/>
      <c r="L58" s="187"/>
      <c r="M58" s="187"/>
      <c r="N58" s="185"/>
      <c r="O58" s="185"/>
      <c r="P58" s="185"/>
      <c r="Q58" s="185"/>
      <c r="R58" s="185"/>
      <c r="S58" s="135" t="str">
        <f t="shared" si="3"/>
        <v/>
      </c>
      <c r="T58" s="129"/>
      <c r="U58" s="127" t="s">
        <v>179</v>
      </c>
      <c r="V58" s="129"/>
      <c r="W58" s="129"/>
      <c r="X58" s="126"/>
      <c r="Y58" s="126"/>
      <c r="Z58" s="126"/>
      <c r="AA58" s="126"/>
      <c r="AB58" s="475" t="str">
        <f t="shared" si="4"/>
        <v/>
      </c>
      <c r="AC58" s="125"/>
      <c r="AD58" s="469" t="s">
        <v>179</v>
      </c>
      <c r="AE58" s="456"/>
      <c r="AF58" s="456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243" t="str">
        <f t="shared" si="5"/>
        <v/>
      </c>
      <c r="BF58" s="238"/>
      <c r="BG58" s="239" t="s">
        <v>179</v>
      </c>
      <c r="BH58" s="240"/>
      <c r="BI58" s="240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465"/>
    </row>
    <row r="59" spans="2:101" ht="18" customHeight="1" x14ac:dyDescent="0.2">
      <c r="B59" s="680" t="str">
        <f t="shared" si="9"/>
        <v/>
      </c>
      <c r="C59" s="40"/>
      <c r="D59" s="7"/>
      <c r="F59"/>
      <c r="G59"/>
      <c r="H59"/>
      <c r="I59"/>
      <c r="J59"/>
      <c r="K59" s="187"/>
      <c r="L59" s="187"/>
      <c r="M59" s="187"/>
      <c r="N59" s="185"/>
      <c r="O59" s="185"/>
      <c r="P59" s="185"/>
      <c r="Q59" s="185"/>
      <c r="R59" s="185"/>
      <c r="S59" s="135" t="str">
        <f t="shared" si="3"/>
        <v/>
      </c>
      <c r="T59" s="129"/>
      <c r="U59" s="132">
        <f t="shared" ref="U59:W61" si="10">$U$47*U20</f>
        <v>1.8765421590116315E-4</v>
      </c>
      <c r="V59" s="133">
        <f t="shared" si="10"/>
        <v>-8.104909714019109E-5</v>
      </c>
      <c r="W59" s="134">
        <f t="shared" si="10"/>
        <v>7.3017204630802785E-6</v>
      </c>
      <c r="X59" s="126"/>
      <c r="Y59" s="126"/>
      <c r="Z59" s="126"/>
      <c r="AA59" s="126"/>
      <c r="AB59" s="475" t="str">
        <f t="shared" si="4"/>
        <v/>
      </c>
      <c r="AC59" s="125"/>
      <c r="AD59" s="472">
        <f t="shared" ref="AD59:AG62" si="11">$U$47*AD20</f>
        <v>2.8244382336731943E-4</v>
      </c>
      <c r="AE59" s="473">
        <f t="shared" si="11"/>
        <v>-2.2757028776598573E-4</v>
      </c>
      <c r="AF59" s="473">
        <f t="shared" si="11"/>
        <v>4.9120664933444837E-5</v>
      </c>
      <c r="AG59" s="474">
        <f t="shared" si="11"/>
        <v>-3.0976995903974008E-6</v>
      </c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243" t="str">
        <f t="shared" si="5"/>
        <v/>
      </c>
      <c r="BF59" s="238"/>
      <c r="BG59" s="287">
        <f t="shared" ref="BG59:BK63" si="12">$BG$47*BG19</f>
        <v>2.0347233860581361E-4</v>
      </c>
      <c r="BH59" s="288">
        <f t="shared" si="12"/>
        <v>-2.5914376365365212E-4</v>
      </c>
      <c r="BI59" s="288">
        <f t="shared" si="12"/>
        <v>9.739186734827361E-5</v>
      </c>
      <c r="BJ59" s="288">
        <f t="shared" si="12"/>
        <v>-1.4007771008302326E-5</v>
      </c>
      <c r="BK59" s="260">
        <f t="shared" si="12"/>
        <v>6.8145913013357332E-7</v>
      </c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38"/>
      <c r="CR59" s="238"/>
      <c r="CS59" s="238"/>
      <c r="CT59" s="238"/>
      <c r="CU59" s="238"/>
      <c r="CV59" s="238"/>
      <c r="CW59" s="465"/>
    </row>
    <row r="60" spans="2:101" ht="18" customHeight="1" x14ac:dyDescent="0.2">
      <c r="B60" s="680" t="str">
        <f t="shared" si="9"/>
        <v/>
      </c>
      <c r="C60" s="40"/>
      <c r="D60" s="7"/>
      <c r="F60"/>
      <c r="G60"/>
      <c r="H60"/>
      <c r="I60"/>
      <c r="J60"/>
      <c r="K60" s="185"/>
      <c r="L60" s="185"/>
      <c r="M60" s="185"/>
      <c r="N60" s="185"/>
      <c r="O60" s="185"/>
      <c r="P60" s="185"/>
      <c r="Q60" s="185"/>
      <c r="R60" s="185"/>
      <c r="S60" s="135" t="str">
        <f t="shared" si="3"/>
        <v/>
      </c>
      <c r="T60" s="129"/>
      <c r="U60" s="137">
        <f t="shared" si="10"/>
        <v>-8.104909714019109E-5</v>
      </c>
      <c r="V60" s="138">
        <f t="shared" si="10"/>
        <v>4.9794870138418056E-5</v>
      </c>
      <c r="W60" s="140">
        <f t="shared" si="10"/>
        <v>-5.1541556209978439E-6</v>
      </c>
      <c r="X60" s="126"/>
      <c r="Y60" s="126"/>
      <c r="Z60" s="126"/>
      <c r="AA60" s="126"/>
      <c r="AB60" s="475" t="str">
        <f t="shared" si="4"/>
        <v/>
      </c>
      <c r="AC60" s="125"/>
      <c r="AD60" s="476">
        <f t="shared" si="11"/>
        <v>-2.2757028776598952E-4</v>
      </c>
      <c r="AE60" s="403">
        <f t="shared" si="11"/>
        <v>2.7628023996195938E-4</v>
      </c>
      <c r="AF60" s="403">
        <f t="shared" si="11"/>
        <v>-6.9795857367674908E-5</v>
      </c>
      <c r="AG60" s="477">
        <f t="shared" si="11"/>
        <v>4.7882742034575758E-6</v>
      </c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243" t="str">
        <f t="shared" si="5"/>
        <v/>
      </c>
      <c r="BF60" s="238"/>
      <c r="BG60" s="264">
        <f t="shared" si="12"/>
        <v>-2.5914376365361369E-4</v>
      </c>
      <c r="BH60" s="244">
        <f t="shared" si="12"/>
        <v>5.4057750736669508E-4</v>
      </c>
      <c r="BI60" s="244">
        <f t="shared" si="12"/>
        <v>-2.4412187679106285E-4</v>
      </c>
      <c r="BJ60" s="244">
        <f t="shared" si="12"/>
        <v>3.8709056093524213E-5</v>
      </c>
      <c r="BK60" s="265">
        <f t="shared" si="12"/>
        <v>-2.0009510732841032E-6</v>
      </c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465"/>
    </row>
    <row r="61" spans="2:101" ht="18" customHeight="1" thickBot="1" x14ac:dyDescent="0.25">
      <c r="B61" s="681" t="str">
        <f t="shared" si="9"/>
        <v/>
      </c>
      <c r="C61" s="41"/>
      <c r="D61" s="8"/>
      <c r="F61"/>
      <c r="G61"/>
      <c r="H61"/>
      <c r="I61"/>
      <c r="J61"/>
      <c r="K61" s="185"/>
      <c r="L61" s="185"/>
      <c r="M61" s="185"/>
      <c r="N61" s="185"/>
      <c r="O61" s="185"/>
      <c r="P61" s="185"/>
      <c r="Q61" s="185"/>
      <c r="R61" s="185"/>
      <c r="S61" s="146" t="str">
        <f t="shared" si="3"/>
        <v/>
      </c>
      <c r="T61" s="129"/>
      <c r="U61" s="141">
        <f t="shared" si="10"/>
        <v>7.3017204630802785E-6</v>
      </c>
      <c r="V61" s="142">
        <f t="shared" si="10"/>
        <v>-5.1541556209978439E-6</v>
      </c>
      <c r="W61" s="143">
        <f t="shared" si="10"/>
        <v>5.7268395788864934E-7</v>
      </c>
      <c r="X61" s="126"/>
      <c r="Y61" s="126"/>
      <c r="Z61" s="126"/>
      <c r="AA61" s="126"/>
      <c r="AB61" s="484" t="str">
        <f t="shared" si="4"/>
        <v/>
      </c>
      <c r="AC61" s="125"/>
      <c r="AD61" s="476">
        <f t="shared" si="11"/>
        <v>4.9120664933446321E-5</v>
      </c>
      <c r="AE61" s="403">
        <f t="shared" si="11"/>
        <v>-6.9795857367675463E-5</v>
      </c>
      <c r="AF61" s="403">
        <f t="shared" si="11"/>
        <v>1.9022218283050423E-5</v>
      </c>
      <c r="AG61" s="477">
        <f t="shared" si="11"/>
        <v>-1.3666321722342088E-6</v>
      </c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247" t="str">
        <f t="shared" si="5"/>
        <v/>
      </c>
      <c r="BF61" s="238"/>
      <c r="BG61" s="264">
        <f t="shared" si="12"/>
        <v>9.7391867348246803E-5</v>
      </c>
      <c r="BH61" s="244">
        <f t="shared" si="12"/>
        <v>-2.4412187679104179E-4</v>
      </c>
      <c r="BI61" s="244">
        <f t="shared" si="12"/>
        <v>1.1965351513819972E-4</v>
      </c>
      <c r="BJ61" s="244">
        <f t="shared" si="12"/>
        <v>-1.9922658098607632E-5</v>
      </c>
      <c r="BK61" s="265">
        <f t="shared" si="12"/>
        <v>1.0641303519022929E-6</v>
      </c>
      <c r="BL61" s="238"/>
      <c r="BM61" s="238"/>
      <c r="BN61" s="238"/>
      <c r="BO61" s="238"/>
      <c r="BP61" s="238"/>
      <c r="BQ61" s="238"/>
      <c r="BR61" s="238"/>
      <c r="BS61" s="238"/>
      <c r="BT61" s="238"/>
      <c r="BU61" s="238"/>
      <c r="BV61" s="238"/>
      <c r="BW61" s="238"/>
      <c r="BX61" s="238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238"/>
      <c r="CT61" s="238"/>
      <c r="CU61" s="238"/>
      <c r="CV61" s="238"/>
      <c r="CW61" s="465"/>
    </row>
    <row r="62" spans="2:101" ht="18" customHeight="1" thickTop="1" thickBot="1" x14ac:dyDescent="0.25">
      <c r="K62" s="184"/>
      <c r="L62" s="184"/>
      <c r="M62" s="184"/>
      <c r="N62" s="184"/>
      <c r="O62" s="184"/>
      <c r="P62" s="184"/>
      <c r="Q62" s="184"/>
      <c r="R62" s="184"/>
      <c r="S62" s="126"/>
      <c r="T62" s="126"/>
      <c r="U62" s="126"/>
      <c r="V62" s="126"/>
      <c r="W62" s="126"/>
      <c r="X62" s="126"/>
      <c r="Y62" s="126"/>
      <c r="Z62" s="126"/>
      <c r="AA62" s="126"/>
      <c r="AB62" s="125"/>
      <c r="AC62" s="125"/>
      <c r="AD62" s="479">
        <f t="shared" si="11"/>
        <v>-3.0976995903975121E-6</v>
      </c>
      <c r="AE62" s="480">
        <f t="shared" si="11"/>
        <v>4.7882742034576376E-6</v>
      </c>
      <c r="AF62" s="480">
        <f t="shared" si="11"/>
        <v>-1.3666321722342148E-6</v>
      </c>
      <c r="AG62" s="481">
        <f t="shared" si="11"/>
        <v>1.0123201275809019E-7</v>
      </c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238"/>
      <c r="BF62" s="238"/>
      <c r="BG62" s="264">
        <f t="shared" si="12"/>
        <v>-1.4007771008297041E-5</v>
      </c>
      <c r="BH62" s="244">
        <f t="shared" si="12"/>
        <v>3.8709056093518466E-5</v>
      </c>
      <c r="BI62" s="244">
        <f t="shared" si="12"/>
        <v>-1.9922658098606551E-5</v>
      </c>
      <c r="BJ62" s="244">
        <f t="shared" si="12"/>
        <v>3.4241218020284794E-6</v>
      </c>
      <c r="BK62" s="265">
        <f t="shared" si="12"/>
        <v>-1.8706721219349284E-7</v>
      </c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465"/>
    </row>
    <row r="63" spans="2:101" ht="18" customHeight="1" thickTop="1" thickBot="1" x14ac:dyDescent="0.3">
      <c r="B63" s="81" t="s">
        <v>83</v>
      </c>
      <c r="C63"/>
      <c r="D63" s="82" t="s">
        <v>84</v>
      </c>
      <c r="E63"/>
      <c r="F63"/>
      <c r="G63"/>
      <c r="H63"/>
      <c r="I63"/>
      <c r="J63"/>
      <c r="K63" s="184"/>
      <c r="L63" s="184"/>
      <c r="M63" s="184"/>
      <c r="N63" s="184"/>
      <c r="O63" s="184"/>
      <c r="P63" s="184"/>
      <c r="Q63" s="184"/>
      <c r="R63" s="184"/>
      <c r="S63" s="126"/>
      <c r="T63" s="126"/>
      <c r="U63" s="126"/>
      <c r="V63" s="126"/>
      <c r="W63" s="126"/>
      <c r="X63" s="126"/>
      <c r="Y63" s="126"/>
      <c r="Z63" s="126"/>
      <c r="AA63" s="126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238"/>
      <c r="BF63" s="238"/>
      <c r="BG63" s="273">
        <f t="shared" si="12"/>
        <v>6.814591301332632E-7</v>
      </c>
      <c r="BH63" s="274">
        <f t="shared" si="12"/>
        <v>-2.0009510732837135E-6</v>
      </c>
      <c r="BI63" s="274">
        <f t="shared" si="12"/>
        <v>1.0641303519021941E-6</v>
      </c>
      <c r="BJ63" s="274">
        <f t="shared" si="12"/>
        <v>-1.8706721219348601E-7</v>
      </c>
      <c r="BK63" s="275">
        <f t="shared" si="12"/>
        <v>1.0392622899638368E-8</v>
      </c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465"/>
    </row>
    <row r="64" spans="2:101" ht="18" customHeight="1" thickTop="1" x14ac:dyDescent="0.2">
      <c r="B64"/>
      <c r="C64"/>
      <c r="D64"/>
      <c r="E64"/>
      <c r="F64"/>
      <c r="G64"/>
      <c r="H64"/>
      <c r="I64"/>
      <c r="J64"/>
      <c r="K64" s="184"/>
      <c r="L64" s="184"/>
      <c r="M64" s="184"/>
      <c r="N64" s="184"/>
      <c r="O64" s="184"/>
      <c r="P64" s="184"/>
      <c r="Q64" s="184"/>
      <c r="R64" s="184"/>
      <c r="S64" s="126"/>
      <c r="T64" s="126"/>
      <c r="U64" s="126"/>
      <c r="V64" s="126"/>
      <c r="W64" s="126"/>
      <c r="X64" s="126"/>
      <c r="Y64" s="126"/>
      <c r="Z64" s="126"/>
      <c r="AA64" s="126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465"/>
    </row>
    <row r="65" spans="2:100" ht="18" customHeight="1" x14ac:dyDescent="0.35">
      <c r="B65" s="1" t="s">
        <v>183</v>
      </c>
      <c r="C65"/>
      <c r="D65"/>
      <c r="E65"/>
      <c r="F65"/>
      <c r="G65"/>
      <c r="H65"/>
      <c r="I65"/>
      <c r="J65"/>
      <c r="K65" s="184"/>
      <c r="L65" s="184"/>
      <c r="M65" s="184"/>
      <c r="N65" s="184"/>
      <c r="O65" s="184"/>
      <c r="P65" s="184"/>
      <c r="Q65" s="184"/>
      <c r="R65" s="184"/>
      <c r="S65" s="126"/>
      <c r="T65" s="126"/>
      <c r="U65" s="126"/>
      <c r="V65" s="126"/>
      <c r="W65" s="126"/>
      <c r="X65" s="126"/>
      <c r="Y65" s="126"/>
      <c r="Z65" s="126"/>
      <c r="AA65" s="126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</row>
    <row r="66" spans="2:100" ht="18" customHeight="1" x14ac:dyDescent="0.2">
      <c r="B66" s="1" t="s">
        <v>184</v>
      </c>
      <c r="C66"/>
      <c r="D66"/>
      <c r="E66"/>
      <c r="F66"/>
      <c r="G66"/>
      <c r="H66"/>
      <c r="I66"/>
      <c r="J66"/>
      <c r="K66" s="184"/>
      <c r="L66" s="184"/>
      <c r="M66" s="184"/>
      <c r="N66" s="184"/>
      <c r="O66" s="184"/>
      <c r="P66" s="184"/>
      <c r="Q66" s="184"/>
      <c r="R66" s="184"/>
      <c r="S66" s="126"/>
      <c r="T66" s="126"/>
      <c r="U66" s="126"/>
      <c r="V66" s="126"/>
      <c r="W66" s="126"/>
      <c r="X66" s="126"/>
      <c r="Y66" s="126"/>
      <c r="Z66" s="126"/>
      <c r="AA66" s="126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</row>
    <row r="67" spans="2:100" ht="18" customHeight="1" x14ac:dyDescent="0.25">
      <c r="B67" s="1" t="s">
        <v>185</v>
      </c>
      <c r="C67"/>
      <c r="D67"/>
      <c r="E67"/>
      <c r="F67"/>
      <c r="G67"/>
      <c r="H67"/>
      <c r="I67"/>
      <c r="J67"/>
      <c r="K67" s="184"/>
      <c r="L67" s="184"/>
      <c r="M67" s="184"/>
      <c r="N67" s="184"/>
      <c r="O67" s="184"/>
      <c r="P67" s="184"/>
      <c r="Q67" s="184"/>
      <c r="R67" s="184"/>
      <c r="S67" s="126"/>
      <c r="T67" s="126"/>
      <c r="U67" s="126"/>
      <c r="V67" s="126"/>
      <c r="W67" s="126"/>
      <c r="X67" s="126"/>
      <c r="Y67" s="126"/>
      <c r="Z67" s="126"/>
      <c r="AA67" s="126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</row>
    <row r="68" spans="2:100" ht="18" customHeight="1" x14ac:dyDescent="0.2">
      <c r="B68" s="1"/>
      <c r="C68"/>
      <c r="D68"/>
      <c r="E68"/>
      <c r="F68"/>
      <c r="G68" s="2" t="s">
        <v>186</v>
      </c>
      <c r="H68"/>
      <c r="I68"/>
      <c r="J68"/>
      <c r="K68" s="184"/>
      <c r="L68" s="184"/>
      <c r="M68" s="184"/>
      <c r="N68" s="184"/>
      <c r="O68" s="184"/>
      <c r="P68" s="184"/>
      <c r="Q68" s="184"/>
      <c r="R68" s="184"/>
      <c r="S68" s="126"/>
      <c r="T68" s="126"/>
      <c r="U68" s="126"/>
      <c r="V68" s="126"/>
      <c r="W68" s="126"/>
      <c r="X68" s="126"/>
      <c r="Y68" s="126"/>
      <c r="Z68" s="126"/>
      <c r="AA68" s="126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38"/>
    </row>
    <row r="69" spans="2:100" ht="18" customHeight="1" x14ac:dyDescent="0.2">
      <c r="B69" s="370" t="s">
        <v>187</v>
      </c>
      <c r="C69" s="371"/>
      <c r="D69" s="372" t="s">
        <v>188</v>
      </c>
      <c r="E69" s="373"/>
      <c r="G69" s="2" t="s">
        <v>189</v>
      </c>
      <c r="K69" s="184"/>
      <c r="L69" s="184"/>
      <c r="M69" s="184"/>
      <c r="N69" s="184"/>
      <c r="O69" s="184"/>
      <c r="P69" s="184"/>
      <c r="Q69" s="184"/>
      <c r="R69" s="184"/>
      <c r="S69" s="126"/>
      <c r="T69" s="126"/>
      <c r="U69" s="126"/>
      <c r="V69" s="126"/>
      <c r="W69" s="126"/>
      <c r="X69" s="126"/>
      <c r="Y69" s="126"/>
      <c r="Z69" s="126"/>
      <c r="AA69" s="126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38"/>
    </row>
    <row r="70" spans="2:100" ht="18" customHeight="1" x14ac:dyDescent="0.2">
      <c r="B70" s="374" t="s">
        <v>190</v>
      </c>
      <c r="C70" s="375" t="s">
        <v>191</v>
      </c>
      <c r="D70" s="376" t="s">
        <v>192</v>
      </c>
      <c r="E70" s="377" t="s">
        <v>193</v>
      </c>
      <c r="G70" s="2" t="s">
        <v>194</v>
      </c>
      <c r="K70" s="184"/>
      <c r="L70" s="184"/>
      <c r="M70" s="184"/>
      <c r="N70" s="184"/>
      <c r="O70" s="184"/>
      <c r="P70" s="184"/>
      <c r="Q70" s="184"/>
      <c r="R70" s="184"/>
      <c r="S70" s="126"/>
      <c r="T70" s="126"/>
      <c r="U70" s="126"/>
      <c r="V70" s="126"/>
      <c r="W70" s="126"/>
      <c r="X70" s="126"/>
      <c r="Y70" s="126"/>
      <c r="Z70" s="126"/>
      <c r="AA70" s="126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38"/>
    </row>
    <row r="71" spans="2:100" ht="18" customHeight="1" x14ac:dyDescent="0.35">
      <c r="B71" s="378" t="s">
        <v>195</v>
      </c>
      <c r="C71" s="615">
        <f>K27</f>
        <v>-1.0777515789473675</v>
      </c>
      <c r="D71" s="616">
        <f>$C71-t*SQRT($K$52)</f>
        <v>-1.7351480048080314</v>
      </c>
      <c r="E71" s="617">
        <f>$C71+t*SQRT($K$52)</f>
        <v>-0.42035515308670357</v>
      </c>
      <c r="K71" s="184"/>
      <c r="L71" s="184"/>
      <c r="M71" s="184"/>
      <c r="N71" s="184"/>
      <c r="O71" s="184"/>
      <c r="P71" s="184"/>
      <c r="Q71" s="184"/>
      <c r="R71" s="184"/>
      <c r="S71" s="126"/>
      <c r="T71" s="126"/>
      <c r="U71" s="126"/>
      <c r="V71" s="126"/>
      <c r="W71" s="126"/>
      <c r="X71" s="126"/>
      <c r="Y71" s="126"/>
      <c r="Z71" s="126"/>
      <c r="AA71" s="126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38"/>
    </row>
    <row r="72" spans="2:100" ht="18" customHeight="1" x14ac:dyDescent="0.35">
      <c r="B72" s="378" t="s">
        <v>196</v>
      </c>
      <c r="C72" s="615">
        <f>K28</f>
        <v>1.9005073684210547</v>
      </c>
      <c r="D72" s="616">
        <f>$C72-t*SQRT($L$53)</f>
        <v>1.775712753624102</v>
      </c>
      <c r="E72" s="617">
        <f>$C72+t*SQRT($L$53)</f>
        <v>2.0253019832180077</v>
      </c>
      <c r="G72" s="2" t="s">
        <v>197</v>
      </c>
      <c r="K72" s="184"/>
      <c r="L72" s="184"/>
      <c r="M72" s="184"/>
      <c r="N72" s="184"/>
      <c r="O72" s="184"/>
      <c r="P72" s="184"/>
      <c r="Q72" s="184"/>
      <c r="R72" s="184"/>
      <c r="S72" s="126"/>
      <c r="T72" s="126"/>
      <c r="U72" s="126"/>
      <c r="V72" s="126"/>
      <c r="W72" s="126"/>
      <c r="X72" s="126"/>
      <c r="Y72" s="126"/>
      <c r="Z72" s="126"/>
      <c r="AA72" s="126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  <c r="BS72" s="238"/>
      <c r="BT72" s="238"/>
      <c r="BU72" s="238"/>
      <c r="BV72" s="238"/>
      <c r="BW72" s="238"/>
      <c r="BX72" s="238"/>
      <c r="BY72" s="238"/>
      <c r="BZ72" s="238"/>
      <c r="CA72" s="238"/>
      <c r="CB72" s="238"/>
      <c r="CC72" s="238"/>
      <c r="CD72" s="238"/>
      <c r="CE72" s="238"/>
      <c r="CF72" s="238"/>
      <c r="CG72" s="238"/>
      <c r="CH72" s="238"/>
      <c r="CI72" s="238"/>
      <c r="CJ72" s="238"/>
      <c r="CK72" s="238"/>
      <c r="CL72" s="238"/>
      <c r="CM72" s="238"/>
      <c r="CN72" s="238"/>
      <c r="CO72" s="238"/>
      <c r="CP72" s="238"/>
      <c r="CQ72" s="238"/>
      <c r="CR72" s="238"/>
      <c r="CS72" s="238"/>
      <c r="CT72" s="238"/>
      <c r="CU72" s="238"/>
      <c r="CV72" s="238"/>
    </row>
    <row r="73" spans="2:100" ht="18" customHeight="1" x14ac:dyDescent="0.25">
      <c r="B73" s="378" t="s">
        <v>198</v>
      </c>
      <c r="C73" s="615">
        <f>K49</f>
        <v>0.49856015284198668</v>
      </c>
      <c r="D73" s="616">
        <f>df*C73/CHIINV(0.025,df)</f>
        <v>0.28073002012505865</v>
      </c>
      <c r="E73" s="617">
        <f>df*C73/CHIINV(0.975,df)</f>
        <v>1.1204803920171875</v>
      </c>
      <c r="G73" s="2" t="s">
        <v>199</v>
      </c>
      <c r="K73" s="184"/>
      <c r="L73" s="184"/>
      <c r="M73" s="184"/>
      <c r="N73" s="184"/>
      <c r="O73" s="184"/>
      <c r="P73" s="184"/>
      <c r="Q73" s="184"/>
      <c r="R73" s="184"/>
      <c r="S73" s="126"/>
      <c r="T73" s="126"/>
      <c r="U73" s="126"/>
      <c r="V73" s="126"/>
      <c r="W73" s="126"/>
      <c r="X73" s="126"/>
      <c r="Y73" s="126"/>
      <c r="Z73" s="126"/>
      <c r="AA73" s="126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8"/>
      <c r="BU73" s="238"/>
      <c r="BV73" s="238"/>
      <c r="BW73" s="238"/>
      <c r="BX73" s="238"/>
      <c r="BY73" s="238"/>
      <c r="BZ73" s="238"/>
      <c r="CA73" s="238"/>
      <c r="CB73" s="238"/>
      <c r="CC73" s="238"/>
      <c r="CD73" s="238"/>
      <c r="CE73" s="238"/>
      <c r="CF73" s="238"/>
      <c r="CG73" s="238"/>
      <c r="CH73" s="238"/>
      <c r="CI73" s="238"/>
      <c r="CJ73" s="238"/>
      <c r="CK73" s="238"/>
      <c r="CL73" s="238"/>
      <c r="CM73" s="238"/>
      <c r="CN73" s="238"/>
      <c r="CO73" s="238"/>
      <c r="CP73" s="238"/>
      <c r="CQ73" s="238"/>
      <c r="CR73" s="238"/>
      <c r="CS73" s="238"/>
      <c r="CT73" s="238"/>
      <c r="CU73" s="238"/>
      <c r="CV73" s="238"/>
    </row>
    <row r="74" spans="2:100" ht="18" customHeight="1" x14ac:dyDescent="0.25">
      <c r="B74" s="379" t="s">
        <v>200</v>
      </c>
      <c r="C74" s="618">
        <f>SQRT(C73)</f>
        <v>0.70608792146728205</v>
      </c>
      <c r="D74" s="619">
        <f>SQRT(D73)</f>
        <v>0.52983961736081864</v>
      </c>
      <c r="E74" s="620">
        <f>SQRT(E73)</f>
        <v>1.0585274639881517</v>
      </c>
      <c r="G74" s="2" t="s">
        <v>201</v>
      </c>
      <c r="K74" s="184"/>
      <c r="L74" s="184"/>
      <c r="M74" s="184"/>
      <c r="N74" s="184"/>
      <c r="O74" s="184"/>
      <c r="P74" s="184"/>
      <c r="Q74" s="184"/>
      <c r="R74" s="184"/>
      <c r="S74" s="126"/>
      <c r="T74" s="126"/>
      <c r="U74" s="126"/>
      <c r="V74" s="126"/>
      <c r="W74" s="126"/>
      <c r="X74" s="126"/>
      <c r="Y74" s="126"/>
      <c r="Z74" s="126"/>
      <c r="AA74" s="126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8"/>
      <c r="CN74" s="238"/>
      <c r="CO74" s="238"/>
      <c r="CP74" s="238"/>
      <c r="CQ74" s="238"/>
      <c r="CR74" s="238"/>
      <c r="CS74" s="238"/>
      <c r="CT74" s="238"/>
      <c r="CU74" s="238"/>
      <c r="CV74" s="238"/>
    </row>
    <row r="75" spans="2:100" ht="18" customHeight="1" x14ac:dyDescent="0.25">
      <c r="B75" s="380" t="s">
        <v>202</v>
      </c>
      <c r="C75" s="381">
        <f>K34</f>
        <v>17</v>
      </c>
      <c r="G75" s="2" t="s">
        <v>203</v>
      </c>
      <c r="K75" s="184"/>
      <c r="L75" s="184"/>
      <c r="M75" s="184"/>
      <c r="N75" s="184"/>
      <c r="O75" s="184"/>
      <c r="P75" s="184"/>
      <c r="Q75" s="184"/>
      <c r="R75" s="184"/>
      <c r="S75" s="126"/>
      <c r="T75" s="126"/>
      <c r="U75" s="126"/>
      <c r="V75" s="126"/>
      <c r="W75" s="126"/>
      <c r="X75" s="126"/>
      <c r="Y75" s="126"/>
      <c r="Z75" s="126"/>
      <c r="AA75" s="126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  <c r="BS75" s="238"/>
      <c r="BT75" s="238"/>
      <c r="BU75" s="238"/>
      <c r="BV75" s="238"/>
      <c r="BW75" s="238"/>
      <c r="BX75" s="238"/>
      <c r="BY75" s="238"/>
      <c r="BZ75" s="238"/>
      <c r="CA75" s="238"/>
      <c r="CB75" s="238"/>
      <c r="CC75" s="238"/>
      <c r="CD75" s="238"/>
      <c r="CE75" s="238"/>
      <c r="CF75" s="238"/>
      <c r="CG75" s="238"/>
      <c r="CH75" s="238"/>
      <c r="CI75" s="238"/>
      <c r="CJ75" s="238"/>
      <c r="CK75" s="238"/>
      <c r="CL75" s="238"/>
      <c r="CM75" s="238"/>
      <c r="CN75" s="238"/>
      <c r="CO75" s="238"/>
      <c r="CP75" s="238"/>
      <c r="CQ75" s="238"/>
      <c r="CR75" s="238"/>
      <c r="CS75" s="238"/>
      <c r="CT75" s="238"/>
      <c r="CU75" s="238"/>
      <c r="CV75" s="238"/>
    </row>
    <row r="76" spans="2:100" ht="18" customHeight="1" x14ac:dyDescent="0.25">
      <c r="B76" s="379" t="s">
        <v>204</v>
      </c>
      <c r="C76" s="620">
        <f>t</f>
        <v>2.109815577833317</v>
      </c>
      <c r="G76" s="2" t="s">
        <v>205</v>
      </c>
      <c r="K76" s="184"/>
      <c r="L76" s="184"/>
      <c r="M76" s="184"/>
      <c r="N76" s="184"/>
      <c r="O76" s="184"/>
      <c r="P76" s="184"/>
      <c r="Q76" s="184"/>
      <c r="R76" s="184"/>
      <c r="S76" s="126"/>
      <c r="T76" s="126"/>
      <c r="U76" s="126"/>
      <c r="V76" s="126"/>
      <c r="W76" s="126"/>
      <c r="X76" s="126"/>
      <c r="Y76" s="126"/>
      <c r="Z76" s="126"/>
      <c r="AA76" s="126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</row>
    <row r="77" spans="2:100" ht="18" customHeight="1" x14ac:dyDescent="0.2">
      <c r="K77" s="184"/>
      <c r="L77" s="184"/>
      <c r="M77" s="184"/>
      <c r="N77" s="184"/>
      <c r="O77" s="184"/>
      <c r="P77" s="184"/>
      <c r="Q77" s="184"/>
      <c r="R77" s="184"/>
      <c r="S77" s="126"/>
      <c r="T77" s="126"/>
      <c r="U77" s="126"/>
      <c r="V77" s="126"/>
      <c r="W77" s="126"/>
      <c r="X77" s="126"/>
      <c r="Y77" s="126"/>
      <c r="Z77" s="126"/>
      <c r="AA77" s="126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8"/>
      <c r="CD77" s="238"/>
      <c r="CE77" s="238"/>
      <c r="CF77" s="238"/>
      <c r="CG77" s="238"/>
      <c r="CH77" s="238"/>
      <c r="CI77" s="238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</row>
    <row r="78" spans="2:100" ht="18" customHeight="1" x14ac:dyDescent="0.2">
      <c r="B78" s="382" t="s">
        <v>206</v>
      </c>
      <c r="C78" s="383"/>
      <c r="D78" s="384" t="s">
        <v>188</v>
      </c>
      <c r="E78" s="385"/>
      <c r="G78" s="2" t="s">
        <v>207</v>
      </c>
      <c r="K78" s="184"/>
      <c r="L78" s="184"/>
      <c r="M78" s="184"/>
      <c r="N78" s="184"/>
      <c r="O78" s="184"/>
      <c r="P78" s="184"/>
      <c r="Q78" s="184"/>
      <c r="R78" s="184"/>
      <c r="S78" s="126"/>
      <c r="T78" s="126"/>
      <c r="U78" s="126"/>
      <c r="V78" s="126"/>
      <c r="W78" s="126"/>
      <c r="X78" s="126"/>
      <c r="Y78" s="126"/>
      <c r="Z78" s="126"/>
      <c r="AA78" s="126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</row>
    <row r="79" spans="2:100" ht="18" customHeight="1" x14ac:dyDescent="0.2">
      <c r="B79" s="386" t="s">
        <v>190</v>
      </c>
      <c r="C79" s="387" t="s">
        <v>191</v>
      </c>
      <c r="D79" s="388" t="s">
        <v>192</v>
      </c>
      <c r="E79" s="389" t="s">
        <v>193</v>
      </c>
      <c r="G79" s="2" t="s">
        <v>208</v>
      </c>
      <c r="K79" s="184"/>
      <c r="L79" s="184"/>
      <c r="M79" s="184"/>
      <c r="N79" s="184"/>
      <c r="O79" s="184"/>
      <c r="P79" s="184"/>
      <c r="Q79" s="184"/>
      <c r="R79" s="184"/>
      <c r="S79" s="126"/>
      <c r="T79" s="126"/>
      <c r="U79" s="126"/>
      <c r="V79" s="126"/>
      <c r="W79" s="126"/>
      <c r="X79" s="126"/>
      <c r="Y79" s="126"/>
      <c r="Z79" s="126"/>
      <c r="AA79" s="126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  <c r="BS79" s="238"/>
      <c r="BT79" s="238"/>
      <c r="BU79" s="238"/>
      <c r="BV79" s="238"/>
      <c r="BW79" s="238"/>
      <c r="BX79" s="238"/>
      <c r="BY79" s="238"/>
      <c r="BZ79" s="238"/>
      <c r="CA79" s="238"/>
      <c r="CB79" s="238"/>
      <c r="CC79" s="238"/>
      <c r="CD79" s="238"/>
      <c r="CE79" s="238"/>
      <c r="CF79" s="238"/>
      <c r="CG79" s="238"/>
      <c r="CH79" s="238"/>
      <c r="CI79" s="238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  <c r="CV79" s="238"/>
    </row>
    <row r="80" spans="2:100" ht="18" customHeight="1" x14ac:dyDescent="0.35">
      <c r="B80" s="390" t="s">
        <v>195</v>
      </c>
      <c r="C80" s="621">
        <f>U30</f>
        <v>0.19642135338347089</v>
      </c>
      <c r="D80" s="622">
        <f>$C80-$C$86*$U$59</f>
        <v>0.1960235442167608</v>
      </c>
      <c r="E80" s="623">
        <f>$C80+$C$86*$U$59</f>
        <v>0.19681916255018098</v>
      </c>
      <c r="G80" s="2" t="s">
        <v>209</v>
      </c>
      <c r="K80" s="184"/>
      <c r="L80" s="184"/>
      <c r="M80" s="184"/>
      <c r="N80" s="184"/>
      <c r="O80" s="184"/>
      <c r="P80" s="184"/>
      <c r="Q80" s="184"/>
      <c r="R80" s="184"/>
      <c r="S80" s="126"/>
      <c r="T80" s="126"/>
      <c r="U80" s="126"/>
      <c r="V80" s="126"/>
      <c r="W80" s="126"/>
      <c r="X80" s="126"/>
      <c r="Y80" s="126"/>
      <c r="Z80" s="126"/>
      <c r="AA80" s="126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8"/>
      <c r="CD80" s="238"/>
      <c r="CE80" s="238"/>
      <c r="CF80" s="238"/>
      <c r="CG80" s="238"/>
      <c r="CH80" s="238"/>
      <c r="CI80" s="238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</row>
    <row r="81" spans="2:100" ht="18" customHeight="1" x14ac:dyDescent="0.35">
      <c r="B81" s="390" t="s">
        <v>196</v>
      </c>
      <c r="C81" s="621">
        <f>U31</f>
        <v>1.0010911808934111</v>
      </c>
      <c r="D81" s="622">
        <f>$C81-$C$86*$V$60</f>
        <v>1.0009856204843306</v>
      </c>
      <c r="E81" s="623">
        <f>$C81+$C$86*$V$60</f>
        <v>1.0011967413024916</v>
      </c>
      <c r="G81" s="2" t="s">
        <v>210</v>
      </c>
      <c r="K81" s="184"/>
      <c r="L81" s="184"/>
      <c r="M81" s="184"/>
      <c r="N81" s="184"/>
      <c r="O81" s="184"/>
      <c r="P81" s="184"/>
      <c r="Q81" s="184"/>
      <c r="R81" s="184"/>
      <c r="S81" s="126"/>
      <c r="T81" s="126"/>
      <c r="U81" s="126"/>
      <c r="V81" s="126"/>
      <c r="W81" s="126"/>
      <c r="X81" s="126"/>
      <c r="Y81" s="126"/>
      <c r="Z81" s="126"/>
      <c r="AA81" s="126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  <c r="BS81" s="238"/>
      <c r="BT81" s="238"/>
      <c r="BU81" s="238"/>
      <c r="BV81" s="238"/>
      <c r="BW81" s="238"/>
      <c r="BX81" s="238"/>
      <c r="BY81" s="238"/>
      <c r="BZ81" s="238"/>
      <c r="CA81" s="238"/>
      <c r="CB81" s="238"/>
      <c r="CC81" s="238"/>
      <c r="CD81" s="238"/>
      <c r="CE81" s="238"/>
      <c r="CF81" s="238"/>
      <c r="CG81" s="238"/>
      <c r="CH81" s="238"/>
      <c r="CI81" s="238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</row>
    <row r="82" spans="2:100" ht="18" customHeight="1" x14ac:dyDescent="0.35">
      <c r="B82" s="390" t="s">
        <v>211</v>
      </c>
      <c r="C82" s="621">
        <f>U32</f>
        <v>9.9935131947515465E-2</v>
      </c>
      <c r="D82" s="622">
        <f>$C82-$C$86*$W$61</f>
        <v>9.993391791175836E-2</v>
      </c>
      <c r="E82" s="623">
        <f>$C82+$C$86*$W$61</f>
        <v>9.993634598327257E-2</v>
      </c>
      <c r="G82" s="2" t="s">
        <v>212</v>
      </c>
      <c r="K82" s="184"/>
      <c r="L82" s="184"/>
      <c r="M82" s="184"/>
      <c r="N82" s="184"/>
      <c r="O82" s="184"/>
      <c r="P82" s="184"/>
      <c r="Q82" s="184"/>
      <c r="R82" s="184"/>
      <c r="S82" s="126"/>
      <c r="T82" s="126"/>
      <c r="U82" s="126"/>
      <c r="V82" s="126"/>
      <c r="W82" s="126"/>
      <c r="X82" s="126"/>
      <c r="Y82" s="126"/>
      <c r="Z82" s="126"/>
      <c r="AA82" s="126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</row>
    <row r="83" spans="2:100" ht="18" customHeight="1" x14ac:dyDescent="0.25">
      <c r="B83" s="390" t="s">
        <v>198</v>
      </c>
      <c r="C83" s="621">
        <f>U47</f>
        <v>4.8556441079483648E-4</v>
      </c>
      <c r="D83" s="622">
        <f>(df-1)*C83/CHIINV(0.024,df-1)</f>
        <v>2.6798504405815279E-4</v>
      </c>
      <c r="E83" s="623">
        <f>(df-1)*C83/CHIINV(0.975,df-1)</f>
        <v>1.1246971733338948E-3</v>
      </c>
      <c r="K83" s="184"/>
      <c r="L83" s="184"/>
      <c r="M83" s="184"/>
      <c r="N83" s="184"/>
      <c r="O83" s="184"/>
      <c r="P83" s="184"/>
      <c r="Q83" s="184"/>
      <c r="R83" s="184"/>
      <c r="S83" s="126"/>
      <c r="T83" s="126"/>
      <c r="U83" s="126"/>
      <c r="V83" s="126"/>
      <c r="W83" s="126"/>
      <c r="X83" s="126"/>
      <c r="Y83" s="126"/>
      <c r="Z83" s="126"/>
      <c r="AA83" s="126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  <c r="BS83" s="238"/>
      <c r="BT83" s="238"/>
      <c r="BU83" s="238"/>
      <c r="BV83" s="238"/>
      <c r="BW83" s="238"/>
      <c r="BX83" s="238"/>
      <c r="BY83" s="238"/>
      <c r="BZ83" s="238"/>
      <c r="CA83" s="238"/>
      <c r="CB83" s="238"/>
      <c r="CC83" s="238"/>
      <c r="CD83" s="238"/>
      <c r="CE83" s="238"/>
      <c r="CF83" s="238"/>
      <c r="CG83" s="238"/>
      <c r="CH83" s="238"/>
      <c r="CI83" s="238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</row>
    <row r="84" spans="2:100" ht="18" customHeight="1" x14ac:dyDescent="0.25">
      <c r="B84" s="391" t="s">
        <v>200</v>
      </c>
      <c r="C84" s="624">
        <f>SQRT(C83)</f>
        <v>2.2035526106604229E-2</v>
      </c>
      <c r="D84" s="625">
        <f>SQRT(D83)</f>
        <v>1.6370248747595524E-2</v>
      </c>
      <c r="E84" s="626">
        <f>SQRT(E83)</f>
        <v>3.3536505085263353E-2</v>
      </c>
      <c r="G84" s="2" t="s">
        <v>213</v>
      </c>
      <c r="K84" s="184"/>
      <c r="L84" s="184"/>
      <c r="M84" s="184"/>
      <c r="N84" s="184"/>
      <c r="O84" s="184"/>
      <c r="P84" s="184"/>
      <c r="Q84" s="184"/>
      <c r="R84" s="184"/>
      <c r="S84" s="126"/>
      <c r="T84" s="126"/>
      <c r="U84" s="126"/>
      <c r="V84" s="126"/>
      <c r="W84" s="126"/>
      <c r="X84" s="126"/>
      <c r="Y84" s="126"/>
      <c r="Z84" s="126"/>
      <c r="AA84" s="126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8"/>
      <c r="CH84" s="238"/>
      <c r="CI84" s="238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</row>
    <row r="85" spans="2:100" ht="18" customHeight="1" x14ac:dyDescent="0.25">
      <c r="B85" s="392" t="s">
        <v>202</v>
      </c>
      <c r="C85" s="393">
        <f>df-1</f>
        <v>16</v>
      </c>
      <c r="G85" s="2" t="s">
        <v>214</v>
      </c>
      <c r="K85" s="184"/>
      <c r="L85" s="184"/>
      <c r="M85" s="184"/>
      <c r="N85" s="184"/>
      <c r="O85" s="184"/>
      <c r="P85" s="184"/>
      <c r="Q85" s="184"/>
      <c r="R85" s="184"/>
      <c r="S85" s="126"/>
      <c r="T85" s="126"/>
      <c r="U85" s="126"/>
      <c r="V85" s="126"/>
      <c r="W85" s="126"/>
      <c r="X85" s="126"/>
      <c r="Y85" s="126"/>
      <c r="Z85" s="126"/>
      <c r="AA85" s="126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</row>
    <row r="86" spans="2:100" ht="18" customHeight="1" x14ac:dyDescent="0.25">
      <c r="B86" s="391" t="s">
        <v>204</v>
      </c>
      <c r="C86" s="626">
        <f>U35</f>
        <v>2.119905299221255</v>
      </c>
      <c r="G86" s="2" t="s">
        <v>215</v>
      </c>
      <c r="K86" s="184"/>
      <c r="L86" s="184"/>
      <c r="M86" s="184"/>
      <c r="N86" s="184"/>
      <c r="O86" s="184"/>
      <c r="P86" s="184"/>
      <c r="Q86" s="184"/>
      <c r="R86" s="184"/>
      <c r="S86" s="126"/>
      <c r="T86" s="126"/>
      <c r="U86" s="126"/>
      <c r="V86" s="126"/>
      <c r="W86" s="126"/>
      <c r="X86" s="126"/>
      <c r="Y86" s="126"/>
      <c r="Z86" s="126"/>
      <c r="AA86" s="126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</row>
    <row r="87" spans="2:100" ht="18" customHeight="1" x14ac:dyDescent="0.2">
      <c r="G87" s="2" t="s">
        <v>216</v>
      </c>
      <c r="K87" s="184"/>
      <c r="L87" s="184"/>
      <c r="M87" s="184"/>
      <c r="N87" s="184"/>
      <c r="O87" s="184"/>
      <c r="P87" s="184"/>
      <c r="Q87" s="184"/>
      <c r="R87" s="184"/>
      <c r="S87" s="126"/>
      <c r="T87" s="126"/>
      <c r="U87" s="126"/>
      <c r="V87" s="126"/>
      <c r="W87" s="126"/>
      <c r="X87" s="126"/>
      <c r="Y87" s="126"/>
      <c r="Z87" s="126"/>
      <c r="AA87" s="126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238"/>
      <c r="BF87" s="238"/>
      <c r="BG87" s="238"/>
      <c r="BH87" s="238"/>
      <c r="BI87" s="238"/>
      <c r="BJ87" s="238"/>
      <c r="BK87" s="238"/>
      <c r="BL87" s="238"/>
      <c r="BM87" s="238"/>
      <c r="BN87" s="238"/>
      <c r="BO87" s="238"/>
      <c r="BP87" s="238"/>
      <c r="BQ87" s="238"/>
      <c r="BR87" s="238"/>
      <c r="BS87" s="238"/>
      <c r="BT87" s="238"/>
      <c r="BU87" s="238"/>
      <c r="BV87" s="238"/>
      <c r="BW87" s="238"/>
      <c r="BX87" s="238"/>
      <c r="BY87" s="238"/>
      <c r="BZ87" s="238"/>
      <c r="CA87" s="238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</row>
    <row r="88" spans="2:100" ht="18" customHeight="1" x14ac:dyDescent="0.2">
      <c r="B88" s="2" t="s">
        <v>217</v>
      </c>
      <c r="K88" s="184"/>
      <c r="L88" s="184"/>
      <c r="M88" s="184"/>
      <c r="N88" s="184"/>
      <c r="O88" s="184"/>
      <c r="P88" s="184"/>
      <c r="Q88" s="184"/>
      <c r="R88" s="184"/>
      <c r="S88" s="126"/>
      <c r="T88" s="126"/>
      <c r="U88" s="126"/>
      <c r="V88" s="126"/>
      <c r="W88" s="126"/>
      <c r="X88" s="126"/>
      <c r="Y88" s="126"/>
      <c r="Z88" s="126"/>
      <c r="AA88" s="126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</row>
    <row r="89" spans="2:100" ht="18" customHeight="1" x14ac:dyDescent="0.2">
      <c r="B89" s="5" t="s">
        <v>218</v>
      </c>
      <c r="C89" s="673">
        <f>U53</f>
        <v>1026.7641980306528</v>
      </c>
      <c r="K89" s="184"/>
      <c r="L89" s="184"/>
      <c r="M89" s="184"/>
      <c r="N89" s="184"/>
      <c r="O89" s="184"/>
      <c r="P89" s="184"/>
      <c r="Q89" s="184"/>
      <c r="R89" s="184"/>
      <c r="S89" s="126"/>
      <c r="T89" s="126"/>
      <c r="U89" s="126"/>
      <c r="V89" s="126"/>
      <c r="W89" s="126"/>
      <c r="X89" s="126"/>
      <c r="Y89" s="126"/>
      <c r="Z89" s="126"/>
      <c r="AA89" s="126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</row>
    <row r="90" spans="2:100" ht="18" customHeight="1" x14ac:dyDescent="0.2">
      <c r="B90" s="5" t="s">
        <v>219</v>
      </c>
      <c r="C90" s="639">
        <f>U50</f>
        <v>2.3167218381527981</v>
      </c>
      <c r="D90" s="1" t="s">
        <v>220</v>
      </c>
      <c r="K90" s="184"/>
      <c r="L90" s="184"/>
      <c r="M90" s="184"/>
      <c r="N90" s="184"/>
      <c r="O90" s="184"/>
      <c r="P90" s="184"/>
      <c r="Q90" s="184"/>
      <c r="R90" s="184"/>
      <c r="S90" s="126"/>
      <c r="T90" s="126"/>
      <c r="U90" s="126"/>
      <c r="V90" s="126"/>
      <c r="W90" s="126"/>
      <c r="X90" s="126"/>
      <c r="Y90" s="126"/>
      <c r="Z90" s="126"/>
      <c r="AA90" s="126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38"/>
      <c r="BW90" s="238"/>
      <c r="BX90" s="238"/>
      <c r="BY90" s="238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</row>
    <row r="91" spans="2:100" ht="18" customHeight="1" x14ac:dyDescent="0.2">
      <c r="B91" s="19" t="str">
        <f>B152</f>
        <v>The quadratic model produces a significantly smaller overall uncertainty of fit.</v>
      </c>
      <c r="K91" s="184"/>
      <c r="L91" s="184"/>
      <c r="M91" s="184"/>
      <c r="N91" s="184"/>
      <c r="O91" s="184"/>
      <c r="P91" s="184"/>
      <c r="Q91" s="184"/>
      <c r="R91" s="184"/>
      <c r="S91" s="126"/>
      <c r="T91" s="126"/>
      <c r="U91" s="126"/>
      <c r="V91" s="126"/>
      <c r="W91" s="126"/>
      <c r="X91" s="126"/>
      <c r="Y91" s="126"/>
      <c r="Z91" s="126"/>
      <c r="AA91" s="126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</row>
    <row r="92" spans="2:100" ht="18" customHeight="1" x14ac:dyDescent="0.2">
      <c r="B92" s="19" t="str">
        <f>B153</f>
        <v>The quadratic model appears to be the better choice.</v>
      </c>
      <c r="K92" s="184"/>
      <c r="L92" s="184"/>
      <c r="M92" s="184"/>
      <c r="N92" s="184"/>
      <c r="O92" s="184"/>
      <c r="P92" s="184"/>
      <c r="Q92" s="184"/>
      <c r="R92" s="184"/>
      <c r="S92" s="126"/>
      <c r="T92" s="126"/>
      <c r="U92" s="126"/>
      <c r="V92" s="126"/>
      <c r="W92" s="126"/>
      <c r="X92" s="126"/>
      <c r="Y92" s="126"/>
      <c r="Z92" s="126"/>
      <c r="AA92" s="126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</row>
    <row r="93" spans="2:100" ht="18" customHeight="1" x14ac:dyDescent="0.2">
      <c r="B93" s="5"/>
      <c r="K93" s="184"/>
      <c r="L93" s="184"/>
      <c r="M93" s="184"/>
      <c r="N93" s="184"/>
      <c r="O93" s="184"/>
      <c r="P93" s="184"/>
      <c r="Q93" s="184"/>
      <c r="R93" s="184"/>
      <c r="S93" s="126"/>
      <c r="T93" s="126"/>
      <c r="U93" s="126"/>
      <c r="V93" s="126"/>
      <c r="W93" s="126"/>
      <c r="X93" s="126"/>
      <c r="Y93" s="126"/>
      <c r="Z93" s="126"/>
      <c r="AA93" s="126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  <c r="BX93" s="238"/>
      <c r="BY93" s="238"/>
      <c r="BZ93" s="238"/>
      <c r="CA93" s="238"/>
      <c r="CB93" s="238"/>
      <c r="CC93" s="238"/>
      <c r="CD93" s="238"/>
      <c r="CE93" s="238"/>
      <c r="CF93" s="238"/>
      <c r="CG93" s="238"/>
      <c r="CH93" s="238"/>
      <c r="CI93" s="238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  <c r="CV93" s="238"/>
    </row>
    <row r="94" spans="2:100" ht="18" customHeight="1" x14ac:dyDescent="0.2">
      <c r="B94" s="2" t="s">
        <v>221</v>
      </c>
      <c r="K94" s="184"/>
      <c r="L94" s="184"/>
      <c r="M94" s="184"/>
      <c r="N94" s="184"/>
      <c r="O94" s="184"/>
      <c r="P94" s="184"/>
      <c r="Q94" s="184"/>
      <c r="R94" s="184"/>
      <c r="S94" s="126"/>
      <c r="T94" s="126"/>
      <c r="U94" s="126"/>
      <c r="V94" s="126"/>
      <c r="W94" s="126"/>
      <c r="X94" s="126"/>
      <c r="Y94" s="126"/>
      <c r="Z94" s="126"/>
      <c r="AA94" s="126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238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38"/>
      <c r="BW94" s="238"/>
      <c r="BX94" s="238"/>
      <c r="BY94" s="238"/>
      <c r="BZ94" s="238"/>
      <c r="CA94" s="238"/>
      <c r="CB94" s="238"/>
      <c r="CC94" s="238"/>
      <c r="CD94" s="238"/>
      <c r="CE94" s="238"/>
      <c r="CF94" s="238"/>
      <c r="CG94" s="238"/>
      <c r="CH94" s="238"/>
      <c r="CI94" s="238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  <c r="CV94" s="238"/>
    </row>
    <row r="95" spans="2:100" ht="18" customHeight="1" x14ac:dyDescent="0.2">
      <c r="B95" s="1" t="s">
        <v>222</v>
      </c>
      <c r="K95" s="184"/>
      <c r="L95" s="184"/>
      <c r="M95" s="184"/>
      <c r="N95" s="184"/>
      <c r="O95" s="184"/>
      <c r="P95" s="184"/>
      <c r="Q95" s="184"/>
      <c r="R95" s="184"/>
      <c r="S95" s="126"/>
      <c r="T95" s="126"/>
      <c r="U95" s="126"/>
      <c r="V95" s="126"/>
      <c r="W95" s="126"/>
      <c r="X95" s="126"/>
      <c r="Y95" s="126"/>
      <c r="Z95" s="126"/>
      <c r="AA95" s="126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  <c r="BX95" s="238"/>
      <c r="BY95" s="238"/>
      <c r="BZ95" s="238"/>
      <c r="CA95" s="238"/>
      <c r="CB95" s="238"/>
      <c r="CC95" s="238"/>
      <c r="CD95" s="238"/>
      <c r="CE95" s="238"/>
      <c r="CF95" s="238"/>
      <c r="CG95" s="238"/>
      <c r="CH95" s="238"/>
      <c r="CI95" s="238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</row>
    <row r="96" spans="2:100" ht="18" customHeight="1" x14ac:dyDescent="0.25">
      <c r="B96" s="1" t="s">
        <v>223</v>
      </c>
      <c r="K96" s="184"/>
      <c r="L96" s="184"/>
      <c r="M96" s="184"/>
      <c r="N96" s="184"/>
      <c r="O96" s="184"/>
      <c r="P96" s="184"/>
      <c r="Q96" s="184"/>
      <c r="R96" s="184"/>
      <c r="S96" s="126"/>
      <c r="T96" s="126"/>
      <c r="U96" s="126"/>
      <c r="V96" s="126"/>
      <c r="W96" s="126"/>
      <c r="X96" s="126"/>
      <c r="Y96" s="126"/>
      <c r="Z96" s="126"/>
      <c r="AA96" s="126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238"/>
      <c r="BF96" s="238"/>
      <c r="BG96" s="238"/>
      <c r="BH96" s="238"/>
      <c r="BI96" s="238"/>
      <c r="BJ96" s="238"/>
      <c r="BK96" s="238"/>
      <c r="BL96" s="238"/>
      <c r="BM96" s="238"/>
      <c r="BN96" s="238"/>
      <c r="BO96" s="238"/>
      <c r="BP96" s="238"/>
      <c r="BQ96" s="238"/>
      <c r="BR96" s="238"/>
      <c r="BS96" s="238"/>
      <c r="BT96" s="238"/>
      <c r="BU96" s="238"/>
      <c r="BV96" s="238"/>
      <c r="BW96" s="238"/>
      <c r="BX96" s="238"/>
      <c r="BY96" s="238"/>
      <c r="BZ96" s="238"/>
      <c r="CA96" s="238"/>
      <c r="CB96" s="238"/>
      <c r="CC96" s="238"/>
      <c r="CD96" s="238"/>
      <c r="CE96" s="238"/>
      <c r="CF96" s="238"/>
      <c r="CG96" s="238"/>
      <c r="CH96" s="238"/>
      <c r="CI96" s="238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  <c r="CV96" s="238"/>
    </row>
    <row r="97" spans="2:100" ht="18" customHeight="1" x14ac:dyDescent="0.2">
      <c r="K97" s="184"/>
      <c r="L97" s="184"/>
      <c r="M97" s="184"/>
      <c r="N97" s="184"/>
      <c r="O97" s="184"/>
      <c r="P97" s="184"/>
      <c r="Q97" s="184"/>
      <c r="R97" s="184"/>
      <c r="S97" s="126"/>
      <c r="T97" s="126"/>
      <c r="U97" s="126"/>
      <c r="V97" s="126"/>
      <c r="W97" s="126"/>
      <c r="X97" s="126"/>
      <c r="Y97" s="126"/>
      <c r="Z97" s="126"/>
      <c r="AA97" s="126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</row>
    <row r="98" spans="2:100" ht="18" customHeight="1" x14ac:dyDescent="0.2">
      <c r="B98" s="394" t="s">
        <v>224</v>
      </c>
      <c r="C98" s="395"/>
      <c r="D98" s="396" t="s">
        <v>188</v>
      </c>
      <c r="E98" s="397"/>
      <c r="G98" s="2" t="s">
        <v>225</v>
      </c>
      <c r="K98" s="184"/>
      <c r="L98" s="184"/>
      <c r="M98" s="184"/>
      <c r="N98" s="184"/>
      <c r="O98" s="184"/>
      <c r="P98" s="184"/>
      <c r="Q98" s="184"/>
      <c r="R98" s="184"/>
      <c r="S98" s="126"/>
      <c r="T98" s="126"/>
      <c r="U98" s="126"/>
      <c r="V98" s="126"/>
      <c r="W98" s="126"/>
      <c r="X98" s="126"/>
      <c r="Y98" s="126"/>
      <c r="Z98" s="126"/>
      <c r="AA98" s="126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238"/>
      <c r="BF98" s="238"/>
      <c r="BG98" s="238"/>
      <c r="BH98" s="238"/>
      <c r="BI98" s="238"/>
      <c r="BJ98" s="238"/>
      <c r="BK98" s="238"/>
      <c r="BL98" s="238"/>
      <c r="BM98" s="238"/>
      <c r="BN98" s="238"/>
      <c r="BO98" s="238"/>
      <c r="BP98" s="238"/>
      <c r="BQ98" s="238"/>
      <c r="BR98" s="238"/>
      <c r="BS98" s="238"/>
      <c r="BT98" s="238"/>
      <c r="BU98" s="238"/>
      <c r="BV98" s="238"/>
      <c r="BW98" s="238"/>
      <c r="BX98" s="238"/>
      <c r="BY98" s="238"/>
      <c r="BZ98" s="238"/>
      <c r="CA98" s="238"/>
      <c r="CB98" s="238"/>
      <c r="CC98" s="238"/>
      <c r="CD98" s="238"/>
      <c r="CE98" s="238"/>
      <c r="CF98" s="238"/>
      <c r="CG98" s="238"/>
      <c r="CH98" s="238"/>
      <c r="CI98" s="238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</row>
    <row r="99" spans="2:100" ht="18" customHeight="1" x14ac:dyDescent="0.2">
      <c r="B99" s="398" t="s">
        <v>190</v>
      </c>
      <c r="C99" s="399" t="s">
        <v>191</v>
      </c>
      <c r="D99" s="400" t="s">
        <v>192</v>
      </c>
      <c r="E99" s="401" t="s">
        <v>193</v>
      </c>
      <c r="G99" s="2" t="s">
        <v>226</v>
      </c>
      <c r="K99" s="184"/>
      <c r="L99" s="184"/>
      <c r="M99" s="184"/>
      <c r="N99" s="184"/>
      <c r="O99" s="184"/>
      <c r="P99" s="184"/>
      <c r="Q99" s="184"/>
      <c r="R99" s="184"/>
      <c r="S99" s="126"/>
      <c r="T99" s="126"/>
      <c r="U99" s="126"/>
      <c r="V99" s="126"/>
      <c r="W99" s="126"/>
      <c r="X99" s="126"/>
      <c r="Y99" s="126"/>
      <c r="Z99" s="126"/>
      <c r="AA99" s="126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238"/>
      <c r="BF99" s="238"/>
      <c r="BG99" s="238"/>
      <c r="BH99" s="238"/>
      <c r="BI99" s="238"/>
      <c r="BJ99" s="238"/>
      <c r="BK99" s="238"/>
      <c r="BL99" s="238"/>
      <c r="BM99" s="238"/>
      <c r="BN99" s="238"/>
      <c r="BO99" s="238"/>
      <c r="BP99" s="238"/>
      <c r="BQ99" s="238"/>
      <c r="BR99" s="238"/>
      <c r="BS99" s="238"/>
      <c r="BT99" s="238"/>
      <c r="BU99" s="238"/>
      <c r="BV99" s="238"/>
      <c r="BW99" s="238"/>
      <c r="BX99" s="238"/>
      <c r="BY99" s="238"/>
      <c r="BZ99" s="238"/>
      <c r="CA99" s="238"/>
      <c r="CB99" s="238"/>
      <c r="CC99" s="238"/>
      <c r="CD99" s="238"/>
      <c r="CE99" s="238"/>
      <c r="CF99" s="238"/>
      <c r="CG99" s="238"/>
      <c r="CH99" s="238"/>
      <c r="CI99" s="238"/>
      <c r="CJ99" s="238"/>
      <c r="CK99" s="238"/>
      <c r="CL99" s="238"/>
      <c r="CM99" s="238"/>
      <c r="CN99" s="238"/>
      <c r="CO99" s="238"/>
      <c r="CP99" s="238"/>
      <c r="CQ99" s="238"/>
      <c r="CR99" s="238"/>
      <c r="CS99" s="238"/>
      <c r="CT99" s="238"/>
      <c r="CU99" s="238"/>
      <c r="CV99" s="238"/>
    </row>
    <row r="100" spans="2:100" ht="18" customHeight="1" x14ac:dyDescent="0.35">
      <c r="B100" s="402" t="s">
        <v>195</v>
      </c>
      <c r="C100" s="627">
        <f>AD30</f>
        <v>0.19517101845531215</v>
      </c>
      <c r="D100" s="628">
        <f>C100-AD35*SQRT(AD59)</f>
        <v>0.15934973868461208</v>
      </c>
      <c r="E100" s="629">
        <f>2*C100-D100</f>
        <v>0.23099229822601222</v>
      </c>
      <c r="K100" s="184"/>
      <c r="L100" s="184"/>
      <c r="M100" s="184"/>
      <c r="N100" s="184"/>
      <c r="O100" s="184"/>
      <c r="P100" s="184"/>
      <c r="Q100" s="184"/>
      <c r="R100" s="184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238"/>
      <c r="BF100" s="238"/>
      <c r="BG100" s="238"/>
      <c r="BH100" s="238"/>
      <c r="BI100" s="238"/>
      <c r="BJ100" s="238"/>
      <c r="BK100" s="238"/>
      <c r="BL100" s="238"/>
      <c r="BM100" s="238"/>
      <c r="BN100" s="238"/>
      <c r="BO100" s="238"/>
      <c r="BP100" s="238"/>
      <c r="BQ100" s="238"/>
      <c r="BR100" s="238"/>
      <c r="BS100" s="238"/>
      <c r="BT100" s="238"/>
      <c r="BU100" s="238"/>
      <c r="BV100" s="238"/>
      <c r="BW100" s="238"/>
      <c r="BX100" s="238"/>
      <c r="BY100" s="238"/>
      <c r="BZ100" s="238"/>
      <c r="CA100" s="238"/>
      <c r="CB100" s="238"/>
      <c r="CC100" s="238"/>
      <c r="CD100" s="238"/>
      <c r="CE100" s="238"/>
      <c r="CF100" s="238"/>
      <c r="CG100" s="238"/>
      <c r="CH100" s="238"/>
      <c r="CI100" s="238"/>
      <c r="CJ100" s="238"/>
      <c r="CK100" s="238"/>
      <c r="CL100" s="238"/>
      <c r="CM100" s="238"/>
      <c r="CN100" s="238"/>
      <c r="CO100" s="238"/>
      <c r="CP100" s="238"/>
      <c r="CQ100" s="238"/>
      <c r="CR100" s="238"/>
      <c r="CS100" s="238"/>
      <c r="CT100" s="238"/>
      <c r="CU100" s="238"/>
      <c r="CV100" s="238"/>
    </row>
    <row r="101" spans="2:100" ht="18" customHeight="1" x14ac:dyDescent="0.35">
      <c r="B101" s="402" t="s">
        <v>196</v>
      </c>
      <c r="C101" s="627">
        <f>AD31</f>
        <v>1.0030238881515743</v>
      </c>
      <c r="D101" s="628">
        <f>C101-AD35*SQRT(AE60)</f>
        <v>0.96759561625770885</v>
      </c>
      <c r="E101" s="629">
        <f>2*C101-D101</f>
        <v>1.0384521600454397</v>
      </c>
      <c r="K101" s="184"/>
      <c r="L101" s="184"/>
      <c r="M101" s="184"/>
      <c r="N101" s="184"/>
      <c r="O101" s="184"/>
      <c r="P101" s="184"/>
      <c r="Q101" s="184"/>
      <c r="R101" s="184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238"/>
      <c r="BF101" s="238"/>
      <c r="BG101" s="238"/>
      <c r="BH101" s="238"/>
      <c r="BI101" s="238"/>
      <c r="BJ101" s="238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  <c r="CV101" s="238"/>
    </row>
    <row r="102" spans="2:100" ht="18" customHeight="1" x14ac:dyDescent="0.35">
      <c r="B102" s="402" t="s">
        <v>211</v>
      </c>
      <c r="C102" s="627">
        <f>AD32</f>
        <v>9.9383513596848161E-2</v>
      </c>
      <c r="D102" s="628">
        <f>C102-AD35*SQRT(AF61)</f>
        <v>9.0087309774079957E-2</v>
      </c>
      <c r="E102" s="629">
        <f>2*C102-D102</f>
        <v>0.10867971741961636</v>
      </c>
      <c r="K102" s="184"/>
      <c r="L102" s="184"/>
      <c r="M102" s="184"/>
      <c r="N102" s="184"/>
      <c r="O102" s="184"/>
      <c r="P102" s="184"/>
      <c r="Q102" s="184"/>
      <c r="R102" s="184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238"/>
      <c r="BF102" s="238"/>
      <c r="BG102" s="238"/>
      <c r="BH102" s="238"/>
      <c r="BI102" s="238"/>
      <c r="BJ102" s="238"/>
      <c r="BK102" s="238"/>
      <c r="BL102" s="238"/>
      <c r="BM102" s="238"/>
      <c r="BN102" s="238"/>
      <c r="BO102" s="238"/>
      <c r="BP102" s="238"/>
      <c r="BQ102" s="238"/>
      <c r="BR102" s="238"/>
      <c r="BS102" s="238"/>
      <c r="BT102" s="238"/>
      <c r="BU102" s="238"/>
      <c r="BV102" s="238"/>
      <c r="BW102" s="238"/>
      <c r="BX102" s="238"/>
      <c r="BY102" s="238"/>
      <c r="BZ102" s="238"/>
      <c r="CA102" s="238"/>
      <c r="CB102" s="238"/>
      <c r="CC102" s="238"/>
      <c r="CD102" s="238"/>
      <c r="CE102" s="238"/>
      <c r="CF102" s="238"/>
      <c r="CG102" s="238"/>
      <c r="CH102" s="238"/>
      <c r="CI102" s="238"/>
      <c r="CJ102" s="238"/>
      <c r="CK102" s="238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</row>
    <row r="103" spans="2:100" ht="18" customHeight="1" x14ac:dyDescent="0.35">
      <c r="B103" s="402" t="s">
        <v>227</v>
      </c>
      <c r="C103" s="627">
        <f>AD33</f>
        <v>4.0860618565119466E-5</v>
      </c>
      <c r="D103" s="628">
        <f>C103-AD35*SQRT(AG62)</f>
        <v>-6.3730222733201006E-4</v>
      </c>
      <c r="E103" s="629">
        <f>2*C103-D103</f>
        <v>7.1902346446224899E-4</v>
      </c>
      <c r="K103" s="184"/>
      <c r="L103" s="184"/>
      <c r="M103" s="184"/>
      <c r="N103" s="184"/>
      <c r="O103" s="184"/>
      <c r="P103" s="184"/>
      <c r="Q103" s="184"/>
      <c r="R103" s="184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238"/>
      <c r="BF103" s="238"/>
      <c r="BG103" s="238"/>
      <c r="BH103" s="238"/>
      <c r="BI103" s="238"/>
      <c r="BJ103" s="238"/>
      <c r="BK103" s="238"/>
      <c r="BL103" s="238"/>
      <c r="BM103" s="238"/>
      <c r="BN103" s="238"/>
      <c r="BO103" s="238"/>
      <c r="BP103" s="238"/>
      <c r="BQ103" s="238"/>
      <c r="BR103" s="238"/>
      <c r="BS103" s="238"/>
      <c r="BT103" s="238"/>
      <c r="BU103" s="238"/>
      <c r="BV103" s="238"/>
      <c r="BW103" s="238"/>
      <c r="BX103" s="238"/>
      <c r="BY103" s="238"/>
      <c r="BZ103" s="238"/>
      <c r="CA103" s="238"/>
      <c r="CB103" s="238"/>
      <c r="CC103" s="238"/>
      <c r="CD103" s="238"/>
      <c r="CE103" s="238"/>
      <c r="CF103" s="238"/>
      <c r="CG103" s="238"/>
      <c r="CH103" s="238"/>
      <c r="CI103" s="238"/>
      <c r="CJ103" s="238"/>
      <c r="CK103" s="238"/>
      <c r="CL103" s="238"/>
      <c r="CM103" s="238"/>
      <c r="CN103" s="238"/>
      <c r="CO103" s="238"/>
      <c r="CP103" s="238"/>
      <c r="CQ103" s="238"/>
      <c r="CR103" s="238"/>
      <c r="CS103" s="238"/>
      <c r="CT103" s="238"/>
      <c r="CU103" s="238"/>
      <c r="CV103" s="238"/>
    </row>
    <row r="104" spans="2:100" ht="18" customHeight="1" x14ac:dyDescent="0.25">
      <c r="B104" s="402" t="s">
        <v>198</v>
      </c>
      <c r="C104" s="627">
        <f>AD47</f>
        <v>5.1740150174737207E-4</v>
      </c>
      <c r="D104" s="628">
        <f>C106*C104/CHIINV(0.024,C106)</f>
        <v>2.8088634310360249E-4</v>
      </c>
      <c r="E104" s="629">
        <f>C106*C104/CHIINV(0.975,C106)</f>
        <v>1.2393567149470526E-3</v>
      </c>
      <c r="K104" s="184"/>
      <c r="L104" s="184"/>
      <c r="M104" s="184"/>
      <c r="N104" s="184"/>
      <c r="O104" s="184"/>
      <c r="P104" s="184"/>
      <c r="Q104" s="184"/>
      <c r="R104" s="184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8"/>
      <c r="BU104" s="238"/>
      <c r="BV104" s="238"/>
      <c r="BW104" s="238"/>
      <c r="BX104" s="238"/>
      <c r="BY104" s="238"/>
      <c r="BZ104" s="238"/>
      <c r="CA104" s="238"/>
      <c r="CB104" s="238"/>
      <c r="CC104" s="238"/>
      <c r="CD104" s="238"/>
      <c r="CE104" s="238"/>
      <c r="CF104" s="238"/>
      <c r="CG104" s="238"/>
      <c r="CH104" s="238"/>
      <c r="CI104" s="238"/>
      <c r="CJ104" s="238"/>
      <c r="CK104" s="238"/>
      <c r="CL104" s="238"/>
      <c r="CM104" s="238"/>
      <c r="CN104" s="238"/>
      <c r="CO104" s="238"/>
      <c r="CP104" s="238"/>
      <c r="CQ104" s="238"/>
      <c r="CR104" s="238"/>
      <c r="CS104" s="238"/>
      <c r="CT104" s="238"/>
      <c r="CU104" s="238"/>
      <c r="CV104" s="238"/>
    </row>
    <row r="105" spans="2:100" ht="18" customHeight="1" x14ac:dyDescent="0.25">
      <c r="B105" s="404" t="s">
        <v>200</v>
      </c>
      <c r="C105" s="630">
        <f>SQRT(C104)</f>
        <v>2.2746461301648046E-2</v>
      </c>
      <c r="D105" s="631">
        <f>SQRT(D104)</f>
        <v>1.6759664170370555E-2</v>
      </c>
      <c r="E105" s="632">
        <f>SQRT(E104)</f>
        <v>3.520449850441066E-2</v>
      </c>
      <c r="K105" s="184"/>
      <c r="L105" s="184"/>
      <c r="M105" s="184"/>
      <c r="N105" s="184"/>
      <c r="O105" s="184"/>
      <c r="P105" s="184"/>
      <c r="Q105" s="184"/>
      <c r="R105" s="184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238"/>
      <c r="BF105" s="238"/>
      <c r="BG105" s="238"/>
      <c r="BH105" s="238"/>
      <c r="BI105" s="238"/>
      <c r="BJ105" s="238"/>
      <c r="BK105" s="238"/>
      <c r="BL105" s="238"/>
      <c r="BM105" s="238"/>
      <c r="BN105" s="238"/>
      <c r="BO105" s="238"/>
      <c r="BP105" s="238"/>
      <c r="BQ105" s="238"/>
      <c r="BR105" s="238"/>
      <c r="BS105" s="238"/>
      <c r="BT105" s="238"/>
      <c r="BU105" s="238"/>
      <c r="BV105" s="238"/>
      <c r="BW105" s="238"/>
      <c r="BX105" s="238"/>
      <c r="BY105" s="238"/>
      <c r="BZ105" s="238"/>
      <c r="CA105" s="238"/>
      <c r="CB105" s="238"/>
      <c r="CC105" s="238"/>
      <c r="CD105" s="238"/>
      <c r="CE105" s="238"/>
      <c r="CF105" s="238"/>
      <c r="CG105" s="238"/>
      <c r="CH105" s="238"/>
      <c r="CI105" s="238"/>
      <c r="CJ105" s="238"/>
      <c r="CK105" s="238"/>
      <c r="CL105" s="238"/>
      <c r="CM105" s="238"/>
      <c r="CN105" s="238"/>
      <c r="CO105" s="238"/>
      <c r="CP105" s="238"/>
      <c r="CQ105" s="238"/>
      <c r="CR105" s="238"/>
      <c r="CS105" s="238"/>
      <c r="CT105" s="238"/>
      <c r="CU105" s="238"/>
      <c r="CV105" s="238"/>
    </row>
    <row r="106" spans="2:100" ht="18" customHeight="1" x14ac:dyDescent="0.25">
      <c r="B106" s="405" t="s">
        <v>202</v>
      </c>
      <c r="C106" s="406">
        <f>n-4</f>
        <v>15</v>
      </c>
      <c r="K106" s="184"/>
      <c r="L106" s="184"/>
      <c r="M106" s="184"/>
      <c r="N106" s="184"/>
      <c r="O106" s="184"/>
      <c r="P106" s="184"/>
      <c r="Q106" s="184"/>
      <c r="R106" s="184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238"/>
      <c r="BF106" s="238"/>
      <c r="BG106" s="238"/>
      <c r="BH106" s="238"/>
      <c r="BI106" s="238"/>
      <c r="BJ106" s="238"/>
      <c r="BK106" s="238"/>
      <c r="BL106" s="238"/>
      <c r="BM106" s="238"/>
      <c r="BN106" s="238"/>
      <c r="BO106" s="238"/>
      <c r="BP106" s="238"/>
      <c r="BQ106" s="238"/>
      <c r="BR106" s="238"/>
      <c r="BS106" s="238"/>
      <c r="BT106" s="238"/>
      <c r="BU106" s="238"/>
      <c r="BV106" s="238"/>
      <c r="BW106" s="238"/>
      <c r="BX106" s="238"/>
      <c r="BY106" s="238"/>
      <c r="BZ106" s="238"/>
      <c r="CA106" s="238"/>
      <c r="CB106" s="238"/>
      <c r="CC106" s="238"/>
      <c r="CD106" s="238"/>
      <c r="CE106" s="238"/>
      <c r="CF106" s="238"/>
      <c r="CG106" s="238"/>
      <c r="CH106" s="238"/>
      <c r="CI106" s="238"/>
      <c r="CJ106" s="238"/>
      <c r="CK106" s="238"/>
      <c r="CL106" s="238"/>
      <c r="CM106" s="238"/>
      <c r="CN106" s="238"/>
      <c r="CO106" s="238"/>
      <c r="CP106" s="238"/>
      <c r="CQ106" s="238"/>
      <c r="CR106" s="238"/>
      <c r="CS106" s="238"/>
      <c r="CT106" s="238"/>
      <c r="CU106" s="238"/>
      <c r="CV106" s="238"/>
    </row>
    <row r="107" spans="2:100" ht="18" customHeight="1" x14ac:dyDescent="0.25">
      <c r="B107" s="404" t="s">
        <v>204</v>
      </c>
      <c r="C107" s="632">
        <f>AD35</f>
        <v>2.1314495455597742</v>
      </c>
      <c r="K107" s="184"/>
      <c r="L107" s="184"/>
      <c r="M107" s="184"/>
      <c r="N107" s="184"/>
      <c r="O107" s="184"/>
      <c r="P107" s="184"/>
      <c r="Q107" s="184"/>
      <c r="R107" s="184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238"/>
      <c r="BF107" s="238"/>
      <c r="BG107" s="238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8"/>
      <c r="CN107" s="238"/>
      <c r="CO107" s="238"/>
      <c r="CP107" s="238"/>
      <c r="CQ107" s="238"/>
      <c r="CR107" s="238"/>
      <c r="CS107" s="238"/>
      <c r="CT107" s="238"/>
      <c r="CU107" s="238"/>
      <c r="CV107" s="238"/>
    </row>
    <row r="108" spans="2:100" ht="18" customHeight="1" x14ac:dyDescent="0.2">
      <c r="K108" s="184"/>
      <c r="L108" s="184"/>
      <c r="M108" s="184"/>
      <c r="N108" s="184"/>
      <c r="O108" s="184"/>
      <c r="P108" s="184"/>
      <c r="Q108" s="184"/>
      <c r="R108" s="184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238"/>
      <c r="BF108" s="238"/>
      <c r="BG108" s="238"/>
      <c r="BH108" s="238"/>
      <c r="BI108" s="238"/>
      <c r="BJ108" s="238"/>
      <c r="BK108" s="238"/>
      <c r="BL108" s="238"/>
      <c r="BM108" s="238"/>
      <c r="BN108" s="238"/>
      <c r="BO108" s="238"/>
      <c r="BP108" s="238"/>
      <c r="BQ108" s="238"/>
      <c r="BR108" s="238"/>
      <c r="BS108" s="238"/>
      <c r="BT108" s="238"/>
      <c r="BU108" s="238"/>
      <c r="BV108" s="238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8"/>
      <c r="CJ108" s="238"/>
      <c r="CK108" s="238"/>
      <c r="CL108" s="238"/>
      <c r="CM108" s="238"/>
      <c r="CN108" s="238"/>
      <c r="CO108" s="238"/>
      <c r="CP108" s="238"/>
      <c r="CQ108" s="238"/>
      <c r="CR108" s="238"/>
      <c r="CS108" s="238"/>
      <c r="CT108" s="238"/>
      <c r="CU108" s="238"/>
      <c r="CV108" s="238"/>
    </row>
    <row r="109" spans="2:100" ht="18" customHeight="1" x14ac:dyDescent="0.2">
      <c r="B109" s="2" t="s">
        <v>228</v>
      </c>
      <c r="K109" s="184"/>
      <c r="L109" s="184"/>
      <c r="M109" s="184"/>
      <c r="N109" s="184"/>
      <c r="O109" s="184"/>
      <c r="P109" s="184"/>
      <c r="Q109" s="184"/>
      <c r="R109" s="184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238"/>
      <c r="BF109" s="238"/>
      <c r="BG109" s="238"/>
      <c r="BH109" s="238"/>
      <c r="BI109" s="238"/>
      <c r="BJ109" s="238"/>
      <c r="BK109" s="238"/>
      <c r="BL109" s="238"/>
      <c r="BM109" s="238"/>
      <c r="BN109" s="238"/>
      <c r="BO109" s="238"/>
      <c r="BP109" s="238"/>
      <c r="BQ109" s="238"/>
      <c r="BR109" s="238"/>
      <c r="BS109" s="238"/>
      <c r="BT109" s="238"/>
      <c r="BU109" s="238"/>
      <c r="BV109" s="238"/>
      <c r="BW109" s="238"/>
      <c r="BX109" s="238"/>
      <c r="BY109" s="238"/>
      <c r="BZ109" s="238"/>
      <c r="CA109" s="238"/>
      <c r="CB109" s="238"/>
      <c r="CC109" s="238"/>
      <c r="CD109" s="238"/>
      <c r="CE109" s="238"/>
      <c r="CF109" s="238"/>
      <c r="CG109" s="238"/>
      <c r="CH109" s="238"/>
      <c r="CI109" s="238"/>
      <c r="CJ109" s="238"/>
      <c r="CK109" s="238"/>
      <c r="CL109" s="238"/>
      <c r="CM109" s="238"/>
      <c r="CN109" s="238"/>
      <c r="CO109" s="238"/>
      <c r="CP109" s="238"/>
      <c r="CQ109" s="238"/>
      <c r="CR109" s="238"/>
      <c r="CS109" s="238"/>
      <c r="CT109" s="238"/>
      <c r="CU109" s="238"/>
      <c r="CV109" s="238"/>
    </row>
    <row r="110" spans="2:100" ht="18" customHeight="1" x14ac:dyDescent="0.2">
      <c r="B110" s="5" t="s">
        <v>218</v>
      </c>
      <c r="C110" s="639">
        <f>(C83/C104)</f>
        <v>0.93846733949357486</v>
      </c>
      <c r="K110" s="184"/>
      <c r="L110" s="184"/>
      <c r="M110" s="184"/>
      <c r="N110" s="184"/>
      <c r="O110" s="184"/>
      <c r="P110" s="184"/>
      <c r="Q110" s="184"/>
      <c r="R110" s="184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8"/>
      <c r="BU110" s="238"/>
      <c r="BV110" s="238"/>
      <c r="BW110" s="238"/>
      <c r="BX110" s="238"/>
      <c r="BY110" s="238"/>
      <c r="BZ110" s="238"/>
      <c r="CA110" s="238"/>
      <c r="CB110" s="238"/>
      <c r="CC110" s="238"/>
      <c r="CD110" s="238"/>
      <c r="CE110" s="238"/>
      <c r="CF110" s="238"/>
      <c r="CG110" s="238"/>
      <c r="CH110" s="238"/>
      <c r="CI110" s="238"/>
      <c r="CJ110" s="238"/>
      <c r="CK110" s="238"/>
      <c r="CL110" s="238"/>
      <c r="CM110" s="238"/>
      <c r="CN110" s="238"/>
      <c r="CO110" s="238"/>
      <c r="CP110" s="238"/>
      <c r="CQ110" s="238"/>
      <c r="CR110" s="238"/>
      <c r="CS110" s="238"/>
      <c r="CT110" s="238"/>
      <c r="CU110" s="238"/>
      <c r="CV110" s="238"/>
    </row>
    <row r="111" spans="2:100" ht="18" customHeight="1" x14ac:dyDescent="0.2">
      <c r="B111" s="5" t="s">
        <v>219</v>
      </c>
      <c r="C111" s="639">
        <f>AD50</f>
        <v>2.3848750436598887</v>
      </c>
      <c r="D111" s="1" t="s">
        <v>220</v>
      </c>
      <c r="K111" s="184"/>
      <c r="L111" s="184"/>
      <c r="M111" s="184"/>
      <c r="N111" s="184"/>
      <c r="O111" s="184"/>
      <c r="P111" s="184"/>
      <c r="Q111" s="184"/>
      <c r="R111" s="184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  <c r="BS111" s="238"/>
      <c r="BT111" s="238"/>
      <c r="BU111" s="238"/>
      <c r="BV111" s="238"/>
      <c r="BW111" s="238"/>
      <c r="BX111" s="238"/>
      <c r="BY111" s="238"/>
      <c r="BZ111" s="238"/>
      <c r="CA111" s="238"/>
      <c r="CB111" s="238"/>
      <c r="CC111" s="238"/>
      <c r="CD111" s="238"/>
      <c r="CE111" s="238"/>
      <c r="CF111" s="238"/>
      <c r="CG111" s="238"/>
      <c r="CH111" s="238"/>
      <c r="CI111" s="238"/>
      <c r="CJ111" s="238"/>
      <c r="CK111" s="238"/>
      <c r="CL111" s="238"/>
      <c r="CM111" s="238"/>
      <c r="CN111" s="238"/>
      <c r="CO111" s="238"/>
      <c r="CP111" s="238"/>
      <c r="CQ111" s="238"/>
      <c r="CR111" s="238"/>
      <c r="CS111" s="238"/>
      <c r="CT111" s="238"/>
      <c r="CU111" s="238"/>
      <c r="CV111" s="238"/>
    </row>
    <row r="112" spans="2:100" ht="18" customHeight="1" x14ac:dyDescent="0.2">
      <c r="B112" s="11" t="str">
        <f>IF(C110&gt;C111,"The cubic model produces a significantly smaller overall uncertainty of fit.","The overall uncertainties of fit are not significantly different at the 5% level.")</f>
        <v>The overall uncertainties of fit are not significantly different at the 5% level.</v>
      </c>
      <c r="K112" s="184"/>
      <c r="L112" s="184"/>
      <c r="M112" s="184"/>
      <c r="N112" s="184"/>
      <c r="O112" s="184"/>
      <c r="P112" s="184"/>
      <c r="Q112" s="184"/>
      <c r="R112" s="184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BZ112" s="238"/>
      <c r="CA112" s="238"/>
      <c r="CB112" s="238"/>
      <c r="CC112" s="238"/>
      <c r="CD112" s="238"/>
      <c r="CE112" s="238"/>
      <c r="CF112" s="238"/>
      <c r="CG112" s="238"/>
      <c r="CH112" s="238"/>
      <c r="CI112" s="238"/>
      <c r="CJ112" s="238"/>
      <c r="CK112" s="238"/>
      <c r="CL112" s="238"/>
      <c r="CM112" s="238"/>
      <c r="CN112" s="238"/>
      <c r="CO112" s="238"/>
      <c r="CP112" s="238"/>
      <c r="CQ112" s="238"/>
      <c r="CR112" s="238"/>
      <c r="CS112" s="238"/>
      <c r="CT112" s="238"/>
      <c r="CU112" s="238"/>
      <c r="CV112" s="238"/>
    </row>
    <row r="113" spans="2:100" ht="18" customHeight="1" x14ac:dyDescent="0.2">
      <c r="B113" s="11" t="str">
        <f>IF(C110&gt;C111,"The cubic model appears to be a better choice than quadratic.","The quadratic model appears to be a better choice than cubic.")</f>
        <v>The quadratic model appears to be a better choice than cubic.</v>
      </c>
      <c r="K113" s="184"/>
      <c r="L113" s="184"/>
      <c r="M113" s="184"/>
      <c r="N113" s="184"/>
      <c r="O113" s="184"/>
      <c r="P113" s="184"/>
      <c r="Q113" s="184"/>
      <c r="R113" s="184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  <c r="BS113" s="238"/>
      <c r="BT113" s="238"/>
      <c r="BU113" s="238"/>
      <c r="BV113" s="238"/>
      <c r="BW113" s="238"/>
      <c r="BX113" s="238"/>
      <c r="BY113" s="238"/>
      <c r="BZ113" s="238"/>
      <c r="CA113" s="238"/>
      <c r="CB113" s="238"/>
      <c r="CC113" s="238"/>
      <c r="CD113" s="238"/>
      <c r="CE113" s="238"/>
      <c r="CF113" s="238"/>
      <c r="CG113" s="238"/>
      <c r="CH113" s="238"/>
      <c r="CI113" s="238"/>
      <c r="CJ113" s="238"/>
      <c r="CK113" s="238"/>
      <c r="CL113" s="238"/>
      <c r="CM113" s="238"/>
      <c r="CN113" s="238"/>
      <c r="CO113" s="238"/>
      <c r="CP113" s="238"/>
      <c r="CQ113" s="238"/>
      <c r="CR113" s="238"/>
      <c r="CS113" s="238"/>
      <c r="CT113" s="238"/>
      <c r="CU113" s="238"/>
      <c r="CV113" s="238"/>
    </row>
    <row r="114" spans="2:100" ht="18" customHeight="1" x14ac:dyDescent="0.2">
      <c r="K114" s="184"/>
      <c r="L114" s="184"/>
      <c r="M114" s="184"/>
      <c r="N114" s="184"/>
      <c r="O114" s="184"/>
      <c r="P114" s="184"/>
      <c r="Q114" s="184"/>
      <c r="R114" s="184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238"/>
      <c r="CH114" s="238"/>
      <c r="CI114" s="238"/>
      <c r="CJ114" s="238"/>
      <c r="CK114" s="238"/>
      <c r="CL114" s="238"/>
      <c r="CM114" s="238"/>
      <c r="CN114" s="238"/>
      <c r="CO114" s="238"/>
      <c r="CP114" s="238"/>
      <c r="CQ114" s="238"/>
      <c r="CR114" s="238"/>
      <c r="CS114" s="238"/>
      <c r="CT114" s="238"/>
      <c r="CU114" s="238"/>
      <c r="CV114" s="238"/>
    </row>
    <row r="115" spans="2:100" ht="18" customHeight="1" x14ac:dyDescent="0.2">
      <c r="B115" s="407" t="s">
        <v>229</v>
      </c>
      <c r="C115" s="408"/>
      <c r="D115" s="409" t="s">
        <v>188</v>
      </c>
      <c r="E115" s="410"/>
      <c r="K115" s="184"/>
      <c r="L115" s="184"/>
      <c r="M115" s="184"/>
      <c r="N115" s="184"/>
      <c r="O115" s="184"/>
      <c r="P115" s="184"/>
      <c r="Q115" s="184"/>
      <c r="R115" s="184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238"/>
      <c r="BF115" s="238"/>
      <c r="BG115" s="238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  <c r="BS115" s="238"/>
      <c r="BT115" s="238"/>
      <c r="BU115" s="238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38"/>
      <c r="CG115" s="238"/>
      <c r="CH115" s="238"/>
      <c r="CI115" s="238"/>
      <c r="CJ115" s="238"/>
      <c r="CK115" s="238"/>
      <c r="CL115" s="238"/>
      <c r="CM115" s="238"/>
      <c r="CN115" s="238"/>
      <c r="CO115" s="238"/>
      <c r="CP115" s="238"/>
      <c r="CQ115" s="238"/>
      <c r="CR115" s="238"/>
      <c r="CS115" s="238"/>
      <c r="CT115" s="238"/>
      <c r="CU115" s="238"/>
      <c r="CV115" s="238"/>
    </row>
    <row r="116" spans="2:100" ht="18" customHeight="1" x14ac:dyDescent="0.2">
      <c r="B116" s="411" t="s">
        <v>190</v>
      </c>
      <c r="C116" s="412" t="s">
        <v>191</v>
      </c>
      <c r="D116" s="413" t="s">
        <v>192</v>
      </c>
      <c r="E116" s="414" t="s">
        <v>193</v>
      </c>
      <c r="K116" s="184"/>
      <c r="L116" s="184"/>
      <c r="M116" s="184"/>
      <c r="N116" s="184"/>
      <c r="O116" s="184"/>
      <c r="P116" s="184"/>
      <c r="Q116" s="184"/>
      <c r="R116" s="184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238"/>
      <c r="BF116" s="238"/>
      <c r="BG116" s="238"/>
      <c r="BH116" s="238"/>
      <c r="BI116" s="238"/>
      <c r="BJ116" s="238"/>
      <c r="BK116" s="238"/>
      <c r="BL116" s="238"/>
      <c r="BM116" s="238"/>
      <c r="BN116" s="238"/>
      <c r="BO116" s="238"/>
      <c r="BP116" s="238"/>
      <c r="BQ116" s="238"/>
      <c r="BR116" s="238"/>
      <c r="BS116" s="238"/>
      <c r="BT116" s="238"/>
      <c r="BU116" s="238"/>
      <c r="BV116" s="238"/>
      <c r="BW116" s="238"/>
      <c r="BX116" s="238"/>
      <c r="BY116" s="238"/>
      <c r="BZ116" s="238"/>
      <c r="CA116" s="238"/>
      <c r="CB116" s="238"/>
      <c r="CC116" s="238"/>
      <c r="CD116" s="238"/>
      <c r="CE116" s="238"/>
      <c r="CF116" s="238"/>
      <c r="CG116" s="238"/>
      <c r="CH116" s="238"/>
      <c r="CI116" s="238"/>
      <c r="CJ116" s="238"/>
      <c r="CK116" s="238"/>
      <c r="CL116" s="238"/>
      <c r="CM116" s="238"/>
      <c r="CN116" s="238"/>
      <c r="CO116" s="238"/>
      <c r="CP116" s="238"/>
      <c r="CQ116" s="238"/>
      <c r="CR116" s="238"/>
      <c r="CS116" s="238"/>
      <c r="CT116" s="238"/>
      <c r="CU116" s="238"/>
      <c r="CV116" s="238"/>
    </row>
    <row r="117" spans="2:100" ht="18" customHeight="1" x14ac:dyDescent="0.35">
      <c r="B117" s="415" t="s">
        <v>195</v>
      </c>
      <c r="C117" s="633">
        <f>BI26</f>
        <v>0.22056434366470512</v>
      </c>
      <c r="D117" s="634">
        <f>C117-$C$125*SQRT(BG59)</f>
        <v>0.18997030622833577</v>
      </c>
      <c r="E117" s="635">
        <f>2*C117-D117</f>
        <v>0.25115838110107447</v>
      </c>
      <c r="K117" s="184"/>
      <c r="L117" s="184"/>
      <c r="M117" s="184"/>
      <c r="N117" s="184"/>
      <c r="O117" s="184"/>
      <c r="P117" s="184"/>
      <c r="Q117" s="184"/>
      <c r="R117" s="184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  <c r="CV117" s="238"/>
    </row>
    <row r="118" spans="2:100" ht="18" customHeight="1" x14ac:dyDescent="0.35">
      <c r="B118" s="415" t="s">
        <v>196</v>
      </c>
      <c r="C118" s="633">
        <f>BI27</f>
        <v>0.92846211461801431</v>
      </c>
      <c r="D118" s="634">
        <f>C118-$C$125*SQRT(BH60)</f>
        <v>0.87859513192227134</v>
      </c>
      <c r="E118" s="635">
        <f>2*C118-D118</f>
        <v>0.97832909731375728</v>
      </c>
      <c r="K118" s="184"/>
      <c r="L118" s="184"/>
      <c r="M118" s="184"/>
      <c r="N118" s="184"/>
      <c r="O118" s="184"/>
      <c r="P118" s="184"/>
      <c r="Q118" s="184"/>
      <c r="R118" s="184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</row>
    <row r="119" spans="2:100" ht="18" customHeight="1" x14ac:dyDescent="0.35">
      <c r="B119" s="415" t="s">
        <v>211</v>
      </c>
      <c r="C119" s="633">
        <f>BI28</f>
        <v>0.1390363803600394</v>
      </c>
      <c r="D119" s="634">
        <f>C119-$C$125*SQRT(BI61)</f>
        <v>0.11557536324771757</v>
      </c>
      <c r="E119" s="635">
        <f>2*C119-D119</f>
        <v>0.16249739747236125</v>
      </c>
      <c r="K119" s="184"/>
      <c r="L119" s="184"/>
      <c r="M119" s="184"/>
      <c r="N119" s="184"/>
      <c r="O119" s="184"/>
      <c r="P119" s="184"/>
      <c r="Q119" s="184"/>
      <c r="R119" s="184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</row>
    <row r="120" spans="2:100" ht="18" customHeight="1" x14ac:dyDescent="0.35">
      <c r="B120" s="415" t="s">
        <v>227</v>
      </c>
      <c r="C120" s="633">
        <f>BI29</f>
        <v>-6.9298561057280494E-3</v>
      </c>
      <c r="D120" s="634">
        <f>C120-$C$125*SQRT(BJ62)</f>
        <v>-1.0898651480382382E-2</v>
      </c>
      <c r="E120" s="635">
        <f>2*C120-D120</f>
        <v>-2.9610607310737169E-3</v>
      </c>
      <c r="K120" s="184"/>
      <c r="L120" s="184"/>
      <c r="M120" s="184"/>
      <c r="N120" s="184"/>
      <c r="O120" s="184"/>
      <c r="P120" s="184"/>
      <c r="Q120" s="184"/>
      <c r="R120" s="184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</row>
    <row r="121" spans="2:100" ht="18" customHeight="1" x14ac:dyDescent="0.35">
      <c r="B121" s="415" t="s">
        <v>230</v>
      </c>
      <c r="C121" s="633">
        <f>BI30</f>
        <v>3.8726204024008837E-4</v>
      </c>
      <c r="D121" s="634">
        <f>C121-$C$125*SQRT(BK63)</f>
        <v>1.6861344575870446E-4</v>
      </c>
      <c r="E121" s="635">
        <f>2*C121-D121</f>
        <v>6.059106347214723E-4</v>
      </c>
      <c r="K121" s="184"/>
      <c r="L121" s="184"/>
      <c r="M121" s="184"/>
      <c r="N121" s="184"/>
      <c r="O121" s="184"/>
      <c r="P121" s="184"/>
      <c r="Q121" s="184"/>
      <c r="R121" s="184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8"/>
      <c r="CN121" s="238"/>
      <c r="CO121" s="238"/>
      <c r="CP121" s="238"/>
      <c r="CQ121" s="238"/>
      <c r="CR121" s="238"/>
      <c r="CS121" s="238"/>
      <c r="CT121" s="238"/>
      <c r="CU121" s="238"/>
      <c r="CV121" s="238"/>
    </row>
    <row r="122" spans="2:100" ht="18" customHeight="1" x14ac:dyDescent="0.25">
      <c r="B122" s="415" t="s">
        <v>198</v>
      </c>
      <c r="C122" s="633">
        <f>BG47</f>
        <v>2.7298116987952071E-4</v>
      </c>
      <c r="D122" s="634">
        <f>C124*C122/CHIINV(0.024,C124)</f>
        <v>1.4554661902920106E-4</v>
      </c>
      <c r="E122" s="635">
        <f>C124*C122/CHIINV(0.975,C124)</f>
        <v>6.7897003839810272E-4</v>
      </c>
      <c r="K122" s="184"/>
      <c r="L122" s="184"/>
      <c r="M122" s="184"/>
      <c r="N122" s="184"/>
      <c r="O122" s="184"/>
      <c r="P122" s="184"/>
      <c r="Q122" s="184"/>
      <c r="R122" s="184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  <c r="BW122" s="238"/>
      <c r="BX122" s="238"/>
      <c r="BY122" s="238"/>
      <c r="BZ122" s="238"/>
      <c r="CA122" s="238"/>
      <c r="CB122" s="238"/>
      <c r="CC122" s="238"/>
      <c r="CD122" s="238"/>
      <c r="CE122" s="238"/>
      <c r="CF122" s="238"/>
      <c r="CG122" s="238"/>
      <c r="CH122" s="238"/>
      <c r="CI122" s="238"/>
      <c r="CJ122" s="238"/>
      <c r="CK122" s="238"/>
      <c r="CL122" s="238"/>
      <c r="CM122" s="238"/>
      <c r="CN122" s="238"/>
      <c r="CO122" s="238"/>
      <c r="CP122" s="238"/>
      <c r="CQ122" s="238"/>
      <c r="CR122" s="238"/>
      <c r="CS122" s="238"/>
      <c r="CT122" s="238"/>
      <c r="CU122" s="238"/>
      <c r="CV122" s="238"/>
    </row>
    <row r="123" spans="2:100" ht="18" customHeight="1" x14ac:dyDescent="0.25">
      <c r="B123" s="416" t="s">
        <v>200</v>
      </c>
      <c r="C123" s="636">
        <f>C122^0.5</f>
        <v>1.6522141806664191E-2</v>
      </c>
      <c r="D123" s="637">
        <f>D122^0.5</f>
        <v>1.2064270347982138E-2</v>
      </c>
      <c r="E123" s="638">
        <f>E122^0.5</f>
        <v>2.6057053524873121E-2</v>
      </c>
      <c r="K123" s="184"/>
      <c r="L123" s="184"/>
      <c r="M123" s="184"/>
      <c r="N123" s="184"/>
      <c r="O123" s="184"/>
      <c r="P123" s="184"/>
      <c r="Q123" s="184"/>
      <c r="R123" s="184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  <c r="BW123" s="238"/>
      <c r="BX123" s="238"/>
      <c r="BY123" s="238"/>
      <c r="BZ123" s="238"/>
      <c r="CA123" s="238"/>
      <c r="CB123" s="238"/>
      <c r="CC123" s="238"/>
      <c r="CD123" s="238"/>
      <c r="CE123" s="238"/>
      <c r="CF123" s="238"/>
      <c r="CG123" s="238"/>
      <c r="CH123" s="238"/>
      <c r="CI123" s="238"/>
      <c r="CJ123" s="238"/>
      <c r="CK123" s="238"/>
      <c r="CL123" s="238"/>
      <c r="CM123" s="238"/>
      <c r="CN123" s="238"/>
      <c r="CO123" s="238"/>
      <c r="CP123" s="238"/>
      <c r="CQ123" s="238"/>
      <c r="CR123" s="238"/>
      <c r="CS123" s="238"/>
      <c r="CT123" s="238"/>
      <c r="CU123" s="238"/>
      <c r="CV123" s="238"/>
    </row>
    <row r="124" spans="2:100" ht="18" customHeight="1" x14ac:dyDescent="0.25">
      <c r="B124" s="417" t="s">
        <v>202</v>
      </c>
      <c r="C124" s="246">
        <f>n-5</f>
        <v>14</v>
      </c>
      <c r="K124" s="184"/>
      <c r="L124" s="184"/>
      <c r="M124" s="184"/>
      <c r="N124" s="184"/>
      <c r="O124" s="184"/>
      <c r="P124" s="184"/>
      <c r="Q124" s="184"/>
      <c r="R124" s="184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  <c r="BW124" s="238"/>
      <c r="BX124" s="238"/>
      <c r="BY124" s="238"/>
      <c r="BZ124" s="238"/>
      <c r="CA124" s="238"/>
      <c r="CB124" s="238"/>
      <c r="CC124" s="238"/>
      <c r="CD124" s="238"/>
      <c r="CE124" s="238"/>
      <c r="CF124" s="238"/>
      <c r="CG124" s="238"/>
      <c r="CH124" s="238"/>
      <c r="CI124" s="238"/>
      <c r="CJ124" s="238"/>
      <c r="CK124" s="238"/>
      <c r="CL124" s="238"/>
      <c r="CM124" s="238"/>
      <c r="CN124" s="238"/>
      <c r="CO124" s="238"/>
      <c r="CP124" s="238"/>
      <c r="CQ124" s="238"/>
      <c r="CR124" s="238"/>
      <c r="CS124" s="238"/>
      <c r="CT124" s="238"/>
      <c r="CU124" s="238"/>
      <c r="CV124" s="238"/>
    </row>
    <row r="125" spans="2:100" ht="18" customHeight="1" x14ac:dyDescent="0.25">
      <c r="B125" s="416" t="s">
        <v>204</v>
      </c>
      <c r="C125" s="638">
        <f>BG35</f>
        <v>2.1447866879178044</v>
      </c>
      <c r="K125" s="184"/>
      <c r="L125" s="184"/>
      <c r="M125" s="184"/>
      <c r="N125" s="184"/>
      <c r="O125" s="184"/>
      <c r="P125" s="184"/>
      <c r="Q125" s="184"/>
      <c r="R125" s="184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  <c r="BW125" s="238"/>
      <c r="BX125" s="238"/>
      <c r="BY125" s="238"/>
      <c r="BZ125" s="238"/>
      <c r="CA125" s="238"/>
      <c r="CB125" s="238"/>
      <c r="CC125" s="238"/>
      <c r="CD125" s="238"/>
      <c r="CE125" s="238"/>
      <c r="CF125" s="238"/>
      <c r="CG125" s="238"/>
      <c r="CH125" s="238"/>
      <c r="CI125" s="238"/>
      <c r="CJ125" s="238"/>
      <c r="CK125" s="238"/>
      <c r="CL125" s="238"/>
      <c r="CM125" s="238"/>
      <c r="CN125" s="238"/>
      <c r="CO125" s="238"/>
      <c r="CP125" s="238"/>
      <c r="CQ125" s="238"/>
      <c r="CR125" s="238"/>
      <c r="CS125" s="238"/>
      <c r="CT125" s="238"/>
      <c r="CU125" s="238"/>
      <c r="CV125" s="238"/>
    </row>
    <row r="126" spans="2:100" ht="18" customHeight="1" x14ac:dyDescent="0.2">
      <c r="K126" s="184"/>
      <c r="L126" s="184"/>
      <c r="M126" s="184"/>
      <c r="N126" s="184"/>
      <c r="O126" s="184"/>
      <c r="P126" s="184"/>
      <c r="Q126" s="184"/>
      <c r="R126" s="184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238"/>
      <c r="BF126" s="238"/>
      <c r="BG126" s="238"/>
      <c r="BH126" s="238"/>
      <c r="BI126" s="238"/>
      <c r="BJ126" s="238"/>
      <c r="BK126" s="238"/>
      <c r="BL126" s="238"/>
      <c r="BM126" s="238"/>
      <c r="BN126" s="238"/>
      <c r="BO126" s="238"/>
      <c r="BP126" s="238"/>
      <c r="BQ126" s="238"/>
      <c r="BR126" s="238"/>
      <c r="BS126" s="238"/>
      <c r="BT126" s="238"/>
      <c r="BU126" s="238"/>
      <c r="BV126" s="238"/>
      <c r="BW126" s="238"/>
      <c r="BX126" s="238"/>
      <c r="BY126" s="238"/>
      <c r="BZ126" s="238"/>
      <c r="CA126" s="238"/>
      <c r="CB126" s="238"/>
      <c r="CC126" s="238"/>
      <c r="CD126" s="238"/>
      <c r="CE126" s="238"/>
      <c r="CF126" s="238"/>
      <c r="CG126" s="238"/>
      <c r="CH126" s="238"/>
      <c r="CI126" s="238"/>
      <c r="CJ126" s="238"/>
      <c r="CK126" s="238"/>
      <c r="CL126" s="238"/>
      <c r="CM126" s="238"/>
      <c r="CN126" s="238"/>
      <c r="CO126" s="238"/>
      <c r="CP126" s="238"/>
      <c r="CQ126" s="238"/>
      <c r="CR126" s="238"/>
      <c r="CS126" s="238"/>
      <c r="CT126" s="238"/>
      <c r="CU126" s="238"/>
      <c r="CV126" s="238"/>
    </row>
    <row r="127" spans="2:100" ht="18" customHeight="1" x14ac:dyDescent="0.2">
      <c r="B127" s="2" t="s">
        <v>228</v>
      </c>
      <c r="K127" s="184"/>
      <c r="L127" s="184"/>
      <c r="M127" s="184"/>
      <c r="N127" s="184"/>
      <c r="O127" s="184"/>
      <c r="P127" s="184"/>
      <c r="Q127" s="184"/>
      <c r="R127" s="184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238"/>
      <c r="BF127" s="238"/>
      <c r="BG127" s="238"/>
      <c r="BH127" s="238"/>
      <c r="BI127" s="238"/>
      <c r="BJ127" s="238"/>
      <c r="BK127" s="238"/>
      <c r="BL127" s="238"/>
      <c r="BM127" s="238"/>
      <c r="BN127" s="238"/>
      <c r="BO127" s="238"/>
      <c r="BP127" s="238"/>
      <c r="BQ127" s="238"/>
      <c r="BR127" s="238"/>
      <c r="BS127" s="238"/>
      <c r="BT127" s="238"/>
      <c r="BU127" s="238"/>
      <c r="BV127" s="238"/>
      <c r="BW127" s="238"/>
      <c r="BX127" s="238"/>
      <c r="BY127" s="238"/>
      <c r="BZ127" s="238"/>
      <c r="CA127" s="238"/>
      <c r="CB127" s="238"/>
      <c r="CC127" s="238"/>
      <c r="CD127" s="238"/>
      <c r="CE127" s="238"/>
      <c r="CF127" s="238"/>
      <c r="CG127" s="238"/>
      <c r="CH127" s="238"/>
      <c r="CI127" s="238"/>
      <c r="CJ127" s="238"/>
      <c r="CK127" s="238"/>
      <c r="CL127" s="238"/>
      <c r="CM127" s="238"/>
      <c r="CN127" s="238"/>
      <c r="CO127" s="238"/>
      <c r="CP127" s="238"/>
      <c r="CQ127" s="238"/>
      <c r="CR127" s="238"/>
      <c r="CS127" s="238"/>
      <c r="CT127" s="238"/>
      <c r="CU127" s="238"/>
      <c r="CV127" s="238"/>
    </row>
    <row r="128" spans="2:100" ht="18" customHeight="1" x14ac:dyDescent="0.2">
      <c r="B128" s="5" t="s">
        <v>231</v>
      </c>
      <c r="C128" s="639">
        <f>(C104/C122)</f>
        <v>1.8953743292100529</v>
      </c>
      <c r="K128" s="184"/>
      <c r="L128" s="184"/>
      <c r="M128" s="184"/>
      <c r="N128" s="184"/>
      <c r="O128" s="184"/>
      <c r="P128" s="184"/>
      <c r="Q128" s="184"/>
      <c r="R128" s="184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238"/>
      <c r="BF128" s="238"/>
      <c r="BG128" s="238"/>
      <c r="BH128" s="238"/>
      <c r="BI128" s="238"/>
      <c r="BJ128" s="238"/>
      <c r="BK128" s="238"/>
      <c r="BL128" s="238"/>
      <c r="BM128" s="238"/>
      <c r="BN128" s="238"/>
      <c r="BO128" s="238"/>
      <c r="BP128" s="238"/>
      <c r="BQ128" s="238"/>
      <c r="BR128" s="238"/>
      <c r="BS128" s="238"/>
      <c r="BT128" s="238"/>
      <c r="BU128" s="238"/>
      <c r="BV128" s="238"/>
      <c r="BW128" s="238"/>
      <c r="BX128" s="238"/>
      <c r="BY128" s="238"/>
      <c r="BZ128" s="238"/>
      <c r="CA128" s="238"/>
      <c r="CB128" s="238"/>
      <c r="CC128" s="238"/>
      <c r="CD128" s="238"/>
      <c r="CE128" s="238"/>
      <c r="CF128" s="238"/>
      <c r="CG128" s="238"/>
      <c r="CH128" s="238"/>
      <c r="CI128" s="238"/>
      <c r="CJ128" s="238"/>
      <c r="CK128" s="238"/>
      <c r="CL128" s="238"/>
      <c r="CM128" s="238"/>
      <c r="CN128" s="238"/>
      <c r="CO128" s="238"/>
      <c r="CP128" s="238"/>
      <c r="CQ128" s="238"/>
      <c r="CR128" s="238"/>
      <c r="CS128" s="238"/>
      <c r="CT128" s="238"/>
      <c r="CU128" s="238"/>
      <c r="CV128" s="238"/>
    </row>
    <row r="129" spans="2:100" ht="18" customHeight="1" x14ac:dyDescent="0.2">
      <c r="B129" s="5" t="s">
        <v>219</v>
      </c>
      <c r="C129" s="639">
        <f>BG50</f>
        <v>2.4630031048756633</v>
      </c>
      <c r="D129" s="1" t="s">
        <v>220</v>
      </c>
      <c r="K129" s="184"/>
      <c r="L129" s="184"/>
      <c r="M129" s="184"/>
      <c r="N129" s="184"/>
      <c r="O129" s="184"/>
      <c r="P129" s="184"/>
      <c r="Q129" s="184"/>
      <c r="R129" s="184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238"/>
      <c r="BF129" s="238"/>
      <c r="BG129" s="238"/>
      <c r="BH129" s="238"/>
      <c r="BI129" s="238"/>
      <c r="BJ129" s="238"/>
      <c r="BK129" s="238"/>
      <c r="BL129" s="238"/>
      <c r="BM129" s="238"/>
      <c r="BN129" s="238"/>
      <c r="BO129" s="238"/>
      <c r="BP129" s="238"/>
      <c r="BQ129" s="238"/>
      <c r="BR129" s="238"/>
      <c r="BS129" s="238"/>
      <c r="BT129" s="238"/>
      <c r="BU129" s="238"/>
      <c r="BV129" s="238"/>
      <c r="BW129" s="238"/>
      <c r="BX129" s="238"/>
      <c r="BY129" s="238"/>
      <c r="BZ129" s="238"/>
      <c r="CA129" s="238"/>
      <c r="CB129" s="238"/>
      <c r="CC129" s="238"/>
      <c r="CD129" s="238"/>
      <c r="CE129" s="238"/>
      <c r="CF129" s="238"/>
      <c r="CG129" s="238"/>
      <c r="CH129" s="238"/>
      <c r="CI129" s="238"/>
      <c r="CJ129" s="238"/>
      <c r="CK129" s="238"/>
      <c r="CL129" s="238"/>
      <c r="CM129" s="238"/>
      <c r="CN129" s="238"/>
      <c r="CO129" s="238"/>
      <c r="CP129" s="238"/>
      <c r="CQ129" s="238"/>
      <c r="CR129" s="238"/>
      <c r="CS129" s="238"/>
      <c r="CT129" s="238"/>
      <c r="CU129" s="238"/>
      <c r="CV129" s="238"/>
    </row>
    <row r="130" spans="2:100" ht="18" customHeight="1" x14ac:dyDescent="0.2">
      <c r="B130" s="11" t="str">
        <f>IF(C128&gt;C129,"The quartic model produces a significantly smaller overall uncertainty of fit.","The overall uncertainties of fit are not significantly different at the 5% level.")</f>
        <v>The overall uncertainties of fit are not significantly different at the 5% level.</v>
      </c>
      <c r="K130" s="184"/>
      <c r="L130" s="184"/>
      <c r="M130" s="184"/>
      <c r="N130" s="184"/>
      <c r="O130" s="184"/>
      <c r="P130" s="184"/>
      <c r="Q130" s="184"/>
      <c r="R130" s="184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238"/>
      <c r="BF130" s="238"/>
      <c r="BG130" s="238"/>
      <c r="BH130" s="238"/>
      <c r="BI130" s="238"/>
      <c r="BJ130" s="238"/>
      <c r="BK130" s="238"/>
      <c r="BL130" s="238"/>
      <c r="BM130" s="238"/>
      <c r="BN130" s="238"/>
      <c r="BO130" s="238"/>
      <c r="BP130" s="238"/>
      <c r="BQ130" s="238"/>
      <c r="BR130" s="238"/>
      <c r="BS130" s="238"/>
      <c r="BT130" s="238"/>
      <c r="BU130" s="238"/>
      <c r="BV130" s="238"/>
      <c r="BW130" s="238"/>
      <c r="BX130" s="238"/>
      <c r="BY130" s="238"/>
      <c r="BZ130" s="238"/>
      <c r="CA130" s="238"/>
      <c r="CB130" s="238"/>
      <c r="CC130" s="238"/>
      <c r="CD130" s="238"/>
      <c r="CE130" s="238"/>
      <c r="CF130" s="238"/>
      <c r="CG130" s="238"/>
      <c r="CH130" s="238"/>
      <c r="CI130" s="238"/>
      <c r="CJ130" s="238"/>
      <c r="CK130" s="238"/>
      <c r="CL130" s="238"/>
      <c r="CM130" s="238"/>
      <c r="CN130" s="238"/>
      <c r="CO130" s="238"/>
      <c r="CP130" s="238"/>
      <c r="CQ130" s="238"/>
      <c r="CR130" s="238"/>
      <c r="CS130" s="238"/>
      <c r="CT130" s="238"/>
      <c r="CU130" s="238"/>
      <c r="CV130" s="238"/>
    </row>
    <row r="131" spans="2:100" ht="18" customHeight="1" x14ac:dyDescent="0.2">
      <c r="B131" s="11" t="str">
        <f>IF(C128&gt;C129,"The quartic model appears to be a better choice than cubic.","The cubic model appears to be a better choice than quartic.")</f>
        <v>The cubic model appears to be a better choice than quartic.</v>
      </c>
      <c r="K131" s="184"/>
      <c r="L131" s="184"/>
      <c r="M131" s="184"/>
      <c r="N131" s="184"/>
      <c r="O131" s="184"/>
      <c r="P131" s="184"/>
      <c r="Q131" s="184"/>
      <c r="R131" s="184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238"/>
      <c r="BF131" s="238"/>
      <c r="BG131" s="238"/>
      <c r="BH131" s="238"/>
      <c r="BI131" s="238"/>
      <c r="BJ131" s="238"/>
      <c r="BK131" s="238"/>
      <c r="BL131" s="238"/>
      <c r="BM131" s="238"/>
      <c r="BN131" s="238"/>
      <c r="BO131" s="238"/>
      <c r="BP131" s="238"/>
      <c r="BQ131" s="238"/>
      <c r="BR131" s="238"/>
      <c r="BS131" s="238"/>
      <c r="BT131" s="238"/>
      <c r="BU131" s="238"/>
      <c r="BV131" s="238"/>
      <c r="BW131" s="238"/>
      <c r="BX131" s="238"/>
      <c r="BY131" s="238"/>
      <c r="BZ131" s="238"/>
      <c r="CA131" s="238"/>
      <c r="CB131" s="238"/>
      <c r="CC131" s="238"/>
      <c r="CD131" s="238"/>
      <c r="CE131" s="238"/>
      <c r="CF131" s="238"/>
      <c r="CG131" s="238"/>
      <c r="CH131" s="238"/>
      <c r="CI131" s="238"/>
      <c r="CJ131" s="238"/>
      <c r="CK131" s="238"/>
      <c r="CL131" s="238"/>
      <c r="CM131" s="238"/>
      <c r="CN131" s="238"/>
      <c r="CO131" s="238"/>
      <c r="CP131" s="238"/>
      <c r="CQ131" s="238"/>
      <c r="CR131" s="238"/>
      <c r="CS131" s="238"/>
      <c r="CT131" s="238"/>
      <c r="CU131" s="238"/>
      <c r="CV131" s="238"/>
    </row>
    <row r="132" spans="2:100" ht="18" customHeight="1" x14ac:dyDescent="0.2">
      <c r="K132" s="184"/>
      <c r="L132" s="184"/>
      <c r="M132" s="184"/>
      <c r="N132" s="184"/>
      <c r="O132" s="184"/>
      <c r="P132" s="184"/>
      <c r="Q132" s="184"/>
      <c r="R132" s="184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238"/>
      <c r="BF132" s="238"/>
      <c r="BG132" s="238"/>
      <c r="BH132" s="238"/>
      <c r="BI132" s="238"/>
      <c r="BJ132" s="238"/>
      <c r="BK132" s="238"/>
      <c r="BL132" s="238"/>
      <c r="BM132" s="238"/>
      <c r="BN132" s="238"/>
      <c r="BO132" s="238"/>
      <c r="BP132" s="238"/>
      <c r="BQ132" s="238"/>
      <c r="BR132" s="238"/>
      <c r="BS132" s="238"/>
      <c r="BT132" s="238"/>
      <c r="BU132" s="238"/>
      <c r="BV132" s="238"/>
      <c r="BW132" s="238"/>
      <c r="BX132" s="238"/>
      <c r="BY132" s="238"/>
      <c r="BZ132" s="238"/>
      <c r="CA132" s="238"/>
      <c r="CB132" s="238"/>
      <c r="CC132" s="238"/>
      <c r="CD132" s="238"/>
      <c r="CE132" s="238"/>
      <c r="CF132" s="238"/>
      <c r="CG132" s="238"/>
      <c r="CH132" s="238"/>
      <c r="CI132" s="238"/>
      <c r="CJ132" s="238"/>
      <c r="CK132" s="238"/>
      <c r="CL132" s="238"/>
      <c r="CM132" s="238"/>
      <c r="CN132" s="238"/>
      <c r="CO132" s="238"/>
      <c r="CP132" s="238"/>
      <c r="CQ132" s="238"/>
      <c r="CR132" s="238"/>
      <c r="CS132" s="238"/>
      <c r="CT132" s="238"/>
      <c r="CU132" s="238"/>
      <c r="CV132" s="238"/>
    </row>
    <row r="133" spans="2:100" ht="18" customHeight="1" thickBot="1" x14ac:dyDescent="0.25">
      <c r="K133" s="184"/>
      <c r="L133" s="184"/>
      <c r="M133" s="184"/>
      <c r="N133" s="184"/>
      <c r="O133" s="184"/>
      <c r="P133" s="184"/>
      <c r="Q133" s="184"/>
      <c r="R133" s="184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238"/>
      <c r="BF133" s="238"/>
      <c r="BG133" s="238"/>
      <c r="BH133" s="238"/>
      <c r="BI133" s="238"/>
      <c r="BJ133" s="238"/>
      <c r="BK133" s="238"/>
      <c r="BL133" s="238"/>
      <c r="BM133" s="238"/>
      <c r="BN133" s="238"/>
      <c r="BO133" s="238"/>
      <c r="BP133" s="238"/>
      <c r="BQ133" s="238"/>
      <c r="BR133" s="238"/>
      <c r="BS133" s="238"/>
      <c r="BT133" s="238"/>
      <c r="BU133" s="238"/>
      <c r="BV133" s="238"/>
      <c r="BW133" s="238"/>
      <c r="BX133" s="238"/>
      <c r="BY133" s="238"/>
      <c r="BZ133" s="238"/>
      <c r="CA133" s="238"/>
      <c r="CB133" s="238"/>
      <c r="CC133" s="238"/>
      <c r="CD133" s="238"/>
      <c r="CE133" s="238"/>
      <c r="CF133" s="238"/>
      <c r="CG133" s="238"/>
      <c r="CH133" s="238"/>
      <c r="CI133" s="238"/>
      <c r="CJ133" s="238"/>
      <c r="CK133" s="238"/>
      <c r="CL133" s="238"/>
      <c r="CM133" s="238"/>
      <c r="CN133" s="238"/>
      <c r="CO133" s="238"/>
      <c r="CP133" s="238"/>
      <c r="CQ133" s="238"/>
      <c r="CR133" s="238"/>
      <c r="CS133" s="238"/>
      <c r="CT133" s="238"/>
      <c r="CU133" s="238"/>
      <c r="CV133" s="238"/>
    </row>
    <row r="134" spans="2:100" ht="18" customHeight="1" thickTop="1" thickBot="1" x14ac:dyDescent="0.3">
      <c r="B134" s="81" t="s">
        <v>90</v>
      </c>
      <c r="C134"/>
      <c r="D134" s="82" t="s">
        <v>91</v>
      </c>
      <c r="K134" s="184"/>
      <c r="L134" s="184"/>
      <c r="M134" s="184"/>
      <c r="N134" s="184"/>
      <c r="O134" s="184"/>
      <c r="P134" s="184"/>
      <c r="Q134" s="184"/>
      <c r="R134" s="184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238"/>
      <c r="BF134" s="238"/>
      <c r="BG134" s="238"/>
      <c r="BH134" s="238"/>
      <c r="BI134" s="238"/>
      <c r="BJ134" s="238"/>
      <c r="BK134" s="238"/>
      <c r="BL134" s="238"/>
      <c r="BM134" s="238"/>
      <c r="BN134" s="238"/>
      <c r="BO134" s="238"/>
      <c r="BP134" s="238"/>
      <c r="BQ134" s="238"/>
      <c r="BR134" s="238"/>
      <c r="BS134" s="238"/>
      <c r="BT134" s="238"/>
      <c r="BU134" s="238"/>
      <c r="BV134" s="238"/>
      <c r="BW134" s="238"/>
      <c r="BX134" s="238"/>
      <c r="BY134" s="238"/>
      <c r="BZ134" s="238"/>
      <c r="CA134" s="238"/>
      <c r="CB134" s="238"/>
      <c r="CC134" s="238"/>
      <c r="CD134" s="238"/>
      <c r="CE134" s="238"/>
      <c r="CF134" s="238"/>
      <c r="CG134" s="238"/>
      <c r="CH134" s="238"/>
      <c r="CI134" s="238"/>
      <c r="CJ134" s="238"/>
      <c r="CK134" s="238"/>
      <c r="CL134" s="238"/>
      <c r="CM134" s="238"/>
      <c r="CN134" s="238"/>
      <c r="CO134" s="238"/>
      <c r="CP134" s="238"/>
      <c r="CQ134" s="238"/>
      <c r="CR134" s="238"/>
      <c r="CS134" s="238"/>
      <c r="CT134" s="238"/>
      <c r="CU134" s="238"/>
      <c r="CV134" s="238"/>
    </row>
    <row r="135" spans="2:100" ht="18" customHeight="1" thickTop="1" x14ac:dyDescent="0.2">
      <c r="K135" s="184"/>
      <c r="L135" s="184"/>
      <c r="M135" s="184"/>
      <c r="N135" s="184"/>
      <c r="O135" s="184"/>
      <c r="P135" s="184"/>
      <c r="Q135" s="184"/>
      <c r="R135" s="184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238"/>
      <c r="BF135" s="238"/>
      <c r="BG135" s="238"/>
      <c r="BH135" s="238"/>
      <c r="BI135" s="238"/>
      <c r="BJ135" s="238"/>
      <c r="BK135" s="238"/>
      <c r="BL135" s="238"/>
      <c r="BM135" s="238"/>
      <c r="BN135" s="238"/>
      <c r="BO135" s="238"/>
      <c r="BP135" s="238"/>
      <c r="BQ135" s="238"/>
      <c r="BR135" s="238"/>
      <c r="BS135" s="238"/>
      <c r="BT135" s="238"/>
      <c r="BU135" s="238"/>
      <c r="BV135" s="238"/>
      <c r="BW135" s="238"/>
      <c r="BX135" s="238"/>
      <c r="BY135" s="238"/>
      <c r="BZ135" s="238"/>
      <c r="CA135" s="238"/>
      <c r="CB135" s="238"/>
      <c r="CC135" s="238"/>
      <c r="CD135" s="238"/>
      <c r="CE135" s="238"/>
      <c r="CF135" s="238"/>
      <c r="CG135" s="238"/>
      <c r="CH135" s="238"/>
      <c r="CI135" s="238"/>
      <c r="CJ135" s="238"/>
      <c r="CK135" s="238"/>
      <c r="CL135" s="238"/>
      <c r="CM135" s="238"/>
      <c r="CN135" s="238"/>
      <c r="CO135" s="238"/>
      <c r="CP135" s="238"/>
      <c r="CQ135" s="238"/>
      <c r="CR135" s="238"/>
      <c r="CS135" s="238"/>
      <c r="CT135" s="238"/>
      <c r="CU135" s="238"/>
      <c r="CV135" s="238"/>
    </row>
    <row r="136" spans="2:100" ht="18" customHeight="1" x14ac:dyDescent="0.25">
      <c r="B136" s="1" t="s">
        <v>232</v>
      </c>
      <c r="K136" s="184"/>
      <c r="L136" s="184"/>
      <c r="M136" s="184"/>
      <c r="N136" s="184"/>
      <c r="O136" s="184"/>
      <c r="P136" s="184"/>
      <c r="Q136" s="184"/>
      <c r="R136" s="184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238"/>
      <c r="BF136" s="238"/>
      <c r="BG136" s="238"/>
      <c r="BH136" s="238"/>
      <c r="BI136" s="238"/>
      <c r="BJ136" s="238"/>
      <c r="BK136" s="238"/>
      <c r="BL136" s="238"/>
      <c r="BM136" s="238"/>
      <c r="BN136" s="238"/>
      <c r="BO136" s="238"/>
      <c r="BP136" s="238"/>
      <c r="BQ136" s="238"/>
      <c r="BR136" s="238"/>
      <c r="BS136" s="238"/>
      <c r="BT136" s="238"/>
      <c r="BU136" s="238"/>
      <c r="BV136" s="238"/>
      <c r="BW136" s="238"/>
      <c r="BX136" s="238"/>
      <c r="BY136" s="238"/>
      <c r="BZ136" s="238"/>
      <c r="CA136" s="238"/>
      <c r="CB136" s="238"/>
      <c r="CC136" s="238"/>
      <c r="CD136" s="238"/>
      <c r="CE136" s="238"/>
      <c r="CF136" s="238"/>
      <c r="CG136" s="238"/>
      <c r="CH136" s="238"/>
      <c r="CI136" s="238"/>
      <c r="CJ136" s="238"/>
      <c r="CK136" s="238"/>
      <c r="CL136" s="238"/>
      <c r="CM136" s="238"/>
      <c r="CN136" s="238"/>
      <c r="CO136" s="238"/>
      <c r="CP136" s="238"/>
      <c r="CQ136" s="238"/>
      <c r="CR136" s="238"/>
      <c r="CS136" s="238"/>
      <c r="CT136" s="238"/>
      <c r="CU136" s="238"/>
      <c r="CV136" s="238"/>
    </row>
    <row r="137" spans="2:100" ht="18" customHeight="1" x14ac:dyDescent="0.2">
      <c r="B137" s="1" t="s">
        <v>233</v>
      </c>
      <c r="K137" s="184"/>
      <c r="L137" s="184"/>
      <c r="M137" s="184"/>
      <c r="N137" s="184"/>
      <c r="O137" s="184"/>
      <c r="P137" s="184"/>
      <c r="Q137" s="184"/>
      <c r="R137" s="184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238"/>
      <c r="BF137" s="238"/>
      <c r="BG137" s="238"/>
      <c r="BH137" s="238"/>
      <c r="BI137" s="238"/>
      <c r="BJ137" s="238"/>
      <c r="BK137" s="238"/>
      <c r="BL137" s="238"/>
      <c r="BM137" s="238"/>
      <c r="BN137" s="238"/>
      <c r="BO137" s="238"/>
      <c r="BP137" s="238"/>
      <c r="BQ137" s="238"/>
      <c r="BR137" s="238"/>
      <c r="BS137" s="238"/>
      <c r="BT137" s="238"/>
      <c r="BU137" s="238"/>
      <c r="BV137" s="238"/>
      <c r="BW137" s="238"/>
      <c r="BX137" s="238"/>
      <c r="BY137" s="238"/>
      <c r="BZ137" s="238"/>
      <c r="CA137" s="238"/>
      <c r="CB137" s="238"/>
      <c r="CC137" s="238"/>
      <c r="CD137" s="238"/>
      <c r="CE137" s="238"/>
      <c r="CF137" s="238"/>
      <c r="CG137" s="238"/>
      <c r="CH137" s="238"/>
      <c r="CI137" s="238"/>
      <c r="CJ137" s="238"/>
      <c r="CK137" s="238"/>
      <c r="CL137" s="238"/>
      <c r="CM137" s="238"/>
      <c r="CN137" s="238"/>
      <c r="CO137" s="238"/>
      <c r="CP137" s="238"/>
      <c r="CQ137" s="238"/>
      <c r="CR137" s="238"/>
      <c r="CS137" s="238"/>
      <c r="CT137" s="238"/>
      <c r="CU137" s="238"/>
      <c r="CV137" s="238"/>
    </row>
    <row r="138" spans="2:100" ht="18" customHeight="1" x14ac:dyDescent="0.25">
      <c r="B138" s="1" t="s">
        <v>234</v>
      </c>
      <c r="K138" s="184"/>
      <c r="L138" s="184"/>
      <c r="M138" s="184"/>
      <c r="N138" s="184"/>
      <c r="O138" s="184"/>
      <c r="P138" s="184"/>
      <c r="Q138" s="184"/>
      <c r="R138" s="184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238"/>
      <c r="BF138" s="238"/>
      <c r="BG138" s="238"/>
      <c r="BH138" s="238"/>
      <c r="BI138" s="238"/>
      <c r="BJ138" s="238"/>
      <c r="BK138" s="238"/>
      <c r="BL138" s="238"/>
      <c r="BM138" s="238"/>
      <c r="BN138" s="238"/>
      <c r="BO138" s="238"/>
      <c r="BP138" s="238"/>
      <c r="BQ138" s="238"/>
      <c r="BR138" s="238"/>
      <c r="BS138" s="238"/>
      <c r="BT138" s="238"/>
      <c r="BU138" s="238"/>
      <c r="BV138" s="238"/>
      <c r="BW138" s="238"/>
      <c r="BX138" s="238"/>
      <c r="BY138" s="238"/>
      <c r="BZ138" s="238"/>
      <c r="CA138" s="238"/>
      <c r="CB138" s="238"/>
      <c r="CC138" s="238"/>
      <c r="CD138" s="238"/>
      <c r="CE138" s="238"/>
      <c r="CF138" s="238"/>
      <c r="CG138" s="238"/>
      <c r="CH138" s="238"/>
      <c r="CI138" s="238"/>
      <c r="CJ138" s="238"/>
      <c r="CK138" s="238"/>
      <c r="CL138" s="238"/>
      <c r="CM138" s="238"/>
      <c r="CN138" s="238"/>
      <c r="CO138" s="238"/>
      <c r="CP138" s="238"/>
      <c r="CQ138" s="238"/>
      <c r="CR138" s="238"/>
      <c r="CS138" s="238"/>
      <c r="CT138" s="238"/>
      <c r="CU138" s="238"/>
      <c r="CV138" s="238"/>
    </row>
    <row r="139" spans="2:100" ht="18" customHeight="1" x14ac:dyDescent="0.2">
      <c r="B139" s="68" t="s">
        <v>235</v>
      </c>
      <c r="C139" s="69"/>
      <c r="D139" s="69"/>
      <c r="E139" s="69"/>
      <c r="F139" s="69"/>
      <c r="G139" s="69"/>
      <c r="K139" s="184"/>
      <c r="L139" s="184"/>
      <c r="M139" s="184"/>
      <c r="N139" s="184"/>
      <c r="O139" s="184"/>
      <c r="P139" s="184"/>
      <c r="Q139" s="184"/>
      <c r="R139" s="184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238"/>
      <c r="BF139" s="238"/>
      <c r="BG139" s="238"/>
      <c r="BH139" s="238"/>
      <c r="BI139" s="238"/>
      <c r="BJ139" s="238"/>
      <c r="BK139" s="238"/>
      <c r="BL139" s="238"/>
      <c r="BM139" s="238"/>
      <c r="BN139" s="238"/>
      <c r="BO139" s="238"/>
      <c r="BP139" s="238"/>
      <c r="BQ139" s="238"/>
      <c r="BR139" s="238"/>
      <c r="BS139" s="238"/>
      <c r="BT139" s="238"/>
      <c r="BU139" s="238"/>
      <c r="BV139" s="238"/>
      <c r="BW139" s="238"/>
      <c r="BX139" s="238"/>
      <c r="BY139" s="238"/>
      <c r="BZ139" s="238"/>
      <c r="CA139" s="238"/>
      <c r="CB139" s="238"/>
      <c r="CC139" s="238"/>
      <c r="CD139" s="238"/>
      <c r="CE139" s="238"/>
      <c r="CF139" s="238"/>
      <c r="CG139" s="238"/>
      <c r="CH139" s="238"/>
      <c r="CI139" s="238"/>
      <c r="CJ139" s="238"/>
      <c r="CK139" s="238"/>
      <c r="CL139" s="238"/>
      <c r="CM139" s="238"/>
      <c r="CN139" s="238"/>
      <c r="CO139" s="238"/>
      <c r="CP139" s="238"/>
      <c r="CQ139" s="238"/>
      <c r="CR139" s="238"/>
      <c r="CS139" s="238"/>
      <c r="CT139" s="238"/>
      <c r="CU139" s="238"/>
      <c r="CV139" s="238"/>
    </row>
    <row r="140" spans="2:100" ht="18" customHeight="1" x14ac:dyDescent="0.2">
      <c r="B140" s="68" t="s">
        <v>236</v>
      </c>
      <c r="C140" s="69"/>
      <c r="D140" s="69"/>
      <c r="E140" s="69"/>
      <c r="F140" s="69"/>
      <c r="G140" s="69"/>
      <c r="K140" s="184"/>
      <c r="L140" s="184"/>
      <c r="M140" s="184"/>
      <c r="N140" s="184"/>
      <c r="O140" s="184"/>
      <c r="P140" s="184"/>
      <c r="Q140" s="184"/>
      <c r="R140" s="184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8"/>
      <c r="BS140" s="238"/>
      <c r="BT140" s="238"/>
      <c r="BU140" s="238"/>
      <c r="BV140" s="238"/>
      <c r="BW140" s="238"/>
      <c r="BX140" s="238"/>
      <c r="BY140" s="238"/>
      <c r="BZ140" s="238"/>
      <c r="CA140" s="238"/>
      <c r="CB140" s="238"/>
      <c r="CC140" s="238"/>
      <c r="CD140" s="238"/>
      <c r="CE140" s="238"/>
      <c r="CF140" s="238"/>
      <c r="CG140" s="238"/>
      <c r="CH140" s="238"/>
      <c r="CI140" s="238"/>
      <c r="CJ140" s="238"/>
      <c r="CK140" s="238"/>
      <c r="CL140" s="238"/>
      <c r="CM140" s="238"/>
      <c r="CN140" s="238"/>
      <c r="CO140" s="238"/>
      <c r="CP140" s="238"/>
      <c r="CQ140" s="238"/>
      <c r="CR140" s="238"/>
      <c r="CS140" s="238"/>
      <c r="CT140" s="238"/>
      <c r="CU140" s="238"/>
      <c r="CV140" s="238"/>
    </row>
    <row r="141" spans="2:100" ht="18" customHeight="1" x14ac:dyDescent="0.25">
      <c r="B141" s="95" t="s">
        <v>237</v>
      </c>
      <c r="K141" s="184"/>
      <c r="L141" s="184"/>
      <c r="M141" s="184"/>
      <c r="N141" s="184"/>
      <c r="O141" s="184"/>
      <c r="P141" s="184"/>
      <c r="Q141" s="184"/>
      <c r="R141" s="184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8"/>
      <c r="BV141" s="238"/>
      <c r="BW141" s="238"/>
      <c r="BX141" s="238"/>
      <c r="BY141" s="238"/>
      <c r="BZ141" s="238"/>
      <c r="CA141" s="238"/>
      <c r="CB141" s="238"/>
      <c r="CC141" s="238"/>
      <c r="CD141" s="238"/>
      <c r="CE141" s="238"/>
      <c r="CF141" s="238"/>
      <c r="CG141" s="238"/>
      <c r="CH141" s="238"/>
      <c r="CI141" s="238"/>
      <c r="CJ141" s="238"/>
      <c r="CK141" s="238"/>
      <c r="CL141" s="238"/>
      <c r="CM141" s="238"/>
      <c r="CN141" s="238"/>
      <c r="CO141" s="238"/>
      <c r="CP141" s="238"/>
      <c r="CQ141" s="238"/>
      <c r="CR141" s="238"/>
      <c r="CS141" s="238"/>
      <c r="CT141" s="238"/>
      <c r="CU141" s="238"/>
      <c r="CV141" s="238"/>
    </row>
    <row r="142" spans="2:100" ht="18" customHeight="1" x14ac:dyDescent="0.2">
      <c r="B142" s="1" t="s">
        <v>238</v>
      </c>
      <c r="K142" s="184"/>
      <c r="L142" s="184"/>
      <c r="M142" s="184"/>
      <c r="N142" s="184"/>
      <c r="O142" s="184"/>
      <c r="P142" s="184"/>
      <c r="Q142" s="184"/>
      <c r="R142" s="184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238"/>
      <c r="BF142" s="238"/>
      <c r="BG142" s="238"/>
      <c r="BH142" s="238"/>
      <c r="BI142" s="238"/>
      <c r="BJ142" s="238"/>
      <c r="BK142" s="238"/>
      <c r="BL142" s="238"/>
      <c r="BM142" s="238"/>
      <c r="BN142" s="238"/>
      <c r="BO142" s="238"/>
      <c r="BP142" s="238"/>
      <c r="BQ142" s="238"/>
      <c r="BR142" s="238"/>
      <c r="BS142" s="238"/>
      <c r="BT142" s="238"/>
      <c r="BU142" s="238"/>
      <c r="BV142" s="238"/>
      <c r="BW142" s="238"/>
      <c r="BX142" s="238"/>
      <c r="BY142" s="238"/>
      <c r="BZ142" s="238"/>
      <c r="CA142" s="238"/>
      <c r="CB142" s="238"/>
      <c r="CC142" s="238"/>
      <c r="CD142" s="238"/>
      <c r="CE142" s="238"/>
      <c r="CF142" s="238"/>
      <c r="CG142" s="238"/>
      <c r="CH142" s="238"/>
      <c r="CI142" s="238"/>
      <c r="CJ142" s="238"/>
      <c r="CK142" s="238"/>
      <c r="CL142" s="238"/>
      <c r="CM142" s="238"/>
      <c r="CN142" s="238"/>
      <c r="CO142" s="238"/>
      <c r="CP142" s="238"/>
      <c r="CQ142" s="238"/>
      <c r="CR142" s="238"/>
      <c r="CS142" s="238"/>
      <c r="CT142" s="238"/>
      <c r="CU142" s="238"/>
      <c r="CV142" s="238"/>
    </row>
    <row r="143" spans="2:100" ht="18" customHeight="1" x14ac:dyDescent="0.25">
      <c r="B143" s="1" t="s">
        <v>239</v>
      </c>
      <c r="K143" s="184"/>
      <c r="L143" s="184"/>
      <c r="M143" s="184"/>
      <c r="N143" s="184"/>
      <c r="O143" s="184"/>
      <c r="P143" s="184"/>
      <c r="Q143" s="184"/>
      <c r="R143" s="184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238"/>
      <c r="BF143" s="238"/>
      <c r="BG143" s="238"/>
      <c r="BH143" s="238"/>
      <c r="BI143" s="238"/>
      <c r="BJ143" s="238"/>
      <c r="BK143" s="238"/>
      <c r="BL143" s="238"/>
      <c r="BM143" s="238"/>
      <c r="BN143" s="238"/>
      <c r="BO143" s="238"/>
      <c r="BP143" s="238"/>
      <c r="BQ143" s="238"/>
      <c r="BR143" s="238"/>
      <c r="BS143" s="238"/>
      <c r="BT143" s="238"/>
      <c r="BU143" s="238"/>
      <c r="BV143" s="238"/>
      <c r="BW143" s="238"/>
      <c r="BX143" s="238"/>
      <c r="BY143" s="238"/>
      <c r="BZ143" s="238"/>
      <c r="CA143" s="238"/>
      <c r="CB143" s="238"/>
      <c r="CC143" s="238"/>
      <c r="CD143" s="238"/>
      <c r="CE143" s="238"/>
      <c r="CF143" s="238"/>
      <c r="CG143" s="238"/>
      <c r="CH143" s="238"/>
      <c r="CI143" s="238"/>
      <c r="CJ143" s="238"/>
      <c r="CK143" s="238"/>
      <c r="CL143" s="238"/>
      <c r="CM143" s="238"/>
      <c r="CN143" s="238"/>
      <c r="CO143" s="238"/>
      <c r="CP143" s="238"/>
      <c r="CQ143" s="238"/>
      <c r="CR143" s="238"/>
      <c r="CS143" s="238"/>
      <c r="CT143" s="238"/>
      <c r="CU143" s="238"/>
      <c r="CV143" s="238"/>
    </row>
    <row r="144" spans="2:100" ht="18" customHeight="1" x14ac:dyDescent="0.25">
      <c r="B144" s="1" t="s">
        <v>240</v>
      </c>
      <c r="K144" s="184"/>
      <c r="L144" s="184"/>
      <c r="M144" s="184"/>
      <c r="N144" s="184"/>
      <c r="O144" s="184"/>
      <c r="P144" s="184"/>
      <c r="Q144" s="184"/>
      <c r="R144" s="184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238"/>
      <c r="BF144" s="238"/>
      <c r="BG144" s="238"/>
      <c r="BH144" s="238"/>
      <c r="BI144" s="238"/>
      <c r="BJ144" s="238"/>
      <c r="BK144" s="238"/>
      <c r="BL144" s="238"/>
      <c r="BM144" s="238"/>
      <c r="BN144" s="238"/>
      <c r="BO144" s="238"/>
      <c r="BP144" s="238"/>
      <c r="BQ144" s="238"/>
      <c r="BR144" s="238"/>
      <c r="BS144" s="238"/>
      <c r="BT144" s="238"/>
      <c r="BU144" s="238"/>
      <c r="BV144" s="238"/>
      <c r="BW144" s="238"/>
      <c r="BX144" s="238"/>
      <c r="BY144" s="238"/>
      <c r="BZ144" s="238"/>
      <c r="CA144" s="238"/>
      <c r="CB144" s="238"/>
      <c r="CC144" s="238"/>
      <c r="CD144" s="238"/>
      <c r="CE144" s="238"/>
      <c r="CF144" s="238"/>
      <c r="CG144" s="238"/>
      <c r="CH144" s="238"/>
      <c r="CI144" s="238"/>
      <c r="CJ144" s="238"/>
      <c r="CK144" s="238"/>
      <c r="CL144" s="238"/>
      <c r="CM144" s="238"/>
      <c r="CN144" s="238"/>
      <c r="CO144" s="238"/>
      <c r="CP144" s="238"/>
      <c r="CQ144" s="238"/>
      <c r="CR144" s="238"/>
      <c r="CS144" s="238"/>
      <c r="CT144" s="238"/>
      <c r="CU144" s="238"/>
      <c r="CV144" s="238"/>
    </row>
    <row r="145" spans="2:101" ht="18" customHeight="1" x14ac:dyDescent="0.25">
      <c r="B145" s="1" t="s">
        <v>241</v>
      </c>
      <c r="K145" s="184"/>
      <c r="L145" s="184"/>
      <c r="M145" s="184"/>
      <c r="N145" s="184"/>
      <c r="O145" s="184"/>
      <c r="P145" s="184"/>
      <c r="Q145" s="184"/>
      <c r="R145" s="184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238"/>
      <c r="BF145" s="238"/>
      <c r="BG145" s="238"/>
      <c r="BH145" s="238"/>
      <c r="BI145" s="238"/>
      <c r="BJ145" s="238"/>
      <c r="BK145" s="238"/>
      <c r="BL145" s="238"/>
      <c r="BM145" s="238"/>
      <c r="BN145" s="238"/>
      <c r="BO145" s="238"/>
      <c r="BP145" s="238"/>
      <c r="BQ145" s="238"/>
      <c r="BR145" s="238"/>
      <c r="BS145" s="238"/>
      <c r="BT145" s="238"/>
      <c r="BU145" s="238"/>
      <c r="BV145" s="238"/>
      <c r="BW145" s="238"/>
      <c r="BX145" s="238"/>
      <c r="BY145" s="238"/>
      <c r="BZ145" s="238"/>
      <c r="CA145" s="238"/>
      <c r="CB145" s="238"/>
      <c r="CC145" s="238"/>
      <c r="CD145" s="238"/>
      <c r="CE145" s="238"/>
      <c r="CF145" s="238"/>
      <c r="CG145" s="238"/>
      <c r="CH145" s="238"/>
      <c r="CI145" s="238"/>
      <c r="CJ145" s="238"/>
      <c r="CK145" s="238"/>
      <c r="CL145" s="238"/>
      <c r="CM145" s="238"/>
      <c r="CN145" s="238"/>
      <c r="CO145" s="238"/>
      <c r="CP145" s="238"/>
      <c r="CQ145" s="238"/>
      <c r="CR145" s="238"/>
      <c r="CS145" s="238"/>
      <c r="CT145" s="238"/>
      <c r="CU145" s="238"/>
      <c r="CV145" s="238"/>
    </row>
    <row r="146" spans="2:101" ht="18" customHeight="1" x14ac:dyDescent="0.2">
      <c r="B146" s="2" t="s">
        <v>242</v>
      </c>
      <c r="K146" s="184"/>
      <c r="L146" s="184"/>
      <c r="M146" s="184"/>
      <c r="N146" s="184"/>
      <c r="O146" s="184"/>
      <c r="P146" s="184"/>
      <c r="Q146" s="184"/>
      <c r="R146" s="184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238"/>
      <c r="BF146" s="238"/>
      <c r="BG146" s="238"/>
      <c r="BH146" s="238"/>
      <c r="BI146" s="238"/>
      <c r="BJ146" s="238"/>
      <c r="BK146" s="238"/>
      <c r="BL146" s="238"/>
      <c r="BM146" s="238"/>
      <c r="BN146" s="238"/>
      <c r="BO146" s="238"/>
      <c r="BP146" s="238"/>
      <c r="BQ146" s="238"/>
      <c r="BR146" s="238"/>
      <c r="BS146" s="238"/>
      <c r="BT146" s="238"/>
      <c r="BU146" s="238"/>
      <c r="BV146" s="238"/>
      <c r="BW146" s="238"/>
      <c r="BX146" s="238"/>
      <c r="BY146" s="238"/>
      <c r="BZ146" s="238"/>
      <c r="CA146" s="238"/>
      <c r="CB146" s="238"/>
      <c r="CC146" s="238"/>
      <c r="CD146" s="238"/>
      <c r="CE146" s="238"/>
      <c r="CF146" s="238"/>
      <c r="CG146" s="238"/>
      <c r="CH146" s="238"/>
      <c r="CI146" s="238"/>
      <c r="CJ146" s="238"/>
      <c r="CK146" s="238"/>
      <c r="CL146" s="238"/>
      <c r="CM146" s="238"/>
      <c r="CN146" s="238"/>
      <c r="CO146" s="238"/>
      <c r="CP146" s="238"/>
      <c r="CQ146" s="238"/>
      <c r="CR146" s="238"/>
      <c r="CS146" s="238"/>
      <c r="CT146" s="238"/>
      <c r="CU146" s="238"/>
      <c r="CV146" s="238"/>
    </row>
    <row r="147" spans="2:101" ht="18" customHeight="1" x14ac:dyDescent="0.25">
      <c r="B147" s="1" t="s">
        <v>243</v>
      </c>
      <c r="K147" s="184"/>
      <c r="L147" s="184"/>
      <c r="M147" s="184"/>
      <c r="N147" s="184"/>
      <c r="O147" s="184"/>
      <c r="P147" s="184"/>
      <c r="Q147" s="184"/>
      <c r="R147" s="184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8"/>
      <c r="BQ147" s="238"/>
      <c r="BR147" s="238"/>
      <c r="BS147" s="238"/>
      <c r="BT147" s="238"/>
      <c r="BU147" s="238"/>
      <c r="BV147" s="238"/>
      <c r="BW147" s="238"/>
      <c r="BX147" s="238"/>
      <c r="BY147" s="238"/>
      <c r="BZ147" s="238"/>
      <c r="CA147" s="238"/>
      <c r="CB147" s="238"/>
      <c r="CC147" s="238"/>
      <c r="CD147" s="238"/>
      <c r="CE147" s="238"/>
      <c r="CF147" s="238"/>
      <c r="CG147" s="238"/>
      <c r="CH147" s="238"/>
      <c r="CI147" s="238"/>
      <c r="CJ147" s="238"/>
      <c r="CK147" s="238"/>
      <c r="CL147" s="238"/>
      <c r="CM147" s="238"/>
      <c r="CN147" s="238"/>
      <c r="CO147" s="238"/>
      <c r="CP147" s="238"/>
      <c r="CQ147" s="238"/>
      <c r="CR147" s="238"/>
      <c r="CS147" s="238"/>
      <c r="CT147" s="238"/>
      <c r="CU147" s="238"/>
      <c r="CV147" s="238"/>
    </row>
    <row r="148" spans="2:101" ht="18" customHeight="1" x14ac:dyDescent="0.2">
      <c r="B148" s="1" t="s">
        <v>244</v>
      </c>
      <c r="H148" s="69"/>
      <c r="I148" s="69"/>
      <c r="J148" s="69"/>
      <c r="K148" s="184"/>
      <c r="L148" s="184"/>
      <c r="M148" s="184"/>
      <c r="N148" s="184"/>
      <c r="O148" s="184"/>
      <c r="P148" s="184"/>
      <c r="Q148" s="184"/>
      <c r="R148" s="184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238"/>
      <c r="BF148" s="238"/>
      <c r="BG148" s="238"/>
      <c r="BH148" s="238"/>
      <c r="BI148" s="238"/>
      <c r="BJ148" s="238"/>
      <c r="BK148" s="238"/>
      <c r="BL148" s="238"/>
      <c r="BM148" s="238"/>
      <c r="BN148" s="238"/>
      <c r="BO148" s="238"/>
      <c r="BP148" s="238"/>
      <c r="BQ148" s="238"/>
      <c r="BR148" s="238"/>
      <c r="BS148" s="238"/>
      <c r="BT148" s="238"/>
      <c r="BU148" s="238"/>
      <c r="BV148" s="238"/>
      <c r="BW148" s="238"/>
      <c r="BX148" s="238"/>
      <c r="BY148" s="238"/>
      <c r="BZ148" s="238"/>
      <c r="CA148" s="238"/>
      <c r="CB148" s="238"/>
      <c r="CC148" s="238"/>
      <c r="CD148" s="238"/>
      <c r="CE148" s="238"/>
      <c r="CF148" s="238"/>
      <c r="CG148" s="238"/>
      <c r="CH148" s="238"/>
      <c r="CI148" s="238"/>
      <c r="CJ148" s="238"/>
      <c r="CK148" s="238"/>
      <c r="CL148" s="238"/>
      <c r="CM148" s="238"/>
      <c r="CN148" s="238"/>
      <c r="CO148" s="238"/>
      <c r="CP148" s="238"/>
      <c r="CQ148" s="238"/>
      <c r="CR148" s="238"/>
      <c r="CS148" s="238"/>
      <c r="CT148" s="238"/>
      <c r="CU148" s="238"/>
      <c r="CV148" s="238"/>
    </row>
    <row r="149" spans="2:101" ht="18" customHeight="1" x14ac:dyDescent="0.2">
      <c r="H149" s="69"/>
      <c r="I149" s="69"/>
      <c r="J149" s="69"/>
      <c r="K149" s="184"/>
      <c r="L149" s="184"/>
      <c r="M149" s="184"/>
      <c r="N149" s="184"/>
      <c r="O149" s="184"/>
      <c r="P149" s="184"/>
      <c r="Q149" s="184"/>
      <c r="R149" s="184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238"/>
      <c r="BF149" s="238"/>
      <c r="BG149" s="238"/>
      <c r="BH149" s="238"/>
      <c r="BI149" s="238"/>
      <c r="BJ149" s="238"/>
      <c r="BK149" s="238"/>
      <c r="BL149" s="238"/>
      <c r="BM149" s="238"/>
      <c r="BN149" s="238"/>
      <c r="BO149" s="238"/>
      <c r="BP149" s="238"/>
      <c r="BQ149" s="238"/>
      <c r="BR149" s="238"/>
      <c r="BS149" s="238"/>
      <c r="BT149" s="238"/>
      <c r="BU149" s="238"/>
      <c r="BV149" s="238"/>
      <c r="BW149" s="238"/>
      <c r="BX149" s="238"/>
      <c r="BY149" s="238"/>
      <c r="BZ149" s="238"/>
      <c r="CA149" s="238"/>
      <c r="CB149" s="238"/>
      <c r="CC149" s="238"/>
      <c r="CD149" s="238"/>
      <c r="CE149" s="238"/>
      <c r="CF149" s="238"/>
      <c r="CG149" s="238"/>
      <c r="CH149" s="238"/>
      <c r="CI149" s="238"/>
      <c r="CJ149" s="238"/>
      <c r="CK149" s="238"/>
      <c r="CL149" s="238"/>
      <c r="CM149" s="238"/>
      <c r="CN149" s="238"/>
      <c r="CO149" s="238"/>
      <c r="CP149" s="238"/>
      <c r="CQ149" s="238"/>
      <c r="CR149" s="238"/>
      <c r="CS149" s="238"/>
      <c r="CT149" s="238"/>
      <c r="CU149" s="238"/>
      <c r="CV149" s="238"/>
    </row>
    <row r="150" spans="2:101" ht="18" customHeight="1" x14ac:dyDescent="0.2">
      <c r="B150" s="5" t="s">
        <v>245</v>
      </c>
      <c r="C150" s="640">
        <f>U53</f>
        <v>1026.7641980306528</v>
      </c>
      <c r="E150" s="5" t="s">
        <v>246</v>
      </c>
      <c r="F150" s="18">
        <f>FDIST(C150,df,df-1)</f>
        <v>4.5104469771907607E-21</v>
      </c>
      <c r="K150" s="184"/>
      <c r="L150" s="184"/>
      <c r="M150" s="184"/>
      <c r="N150" s="184"/>
      <c r="O150" s="184"/>
      <c r="P150" s="184"/>
      <c r="Q150" s="184"/>
      <c r="R150" s="184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238"/>
      <c r="BF150" s="238"/>
      <c r="BG150" s="238"/>
      <c r="BH150" s="238"/>
      <c r="BI150" s="238"/>
      <c r="BJ150" s="238"/>
      <c r="BK150" s="238"/>
      <c r="BL150" s="238"/>
      <c r="BM150" s="238"/>
      <c r="BN150" s="238"/>
      <c r="BO150" s="238"/>
      <c r="BP150" s="238"/>
      <c r="BQ150" s="238"/>
      <c r="BR150" s="238"/>
      <c r="BS150" s="238"/>
      <c r="BT150" s="238"/>
      <c r="BU150" s="238"/>
      <c r="BV150" s="238"/>
      <c r="BW150" s="238"/>
      <c r="BX150" s="238"/>
      <c r="BY150" s="238"/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  <c r="CN150" s="238"/>
      <c r="CO150" s="238"/>
      <c r="CP150" s="238"/>
      <c r="CQ150" s="238"/>
      <c r="CR150" s="238"/>
      <c r="CS150" s="238"/>
      <c r="CT150" s="238"/>
      <c r="CU150" s="238"/>
      <c r="CV150" s="238"/>
    </row>
    <row r="151" spans="2:101" ht="18" customHeight="1" x14ac:dyDescent="0.2">
      <c r="K151" s="184"/>
      <c r="L151" s="184"/>
      <c r="M151" s="184"/>
      <c r="N151" s="184"/>
      <c r="O151" s="184"/>
      <c r="P151" s="184"/>
      <c r="Q151" s="184"/>
      <c r="R151" s="184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238"/>
      <c r="BF151" s="238"/>
      <c r="BG151" s="238"/>
      <c r="BH151" s="238"/>
      <c r="BI151" s="238"/>
      <c r="BJ151" s="238"/>
      <c r="BK151" s="238"/>
      <c r="BL151" s="238"/>
      <c r="BM151" s="238"/>
      <c r="BN151" s="238"/>
      <c r="BO151" s="238"/>
      <c r="BP151" s="238"/>
      <c r="BQ151" s="238"/>
      <c r="BR151" s="238"/>
      <c r="BS151" s="238"/>
      <c r="BT151" s="238"/>
      <c r="BU151" s="238"/>
      <c r="BV151" s="238"/>
      <c r="BW151" s="238"/>
      <c r="BX151" s="238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  <c r="CN151" s="238"/>
      <c r="CO151" s="238"/>
      <c r="CP151" s="238"/>
      <c r="CQ151" s="238"/>
      <c r="CR151" s="238"/>
      <c r="CS151" s="238"/>
      <c r="CT151" s="238"/>
      <c r="CU151" s="238"/>
      <c r="CV151" s="238"/>
    </row>
    <row r="152" spans="2:101" ht="18" customHeight="1" x14ac:dyDescent="0.2">
      <c r="B152" s="11" t="str">
        <f>IF(U53&gt;U50,"The quadratic model produces a significantly smaller overall uncertainty of fit.","The overall uncertainties of fit are not significantly different at the 5% level.")</f>
        <v>The quadratic model produces a significantly smaller overall uncertainty of fit.</v>
      </c>
      <c r="K152" s="184"/>
      <c r="L152" s="184"/>
      <c r="M152" s="184"/>
      <c r="N152" s="184"/>
      <c r="O152" s="184"/>
      <c r="P152" s="184"/>
      <c r="Q152" s="184"/>
      <c r="R152" s="184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238"/>
      <c r="BF152" s="238"/>
      <c r="BG152" s="238"/>
      <c r="BH152" s="238"/>
      <c r="BI152" s="238"/>
      <c r="BJ152" s="238"/>
      <c r="BK152" s="238"/>
      <c r="BL152" s="238"/>
      <c r="BM152" s="238"/>
      <c r="BN152" s="238"/>
      <c r="BO152" s="238"/>
      <c r="BP152" s="238"/>
      <c r="BQ152" s="238"/>
      <c r="BR152" s="238"/>
      <c r="BS152" s="238"/>
      <c r="BT152" s="238"/>
      <c r="BU152" s="238"/>
      <c r="BV152" s="238"/>
      <c r="BW152" s="238"/>
      <c r="BX152" s="238"/>
      <c r="BY152" s="238"/>
      <c r="BZ152" s="238"/>
      <c r="CA152" s="238"/>
      <c r="CB152" s="238"/>
      <c r="CC152" s="238"/>
      <c r="CD152" s="238"/>
      <c r="CE152" s="238"/>
      <c r="CF152" s="238"/>
      <c r="CG152" s="238"/>
      <c r="CH152" s="238"/>
      <c r="CI152" s="238"/>
      <c r="CJ152" s="238"/>
      <c r="CK152" s="238"/>
      <c r="CL152" s="238"/>
      <c r="CM152" s="238"/>
      <c r="CN152" s="238"/>
      <c r="CO152" s="238"/>
      <c r="CP152" s="238"/>
      <c r="CQ152" s="238"/>
      <c r="CR152" s="238"/>
      <c r="CS152" s="238"/>
      <c r="CT152" s="238"/>
      <c r="CU152" s="238"/>
      <c r="CV152" s="238"/>
    </row>
    <row r="153" spans="2:101" ht="18" customHeight="1" x14ac:dyDescent="0.2">
      <c r="B153" s="11" t="str">
        <f>IF(U53&gt;U50,"The quadratic model appears to be the better choice.","The linear model appears to be the better choice.")</f>
        <v>The quadratic model appears to be the better choice.</v>
      </c>
      <c r="K153" s="184"/>
      <c r="L153" s="184"/>
      <c r="M153" s="184"/>
      <c r="N153" s="184"/>
      <c r="O153" s="184"/>
      <c r="P153" s="184"/>
      <c r="Q153" s="184"/>
      <c r="R153" s="184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238"/>
      <c r="BF153" s="238"/>
      <c r="BG153" s="238"/>
      <c r="BH153" s="238"/>
      <c r="BI153" s="238"/>
      <c r="BJ153" s="238"/>
      <c r="BK153" s="238"/>
      <c r="BL153" s="238"/>
      <c r="BM153" s="238"/>
      <c r="BN153" s="238"/>
      <c r="BO153" s="238"/>
      <c r="BP153" s="238"/>
      <c r="BQ153" s="238"/>
      <c r="BR153" s="238"/>
      <c r="BS153" s="238"/>
      <c r="BT153" s="238"/>
      <c r="BU153" s="238"/>
      <c r="BV153" s="238"/>
      <c r="BW153" s="238"/>
      <c r="BX153" s="238"/>
      <c r="BY153" s="238"/>
      <c r="BZ153" s="238"/>
      <c r="CA153" s="238"/>
      <c r="CB153" s="238"/>
      <c r="CC153" s="238"/>
      <c r="CD153" s="238"/>
      <c r="CE153" s="238"/>
      <c r="CF153" s="238"/>
      <c r="CG153" s="238"/>
      <c r="CH153" s="238"/>
      <c r="CI153" s="238"/>
      <c r="CJ153" s="238"/>
      <c r="CK153" s="238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  <c r="CV153" s="238"/>
    </row>
    <row r="154" spans="2:101" ht="18" customHeight="1" x14ac:dyDescent="0.25">
      <c r="K154" s="184"/>
      <c r="L154" s="184"/>
      <c r="M154" s="184"/>
      <c r="N154" s="184"/>
      <c r="O154" s="184"/>
      <c r="P154" s="184"/>
      <c r="Q154" s="184"/>
      <c r="R154" s="184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237"/>
      <c r="BF154" s="238"/>
      <c r="BG154" s="238"/>
      <c r="BH154" s="238"/>
      <c r="BI154" s="238"/>
      <c r="BJ154" s="238"/>
      <c r="BK154" s="238"/>
      <c r="BL154" s="238"/>
      <c r="BM154" s="238"/>
      <c r="BN154" s="238"/>
      <c r="BO154" s="238"/>
      <c r="BP154" s="238"/>
      <c r="BQ154" s="238"/>
      <c r="BR154" s="238"/>
      <c r="BS154" s="238"/>
      <c r="BT154" s="238"/>
      <c r="BU154" s="238"/>
      <c r="BV154" s="238"/>
      <c r="BW154" s="238"/>
      <c r="BX154" s="238"/>
      <c r="BY154" s="238"/>
      <c r="BZ154" s="238"/>
      <c r="CA154" s="238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</row>
    <row r="155" spans="2:101" ht="18" customHeight="1" x14ac:dyDescent="0.25">
      <c r="B155" s="2" t="s">
        <v>221</v>
      </c>
      <c r="K155" s="184"/>
      <c r="L155" s="184"/>
      <c r="M155" s="184"/>
      <c r="N155" s="184"/>
      <c r="O155" s="184"/>
      <c r="P155" s="184"/>
      <c r="Q155" s="184"/>
      <c r="R155" s="184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237"/>
      <c r="BF155" s="238"/>
      <c r="BG155" s="238"/>
      <c r="BH155" s="238"/>
      <c r="BI155" s="238"/>
      <c r="BJ155" s="238"/>
      <c r="BK155" s="238"/>
      <c r="BL155" s="238"/>
      <c r="BM155" s="238"/>
      <c r="BN155" s="238"/>
      <c r="BO155" s="238"/>
      <c r="BP155" s="238"/>
      <c r="BQ155" s="238"/>
      <c r="BR155" s="238"/>
      <c r="BS155" s="238"/>
      <c r="BT155" s="238"/>
      <c r="BU155" s="238"/>
      <c r="BV155" s="238"/>
      <c r="BW155" s="238"/>
      <c r="BX155" s="238"/>
      <c r="BY155" s="238"/>
      <c r="BZ155" s="238"/>
      <c r="CA155" s="238"/>
      <c r="CB155" s="238"/>
      <c r="CC155" s="238"/>
      <c r="CD155" s="238"/>
      <c r="CE155" s="238"/>
      <c r="CF155" s="238"/>
      <c r="CG155" s="238"/>
      <c r="CH155" s="238"/>
      <c r="CI155" s="238"/>
      <c r="CJ155" s="238"/>
      <c r="CK155" s="238"/>
      <c r="CL155" s="238"/>
      <c r="CM155" s="238"/>
      <c r="CN155" s="238"/>
      <c r="CO155" s="238"/>
      <c r="CP155" s="238"/>
      <c r="CQ155" s="238"/>
      <c r="CR155" s="238"/>
      <c r="CS155" s="238"/>
      <c r="CT155" s="238"/>
      <c r="CU155" s="238"/>
      <c r="CV155" s="238"/>
    </row>
    <row r="156" spans="2:101" ht="18" customHeight="1" x14ac:dyDescent="0.25">
      <c r="B156" s="1" t="s">
        <v>247</v>
      </c>
      <c r="K156" s="184"/>
      <c r="L156" s="184"/>
      <c r="M156" s="184"/>
      <c r="N156" s="185"/>
      <c r="O156" s="185"/>
      <c r="P156" s="185"/>
      <c r="Q156" s="185"/>
      <c r="R156" s="185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238"/>
      <c r="BF156" s="238"/>
      <c r="BG156" s="238"/>
      <c r="BH156" s="238"/>
      <c r="BI156" s="238"/>
      <c r="BJ156" s="238"/>
      <c r="BK156" s="238"/>
      <c r="BL156" s="238"/>
      <c r="BM156" s="238"/>
      <c r="BN156" s="238"/>
      <c r="BO156" s="238"/>
      <c r="BP156" s="238"/>
      <c r="BQ156" s="238"/>
      <c r="BR156" s="238"/>
      <c r="BS156" s="238"/>
      <c r="BT156" s="238"/>
      <c r="BU156" s="238"/>
      <c r="BV156" s="238"/>
      <c r="BW156" s="238"/>
      <c r="BX156" s="238"/>
      <c r="BY156" s="238"/>
      <c r="BZ156" s="238"/>
      <c r="CA156" s="238"/>
      <c r="CB156" s="238"/>
      <c r="CC156" s="238"/>
      <c r="CD156" s="238"/>
      <c r="CE156" s="238"/>
      <c r="CF156" s="238"/>
      <c r="CG156" s="238"/>
      <c r="CH156" s="238"/>
      <c r="CI156" s="238"/>
      <c r="CJ156" s="238"/>
      <c r="CK156" s="238"/>
      <c r="CL156" s="238"/>
      <c r="CM156" s="238"/>
      <c r="CN156" s="238"/>
      <c r="CO156" s="238"/>
      <c r="CP156" s="238"/>
      <c r="CQ156" s="238"/>
      <c r="CR156" s="238"/>
      <c r="CS156" s="238"/>
      <c r="CT156" s="238"/>
      <c r="CU156" s="238"/>
      <c r="CV156" s="238"/>
    </row>
    <row r="157" spans="2:101" ht="18" customHeight="1" thickBot="1" x14ac:dyDescent="0.3">
      <c r="B157" s="1"/>
      <c r="K157" s="184"/>
      <c r="L157" s="184"/>
      <c r="M157" s="184"/>
      <c r="N157" s="184"/>
      <c r="O157" s="184"/>
      <c r="P157" s="184"/>
      <c r="Q157" s="184"/>
      <c r="R157" s="184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237"/>
      <c r="BF157" s="238"/>
      <c r="BG157" s="238"/>
      <c r="BH157" s="238"/>
      <c r="BI157" s="238"/>
      <c r="BJ157" s="238"/>
      <c r="BK157" s="238"/>
      <c r="BL157" s="238"/>
      <c r="BM157" s="238"/>
      <c r="BN157" s="238"/>
      <c r="BO157" s="238"/>
      <c r="BP157" s="238"/>
      <c r="BQ157" s="238"/>
      <c r="BR157" s="238"/>
      <c r="BS157" s="238"/>
      <c r="BT157" s="238"/>
      <c r="BU157" s="238"/>
      <c r="BV157" s="238"/>
      <c r="BW157" s="238"/>
      <c r="BX157" s="238"/>
      <c r="BY157" s="238"/>
      <c r="BZ157" s="238"/>
      <c r="CA157" s="238"/>
      <c r="CB157" s="238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8"/>
      <c r="CN157" s="238"/>
      <c r="CO157" s="238"/>
      <c r="CP157" s="238"/>
      <c r="CQ157" s="238"/>
      <c r="CR157" s="238"/>
      <c r="CS157" s="238"/>
      <c r="CT157" s="238"/>
      <c r="CU157" s="238"/>
      <c r="CV157" s="238"/>
    </row>
    <row r="158" spans="2:101" ht="18" customHeight="1" thickTop="1" thickBot="1" x14ac:dyDescent="0.3">
      <c r="B158" s="81" t="s">
        <v>94</v>
      </c>
      <c r="C158"/>
      <c r="D158" s="82" t="s">
        <v>95</v>
      </c>
      <c r="K158" s="81" t="s">
        <v>94</v>
      </c>
      <c r="L158" s="185"/>
      <c r="M158" s="454" t="s">
        <v>95</v>
      </c>
      <c r="N158" s="184"/>
      <c r="O158" s="184"/>
      <c r="P158" s="184"/>
      <c r="Q158" s="184"/>
      <c r="R158" s="184"/>
      <c r="S158" s="81" t="s">
        <v>94</v>
      </c>
      <c r="T158" s="126"/>
      <c r="U158" s="457" t="s">
        <v>95</v>
      </c>
      <c r="V158" s="126"/>
      <c r="W158" s="126"/>
      <c r="X158" s="126"/>
      <c r="Y158" s="126"/>
      <c r="Z158" s="126"/>
      <c r="AA158" s="126"/>
      <c r="AB158" s="81" t="s">
        <v>94</v>
      </c>
      <c r="AC158" s="125"/>
      <c r="AD158" s="494" t="s">
        <v>95</v>
      </c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467" t="s">
        <v>94</v>
      </c>
      <c r="BF158" s="238"/>
      <c r="BG158" s="455" t="s">
        <v>95</v>
      </c>
      <c r="BH158" s="238"/>
      <c r="BI158" s="238"/>
      <c r="BJ158" s="238"/>
      <c r="BK158" s="238"/>
      <c r="BL158" s="238"/>
      <c r="BM158" s="238"/>
      <c r="BN158" s="238"/>
      <c r="BO158" s="238"/>
      <c r="BP158" s="238"/>
      <c r="BQ158" s="238"/>
      <c r="BR158" s="238"/>
      <c r="BS158" s="238"/>
      <c r="BT158" s="238"/>
      <c r="BU158" s="238"/>
      <c r="BV158" s="238"/>
      <c r="BW158" s="238"/>
      <c r="BX158" s="238"/>
      <c r="BY158" s="238"/>
      <c r="BZ158" s="238"/>
      <c r="CA158" s="238"/>
      <c r="CB158" s="238"/>
      <c r="CC158" s="238"/>
      <c r="CD158" s="238"/>
      <c r="CE158" s="238"/>
      <c r="CF158" s="238"/>
      <c r="CG158" s="238"/>
      <c r="CH158" s="238"/>
      <c r="CI158" s="238"/>
      <c r="CJ158" s="238"/>
      <c r="CK158" s="238"/>
      <c r="CL158" s="238"/>
      <c r="CM158" s="238"/>
      <c r="CN158" s="238"/>
      <c r="CO158" s="238"/>
      <c r="CP158" s="238"/>
      <c r="CQ158" s="238"/>
      <c r="CR158" s="238"/>
      <c r="CS158" s="238"/>
      <c r="CT158" s="238"/>
      <c r="CU158" s="238"/>
      <c r="CV158" s="238"/>
      <c r="CW158" s="465"/>
    </row>
    <row r="159" spans="2:101" ht="18" customHeight="1" thickTop="1" x14ac:dyDescent="0.2">
      <c r="K159" s="184"/>
      <c r="L159" s="184"/>
      <c r="M159" s="184"/>
      <c r="N159" s="184"/>
      <c r="O159" s="184"/>
      <c r="P159" s="184"/>
      <c r="Q159" s="184"/>
      <c r="R159" s="184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238"/>
      <c r="BF159" s="238"/>
      <c r="BG159" s="238"/>
      <c r="BH159" s="238"/>
      <c r="BI159" s="238"/>
      <c r="BJ159" s="238"/>
      <c r="BK159" s="238"/>
      <c r="BL159" s="238"/>
      <c r="BM159" s="238"/>
      <c r="BN159" s="238"/>
      <c r="BO159" s="238"/>
      <c r="BP159" s="238"/>
      <c r="BQ159" s="238"/>
      <c r="BR159" s="238"/>
      <c r="BS159" s="238"/>
      <c r="BT159" s="238"/>
      <c r="BU159" s="238"/>
      <c r="BV159" s="238"/>
      <c r="BW159" s="238"/>
      <c r="BX159" s="238"/>
      <c r="BY159" s="238"/>
      <c r="BZ159" s="238"/>
      <c r="CA159" s="238"/>
      <c r="CB159" s="238"/>
      <c r="CC159" s="238"/>
      <c r="CD159" s="238"/>
      <c r="CE159" s="238"/>
      <c r="CF159" s="238"/>
      <c r="CG159" s="238"/>
      <c r="CH159" s="238"/>
      <c r="CI159" s="238"/>
      <c r="CJ159" s="238"/>
      <c r="CK159" s="238"/>
      <c r="CL159" s="238"/>
      <c r="CM159" s="238"/>
      <c r="CN159" s="238"/>
      <c r="CO159" s="238"/>
      <c r="CP159" s="238"/>
      <c r="CQ159" s="238"/>
      <c r="CR159" s="238"/>
      <c r="CS159" s="238"/>
      <c r="CT159" s="238"/>
      <c r="CU159" s="238"/>
      <c r="CV159" s="238"/>
      <c r="CW159" s="465"/>
    </row>
    <row r="160" spans="2:101" ht="18" customHeight="1" x14ac:dyDescent="0.25">
      <c r="B160" s="1" t="s">
        <v>248</v>
      </c>
      <c r="K160" s="186" t="s">
        <v>147</v>
      </c>
      <c r="L160" s="184"/>
      <c r="M160" s="184"/>
      <c r="N160" s="184"/>
      <c r="O160" s="184"/>
      <c r="P160" s="184"/>
      <c r="Q160" s="184"/>
      <c r="R160" s="184"/>
      <c r="S160" s="128" t="s">
        <v>148</v>
      </c>
      <c r="T160" s="126"/>
      <c r="U160" s="126"/>
      <c r="V160" s="126"/>
      <c r="W160" s="126"/>
      <c r="X160" s="126"/>
      <c r="Y160" s="126"/>
      <c r="Z160" s="126"/>
      <c r="AA160" s="126"/>
      <c r="AB160" s="468" t="s">
        <v>149</v>
      </c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237" t="s">
        <v>150</v>
      </c>
      <c r="BF160" s="238"/>
      <c r="BG160" s="238"/>
      <c r="BH160" s="238"/>
      <c r="BI160" s="238"/>
      <c r="BJ160" s="238"/>
      <c r="BK160" s="238"/>
      <c r="BL160" s="238"/>
      <c r="BM160" s="238"/>
      <c r="BN160" s="238"/>
      <c r="BO160" s="238"/>
      <c r="BP160" s="238"/>
      <c r="BQ160" s="238"/>
      <c r="BR160" s="238"/>
      <c r="BS160" s="238"/>
      <c r="BT160" s="238"/>
      <c r="BU160" s="238"/>
      <c r="BV160" s="238"/>
      <c r="BW160" s="238"/>
      <c r="BX160" s="238"/>
      <c r="BY160" s="238"/>
      <c r="BZ160" s="238"/>
      <c r="CA160" s="238"/>
      <c r="CB160" s="238"/>
      <c r="CC160" s="238"/>
      <c r="CD160" s="238"/>
      <c r="CE160" s="238"/>
      <c r="CF160" s="238"/>
      <c r="CG160" s="238"/>
      <c r="CH160" s="238"/>
      <c r="CI160" s="238"/>
      <c r="CJ160" s="238"/>
      <c r="CK160" s="238"/>
      <c r="CL160" s="238"/>
      <c r="CM160" s="238"/>
      <c r="CN160" s="238"/>
      <c r="CO160" s="238"/>
      <c r="CP160" s="238"/>
      <c r="CQ160" s="238"/>
      <c r="CR160" s="238"/>
      <c r="CS160" s="238"/>
      <c r="CT160" s="238"/>
      <c r="CU160" s="238"/>
      <c r="CV160" s="238"/>
      <c r="CW160" s="465"/>
    </row>
    <row r="161" spans="2:101" ht="18" customHeight="1" x14ac:dyDescent="0.25">
      <c r="B161" s="1" t="s">
        <v>249</v>
      </c>
      <c r="K161" s="184"/>
      <c r="L161" s="184"/>
      <c r="M161" s="184"/>
      <c r="N161" s="184"/>
      <c r="O161" s="184"/>
      <c r="P161" s="184"/>
      <c r="Q161" s="184"/>
      <c r="R161" s="184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241" t="s">
        <v>12</v>
      </c>
      <c r="BF161" s="241" t="s">
        <v>250</v>
      </c>
      <c r="BG161" s="241" t="s">
        <v>251</v>
      </c>
      <c r="BH161" s="257" t="s">
        <v>252</v>
      </c>
      <c r="BI161" s="238"/>
      <c r="BJ161" s="238"/>
      <c r="BK161" s="238"/>
      <c r="BL161" s="238"/>
      <c r="BM161" s="238"/>
      <c r="BN161" s="238"/>
      <c r="BO161" s="238"/>
      <c r="BP161" s="238"/>
      <c r="BQ161" s="238"/>
      <c r="BR161" s="238"/>
      <c r="BS161" s="238"/>
      <c r="BT161" s="238"/>
      <c r="BU161" s="238"/>
      <c r="BV161" s="238"/>
      <c r="BW161" s="238"/>
      <c r="BX161" s="238"/>
      <c r="BY161" s="238"/>
      <c r="BZ161" s="238"/>
      <c r="CA161" s="238"/>
      <c r="CB161" s="238"/>
      <c r="CC161" s="238"/>
      <c r="CD161" s="238"/>
      <c r="CE161" s="238"/>
      <c r="CF161" s="238"/>
      <c r="CG161" s="238"/>
      <c r="CH161" s="238"/>
      <c r="CI161" s="238"/>
      <c r="CJ161" s="238"/>
      <c r="CK161" s="238"/>
      <c r="CL161" s="238"/>
      <c r="CM161" s="238"/>
      <c r="CN161" s="238"/>
      <c r="CO161" s="238"/>
      <c r="CP161" s="238"/>
      <c r="CQ161" s="238"/>
      <c r="CR161" s="238"/>
      <c r="CS161" s="238"/>
      <c r="CT161" s="238"/>
      <c r="CU161" s="238"/>
      <c r="CV161" s="238"/>
      <c r="CW161" s="465"/>
    </row>
    <row r="162" spans="2:101" ht="18" customHeight="1" x14ac:dyDescent="0.25">
      <c r="B162" s="1" t="s">
        <v>454</v>
      </c>
      <c r="K162" s="202" t="s">
        <v>12</v>
      </c>
      <c r="L162" s="202" t="s">
        <v>250</v>
      </c>
      <c r="M162" s="201" t="s">
        <v>251</v>
      </c>
      <c r="N162" s="202" t="s">
        <v>252</v>
      </c>
      <c r="O162" s="184"/>
      <c r="P162" s="184"/>
      <c r="Q162" s="184"/>
      <c r="R162" s="184"/>
      <c r="S162" s="130" t="s">
        <v>12</v>
      </c>
      <c r="T162" s="130" t="s">
        <v>250</v>
      </c>
      <c r="U162" s="130" t="s">
        <v>251</v>
      </c>
      <c r="V162" s="152" t="s">
        <v>252</v>
      </c>
      <c r="W162" s="126"/>
      <c r="X162" s="126"/>
      <c r="Y162" s="126"/>
      <c r="Z162" s="126"/>
      <c r="AA162" s="126"/>
      <c r="AB162" s="470" t="s">
        <v>12</v>
      </c>
      <c r="AC162" s="470" t="s">
        <v>250</v>
      </c>
      <c r="AD162" s="470" t="s">
        <v>251</v>
      </c>
      <c r="AE162" s="495" t="s">
        <v>252</v>
      </c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242">
        <v>1</v>
      </c>
      <c r="BF162" s="253">
        <f>SUMPRODUCT(BE162:BE166,BI26:BI30)</f>
        <v>9.8016894096481053</v>
      </c>
      <c r="BG162" s="242">
        <f>SUMPRODUCT($BE$162:$BE$166,BG59:BG63)</f>
        <v>1.2209476081564909E-5</v>
      </c>
      <c r="BH162" s="254">
        <f>SUMPRODUCT(BE162:BE166,BG162:BG166)</f>
        <v>4.382494843761827E-5</v>
      </c>
      <c r="BI162" s="238"/>
      <c r="BJ162" s="238"/>
      <c r="BK162" s="238"/>
      <c r="BL162" s="238"/>
      <c r="BM162" s="238"/>
      <c r="BN162" s="238"/>
      <c r="BO162" s="238"/>
      <c r="BP162" s="238"/>
      <c r="BQ162" s="238"/>
      <c r="BR162" s="238"/>
      <c r="BS162" s="238"/>
      <c r="BT162" s="238"/>
      <c r="BU162" s="238"/>
      <c r="BV162" s="238"/>
      <c r="BW162" s="238"/>
      <c r="BX162" s="238"/>
      <c r="BY162" s="238"/>
      <c r="BZ162" s="238"/>
      <c r="CA162" s="238"/>
      <c r="CB162" s="238"/>
      <c r="CC162" s="238"/>
      <c r="CD162" s="238"/>
      <c r="CE162" s="238"/>
      <c r="CF162" s="238"/>
      <c r="CG162" s="238"/>
      <c r="CH162" s="238"/>
      <c r="CI162" s="238"/>
      <c r="CJ162" s="238"/>
      <c r="CK162" s="238"/>
      <c r="CL162" s="238"/>
      <c r="CM162" s="238"/>
      <c r="CN162" s="238"/>
      <c r="CO162" s="238"/>
      <c r="CP162" s="238"/>
      <c r="CQ162" s="238"/>
      <c r="CR162" s="238"/>
      <c r="CS162" s="238"/>
      <c r="CT162" s="238"/>
      <c r="CU162" s="238"/>
      <c r="CV162" s="238"/>
      <c r="CW162" s="465"/>
    </row>
    <row r="163" spans="2:101" ht="18" customHeight="1" x14ac:dyDescent="0.2">
      <c r="B163" s="1" t="s">
        <v>253</v>
      </c>
      <c r="K163" s="195">
        <v>1</v>
      </c>
      <c r="L163" s="193">
        <f>SUMPRODUCT(K163:K164,K27:K28)</f>
        <v>10.325292631578961</v>
      </c>
      <c r="M163" s="195">
        <f>SUMPRODUCT($K$163:$K$164,K52:K53)</f>
        <v>2.6240008044315227E-3</v>
      </c>
      <c r="N163" s="193">
        <f>SUMPRODUCT(K163:K164,M163:M164)</f>
        <v>3.411201045760965E-2</v>
      </c>
      <c r="O163" s="185"/>
      <c r="P163" s="185"/>
      <c r="Q163" s="185"/>
      <c r="R163" s="185"/>
      <c r="S163" s="131">
        <v>1</v>
      </c>
      <c r="T163" s="145">
        <f>SUMPRODUCT(S163:S165,U30:U32)</f>
        <v>9.8006331888544942</v>
      </c>
      <c r="U163" s="131">
        <f>SUMPRODUCT($S$163:$S$165,U59:U61)</f>
        <v>-3.577843026909334E-5</v>
      </c>
      <c r="V163" s="145">
        <f>SUMPRODUCT(S163:S165,U163:U165)</f>
        <v>4.9007429696321033E-5</v>
      </c>
      <c r="W163" s="126"/>
      <c r="X163" s="126"/>
      <c r="Y163" s="126"/>
      <c r="Z163" s="126"/>
      <c r="AA163" s="126"/>
      <c r="AB163" s="471">
        <v>1</v>
      </c>
      <c r="AC163" s="490">
        <f>SUMPRODUCT(AB163:AB166,AD30:AD33)</f>
        <v>9.7999467304613574</v>
      </c>
      <c r="AD163" s="471">
        <f>SUMPRODUCT(AB163:AB166,AD59:AD62)</f>
        <v>1.626292284958729E-5</v>
      </c>
      <c r="AE163" s="491">
        <f>SUMPRODUCT(AB163:AB166,AD163:AD166)</f>
        <v>7.757915297716331E-5</v>
      </c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243">
        <f>conc</f>
        <v>6</v>
      </c>
      <c r="BF163" s="240"/>
      <c r="BG163" s="243">
        <f>SUMPRODUCT($BE$162:$BE$166,BH59:BH63)</f>
        <v>-3.6142758706690647E-5</v>
      </c>
      <c r="BH163" s="238"/>
      <c r="BI163" s="238"/>
      <c r="BJ163" s="238"/>
      <c r="BK163" s="238"/>
      <c r="BL163" s="238"/>
      <c r="BM163" s="238"/>
      <c r="BN163" s="238"/>
      <c r="BO163" s="238"/>
      <c r="BP163" s="238"/>
      <c r="BQ163" s="238"/>
      <c r="BR163" s="238"/>
      <c r="BS163" s="238"/>
      <c r="BT163" s="238"/>
      <c r="BU163" s="238"/>
      <c r="BV163" s="238"/>
      <c r="BW163" s="238"/>
      <c r="BX163" s="238"/>
      <c r="BY163" s="238"/>
      <c r="BZ163" s="238"/>
      <c r="CA163" s="238"/>
      <c r="CB163" s="238"/>
      <c r="CC163" s="238"/>
      <c r="CD163" s="238"/>
      <c r="CE163" s="238"/>
      <c r="CF163" s="238"/>
      <c r="CG163" s="238"/>
      <c r="CH163" s="238"/>
      <c r="CI163" s="238"/>
      <c r="CJ163" s="238"/>
      <c r="CK163" s="238"/>
      <c r="CL163" s="238"/>
      <c r="CM163" s="238"/>
      <c r="CN163" s="238"/>
      <c r="CO163" s="238"/>
      <c r="CP163" s="238"/>
      <c r="CQ163" s="238"/>
      <c r="CR163" s="238"/>
      <c r="CS163" s="238"/>
      <c r="CT163" s="238"/>
      <c r="CU163" s="238"/>
      <c r="CV163" s="238"/>
      <c r="CW163" s="465"/>
    </row>
    <row r="164" spans="2:101" ht="18" customHeight="1" thickBot="1" x14ac:dyDescent="0.25">
      <c r="K164" s="196">
        <f>conc</f>
        <v>6</v>
      </c>
      <c r="L164" s="187"/>
      <c r="M164" s="196">
        <f>SUMPRODUCT($K$163:$K$164,L52:L53)</f>
        <v>5.2480016088630212E-3</v>
      </c>
      <c r="N164" s="185"/>
      <c r="O164" s="187"/>
      <c r="P164" s="187"/>
      <c r="Q164" s="187"/>
      <c r="R164" s="187"/>
      <c r="S164" s="135">
        <f>conc</f>
        <v>6</v>
      </c>
      <c r="T164" s="129"/>
      <c r="U164" s="135">
        <f>SUMPRODUCT($S$163:$S$165,V59:V61)</f>
        <v>3.2170521334394856E-5</v>
      </c>
      <c r="V164" s="126"/>
      <c r="W164" s="126"/>
      <c r="X164" s="126"/>
      <c r="Y164" s="126"/>
      <c r="Z164" s="126"/>
      <c r="AA164" s="126"/>
      <c r="AB164" s="475">
        <f>conc</f>
        <v>6</v>
      </c>
      <c r="AC164" s="456"/>
      <c r="AD164" s="475">
        <f>SUMPRODUCT(AB163:AB166,AE59:AE62)</f>
        <v>-4.8272485283696502E-5</v>
      </c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243">
        <f>conc^2</f>
        <v>36</v>
      </c>
      <c r="BF164" s="240"/>
      <c r="BG164" s="243">
        <f>SUMPRODUCT($BE$162:$BE$166,BI59:BI63)</f>
        <v>1.6005938343314867E-5</v>
      </c>
      <c r="BH164" s="238"/>
      <c r="BI164" s="238"/>
      <c r="BJ164" s="238"/>
      <c r="BK164" s="238"/>
      <c r="BL164" s="238"/>
      <c r="BM164" s="238"/>
      <c r="BN164" s="238"/>
      <c r="BO164" s="238"/>
      <c r="BP164" s="238"/>
      <c r="BQ164" s="238"/>
      <c r="BR164" s="238"/>
      <c r="BS164" s="238"/>
      <c r="BT164" s="238"/>
      <c r="BU164" s="238"/>
      <c r="BV164" s="238"/>
      <c r="BW164" s="238"/>
      <c r="BX164" s="238"/>
      <c r="BY164" s="238"/>
      <c r="BZ164" s="238"/>
      <c r="CA164" s="238"/>
      <c r="CB164" s="238"/>
      <c r="CC164" s="238"/>
      <c r="CD164" s="238"/>
      <c r="CE164" s="238"/>
      <c r="CF164" s="238"/>
      <c r="CG164" s="238"/>
      <c r="CH164" s="238"/>
      <c r="CI164" s="238"/>
      <c r="CJ164" s="238"/>
      <c r="CK164" s="238"/>
      <c r="CL164" s="238"/>
      <c r="CM164" s="238"/>
      <c r="CN164" s="238"/>
      <c r="CO164" s="238"/>
      <c r="CP164" s="238"/>
      <c r="CQ164" s="238"/>
      <c r="CR164" s="238"/>
      <c r="CS164" s="238"/>
      <c r="CT164" s="238"/>
      <c r="CU164" s="238"/>
      <c r="CV164" s="238"/>
      <c r="CW164" s="465"/>
    </row>
    <row r="165" spans="2:101" ht="18" customHeight="1" thickTop="1" thickBot="1" x14ac:dyDescent="0.25">
      <c r="C165" s="5" t="s">
        <v>254</v>
      </c>
      <c r="D165" s="20">
        <v>6</v>
      </c>
      <c r="K165" s="187"/>
      <c r="L165" s="187"/>
      <c r="M165" s="187"/>
      <c r="N165" s="187"/>
      <c r="O165" s="187"/>
      <c r="P165" s="187"/>
      <c r="Q165" s="187"/>
      <c r="R165" s="187"/>
      <c r="S165" s="146">
        <f>conc^2</f>
        <v>36</v>
      </c>
      <c r="T165" s="129"/>
      <c r="U165" s="146">
        <f>SUMPRODUCT($S$163:$S$165,W59:W61)</f>
        <v>-3.00659077891541E-6</v>
      </c>
      <c r="V165" s="126"/>
      <c r="W165" s="126"/>
      <c r="X165" s="126"/>
      <c r="Y165" s="126"/>
      <c r="Z165" s="126"/>
      <c r="AA165" s="126"/>
      <c r="AB165" s="475">
        <f>conc^2</f>
        <v>36</v>
      </c>
      <c r="AC165" s="456"/>
      <c r="AD165" s="475">
        <f>SUMPRODUCT(AB163:AB166,AF59:AF62)</f>
        <v>1.9952829714620199E-5</v>
      </c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243">
        <f>conc^3</f>
        <v>216</v>
      </c>
      <c r="BF165" s="238"/>
      <c r="BG165" s="243">
        <f>SUMPRODUCT($BE$162:$BE$166,BJ59:BJ63)</f>
        <v>-1.797923761638116E-6</v>
      </c>
      <c r="BH165" s="238"/>
      <c r="BI165" s="238"/>
      <c r="BJ165" s="238"/>
      <c r="BK165" s="238"/>
      <c r="BL165" s="238"/>
      <c r="BM165" s="238"/>
      <c r="BN165" s="238"/>
      <c r="BO165" s="238"/>
      <c r="BP165" s="238"/>
      <c r="BQ165" s="238"/>
      <c r="BR165" s="238"/>
      <c r="BS165" s="238"/>
      <c r="BT165" s="238"/>
      <c r="BU165" s="238"/>
      <c r="BV165" s="238"/>
      <c r="BW165" s="238"/>
      <c r="BX165" s="238"/>
      <c r="BY165" s="238"/>
      <c r="BZ165" s="238"/>
      <c r="CA165" s="238"/>
      <c r="CB165" s="238"/>
      <c r="CC165" s="238"/>
      <c r="CD165" s="238"/>
      <c r="CE165" s="238"/>
      <c r="CF165" s="238"/>
      <c r="CG165" s="238"/>
      <c r="CH165" s="238"/>
      <c r="CI165" s="238"/>
      <c r="CJ165" s="238"/>
      <c r="CK165" s="238"/>
      <c r="CL165" s="238"/>
      <c r="CM165" s="238"/>
      <c r="CN165" s="238"/>
      <c r="CO165" s="238"/>
      <c r="CP165" s="238"/>
      <c r="CQ165" s="238"/>
      <c r="CR165" s="238"/>
      <c r="CS165" s="238"/>
      <c r="CT165" s="238"/>
      <c r="CU165" s="238"/>
      <c r="CV165" s="238"/>
      <c r="CW165" s="465"/>
    </row>
    <row r="166" spans="2:101" ht="18" customHeight="1" thickTop="1" thickBot="1" x14ac:dyDescent="0.3">
      <c r="K166" s="186"/>
      <c r="L166" s="184"/>
      <c r="M166" s="184"/>
      <c r="N166" s="185"/>
      <c r="O166" s="187"/>
      <c r="P166" s="187"/>
      <c r="Q166" s="187"/>
      <c r="R166" s="187"/>
      <c r="S166" s="126"/>
      <c r="T166" s="126"/>
      <c r="U166" s="126"/>
      <c r="V166" s="126"/>
      <c r="W166" s="126"/>
      <c r="X166" s="126"/>
      <c r="Y166" s="126"/>
      <c r="Z166" s="126"/>
      <c r="AA166" s="126"/>
      <c r="AB166" s="484">
        <f>conc^3</f>
        <v>216</v>
      </c>
      <c r="AC166" s="125"/>
      <c r="AD166" s="484">
        <f>SUMPRODUCT(AB163:AB166,AG59:AG62)</f>
        <v>-1.700697814335982E-6</v>
      </c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247">
        <f>conc^4</f>
        <v>1296</v>
      </c>
      <c r="BF166" s="238"/>
      <c r="BG166" s="247">
        <f>SUMPRODUCT($BE$162:$BE$166,BK59:BK63)</f>
        <v>4.6766803048375836E-8</v>
      </c>
      <c r="BH166" s="238"/>
      <c r="BI166" s="238"/>
      <c r="BJ166" s="238"/>
      <c r="BK166" s="238"/>
      <c r="BL166" s="238"/>
      <c r="BM166" s="238"/>
      <c r="BN166" s="238"/>
      <c r="BO166" s="238"/>
      <c r="BP166" s="238"/>
      <c r="BQ166" s="238"/>
      <c r="BR166" s="238"/>
      <c r="BS166" s="238"/>
      <c r="BT166" s="238"/>
      <c r="BU166" s="238"/>
      <c r="BV166" s="238"/>
      <c r="BW166" s="238"/>
      <c r="BX166" s="238"/>
      <c r="BY166" s="238"/>
      <c r="BZ166" s="238"/>
      <c r="CA166" s="238"/>
      <c r="CB166" s="238"/>
      <c r="CC166" s="238"/>
      <c r="CD166" s="238"/>
      <c r="CE166" s="238"/>
      <c r="CF166" s="238"/>
      <c r="CG166" s="238"/>
      <c r="CH166" s="238"/>
      <c r="CI166" s="238"/>
      <c r="CJ166" s="238"/>
      <c r="CK166" s="238"/>
      <c r="CL166" s="238"/>
      <c r="CM166" s="238"/>
      <c r="CN166" s="238"/>
      <c r="CO166" s="238"/>
      <c r="CP166" s="238"/>
      <c r="CQ166" s="238"/>
      <c r="CR166" s="238"/>
      <c r="CS166" s="238"/>
      <c r="CT166" s="238"/>
      <c r="CU166" s="238"/>
      <c r="CV166" s="238"/>
      <c r="CW166" s="465"/>
    </row>
    <row r="167" spans="2:101" ht="18" customHeight="1" thickTop="1" thickBot="1" x14ac:dyDescent="0.25">
      <c r="C167" s="6" t="s">
        <v>255</v>
      </c>
      <c r="D167" s="20">
        <v>3</v>
      </c>
      <c r="K167" s="184"/>
      <c r="L167" s="184"/>
      <c r="M167" s="184"/>
      <c r="N167" s="185"/>
      <c r="O167" s="185"/>
      <c r="P167" s="185"/>
      <c r="Q167" s="185"/>
      <c r="R167" s="185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238"/>
      <c r="BF167" s="238"/>
      <c r="BG167" s="238"/>
      <c r="BH167" s="238"/>
      <c r="BI167" s="238"/>
      <c r="BJ167" s="238"/>
      <c r="BK167" s="238"/>
      <c r="BL167" s="238"/>
      <c r="BM167" s="238"/>
      <c r="BN167" s="238"/>
      <c r="BO167" s="238"/>
      <c r="BP167" s="238"/>
      <c r="BQ167" s="238"/>
      <c r="BR167" s="238"/>
      <c r="BS167" s="238"/>
      <c r="BT167" s="238"/>
      <c r="BU167" s="238"/>
      <c r="BV167" s="238"/>
      <c r="BW167" s="238"/>
      <c r="BX167" s="238"/>
      <c r="BY167" s="238"/>
      <c r="BZ167" s="238"/>
      <c r="CA167" s="238"/>
      <c r="CB167" s="238"/>
      <c r="CC167" s="238"/>
      <c r="CD167" s="238"/>
      <c r="CE167" s="238"/>
      <c r="CF167" s="238"/>
      <c r="CG167" s="238"/>
      <c r="CH167" s="238"/>
      <c r="CI167" s="238"/>
      <c r="CJ167" s="238"/>
      <c r="CK167" s="238"/>
      <c r="CL167" s="238"/>
      <c r="CM167" s="238"/>
      <c r="CN167" s="238"/>
      <c r="CO167" s="238"/>
      <c r="CP167" s="238"/>
      <c r="CQ167" s="238"/>
      <c r="CR167" s="238"/>
      <c r="CS167" s="238"/>
      <c r="CT167" s="238"/>
      <c r="CU167" s="238"/>
      <c r="CV167" s="238"/>
      <c r="CW167" s="465"/>
    </row>
    <row r="168" spans="2:101" ht="18" customHeight="1" thickTop="1" x14ac:dyDescent="0.2">
      <c r="K168" s="203" t="s">
        <v>256</v>
      </c>
      <c r="L168" s="204"/>
      <c r="M168" s="205"/>
      <c r="N168" s="185"/>
      <c r="O168" s="185"/>
      <c r="P168" s="185"/>
      <c r="Q168" s="185"/>
      <c r="R168" s="185"/>
      <c r="S168" s="153" t="s">
        <v>256</v>
      </c>
      <c r="T168" s="154"/>
      <c r="U168" s="134"/>
      <c r="V168" s="127"/>
      <c r="W168" s="127"/>
      <c r="X168" s="126"/>
      <c r="Y168" s="126"/>
      <c r="Z168" s="126"/>
      <c r="AA168" s="126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238"/>
      <c r="BF168" s="238"/>
      <c r="BG168" s="238"/>
      <c r="BH168" s="238"/>
      <c r="BI168" s="238"/>
      <c r="BJ168" s="238"/>
      <c r="BK168" s="238"/>
      <c r="BL168" s="238"/>
      <c r="BM168" s="238"/>
      <c r="BN168" s="238"/>
      <c r="BO168" s="238"/>
      <c r="BP168" s="238"/>
      <c r="BQ168" s="238"/>
      <c r="BR168" s="238"/>
      <c r="BS168" s="238"/>
      <c r="BT168" s="238"/>
      <c r="BU168" s="238"/>
      <c r="BV168" s="238"/>
      <c r="BW168" s="238"/>
      <c r="BX168" s="238"/>
      <c r="BY168" s="238"/>
      <c r="BZ168" s="238"/>
      <c r="CA168" s="238"/>
      <c r="CB168" s="238"/>
      <c r="CC168" s="238"/>
      <c r="CD168" s="238"/>
      <c r="CE168" s="238"/>
      <c r="CF168" s="238"/>
      <c r="CG168" s="238"/>
      <c r="CH168" s="238"/>
      <c r="CI168" s="238"/>
      <c r="CJ168" s="238"/>
      <c r="CK168" s="238"/>
      <c r="CL168" s="238"/>
      <c r="CM168" s="238"/>
      <c r="CN168" s="238"/>
      <c r="CO168" s="238"/>
      <c r="CP168" s="238"/>
      <c r="CQ168" s="238"/>
      <c r="CR168" s="238"/>
      <c r="CS168" s="238"/>
      <c r="CT168" s="238"/>
      <c r="CU168" s="238"/>
      <c r="CV168" s="238"/>
      <c r="CW168" s="465"/>
    </row>
    <row r="169" spans="2:101" ht="18" customHeight="1" x14ac:dyDescent="0.2">
      <c r="B169" s="2" t="s">
        <v>257</v>
      </c>
      <c r="K169" s="206" t="s">
        <v>258</v>
      </c>
      <c r="L169" s="207" t="s">
        <v>259</v>
      </c>
      <c r="M169" s="208" t="s">
        <v>260</v>
      </c>
      <c r="N169" s="185"/>
      <c r="O169" s="185"/>
      <c r="P169" s="185"/>
      <c r="Q169" s="185"/>
      <c r="R169" s="185"/>
      <c r="S169" s="155" t="s">
        <v>258</v>
      </c>
      <c r="T169" s="156" t="s">
        <v>259</v>
      </c>
      <c r="U169" s="157" t="s">
        <v>260</v>
      </c>
      <c r="V169" s="127"/>
      <c r="W169" s="127"/>
      <c r="X169" s="126"/>
      <c r="Y169" s="126"/>
      <c r="Z169" s="126"/>
      <c r="AA169" s="126"/>
      <c r="AB169" s="496" t="s">
        <v>256</v>
      </c>
      <c r="AC169" s="497"/>
      <c r="AD169" s="474"/>
      <c r="AE169" s="469"/>
      <c r="AF169" s="469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258" t="s">
        <v>256</v>
      </c>
      <c r="BF169" s="259"/>
      <c r="BG169" s="260"/>
      <c r="BH169" s="239"/>
      <c r="BI169" s="238"/>
      <c r="BJ169" s="238"/>
      <c r="BK169" s="238"/>
      <c r="BL169" s="238"/>
      <c r="BM169" s="238"/>
      <c r="BN169" s="238"/>
      <c r="BO169" s="238"/>
      <c r="BP169" s="238"/>
      <c r="BQ169" s="238"/>
      <c r="BR169" s="238"/>
      <c r="BS169" s="238"/>
      <c r="BT169" s="238"/>
      <c r="BU169" s="238"/>
      <c r="BV169" s="238"/>
      <c r="BW169" s="238"/>
      <c r="BX169" s="238"/>
      <c r="BY169" s="238"/>
      <c r="BZ169" s="238"/>
      <c r="CA169" s="238"/>
      <c r="CB169" s="238"/>
      <c r="CC169" s="238"/>
      <c r="CD169" s="238"/>
      <c r="CE169" s="238"/>
      <c r="CF169" s="238"/>
      <c r="CG169" s="238"/>
      <c r="CH169" s="238"/>
      <c r="CI169" s="238"/>
      <c r="CJ169" s="238"/>
      <c r="CK169" s="238"/>
      <c r="CL169" s="238"/>
      <c r="CM169" s="238"/>
      <c r="CN169" s="238"/>
      <c r="CO169" s="238"/>
      <c r="CP169" s="238"/>
      <c r="CQ169" s="238"/>
      <c r="CR169" s="238"/>
      <c r="CS169" s="238"/>
      <c r="CT169" s="238"/>
      <c r="CU169" s="238"/>
      <c r="CV169" s="238"/>
      <c r="CW169" s="465"/>
    </row>
    <row r="170" spans="2:101" ht="18" customHeight="1" x14ac:dyDescent="0.2">
      <c r="B170" s="2" t="s">
        <v>261</v>
      </c>
      <c r="K170" s="209">
        <f>L163</f>
        <v>10.325292631578961</v>
      </c>
      <c r="L170" s="210">
        <f>$K$170-t*SQRT($N$163)</f>
        <v>9.9356215717700263</v>
      </c>
      <c r="M170" s="211">
        <f>$K$170+t*SQRT($N$163)</f>
        <v>10.714963691387895</v>
      </c>
      <c r="N170" s="185"/>
      <c r="O170" s="185"/>
      <c r="P170" s="185"/>
      <c r="Q170" s="185"/>
      <c r="R170" s="185"/>
      <c r="S170" s="137">
        <f>T163</f>
        <v>9.8006331888544942</v>
      </c>
      <c r="T170" s="138">
        <f>$S$170-$U$35*SQRT($V$163)</f>
        <v>9.7857927267845444</v>
      </c>
      <c r="U170" s="140">
        <f>$S$170+$U$35*SQRT($V$163)</f>
        <v>9.815473650924444</v>
      </c>
      <c r="V170" s="127"/>
      <c r="W170" s="127"/>
      <c r="X170" s="126"/>
      <c r="Y170" s="126"/>
      <c r="Z170" s="126"/>
      <c r="AA170" s="126"/>
      <c r="AB170" s="498" t="s">
        <v>258</v>
      </c>
      <c r="AC170" s="499" t="s">
        <v>259</v>
      </c>
      <c r="AD170" s="500" t="s">
        <v>260</v>
      </c>
      <c r="AE170" s="469"/>
      <c r="AF170" s="469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261" t="s">
        <v>258</v>
      </c>
      <c r="BF170" s="262" t="s">
        <v>259</v>
      </c>
      <c r="BG170" s="263" t="s">
        <v>260</v>
      </c>
      <c r="BH170" s="239"/>
      <c r="BI170" s="238"/>
      <c r="BJ170" s="238"/>
      <c r="BK170" s="238"/>
      <c r="BL170" s="238"/>
      <c r="BM170" s="238"/>
      <c r="BN170" s="238"/>
      <c r="BO170" s="238"/>
      <c r="BP170" s="238"/>
      <c r="BQ170" s="238"/>
      <c r="BR170" s="238"/>
      <c r="BS170" s="238"/>
      <c r="BT170" s="238"/>
      <c r="BU170" s="238"/>
      <c r="BV170" s="238"/>
      <c r="BW170" s="238"/>
      <c r="BX170" s="238"/>
      <c r="BY170" s="238"/>
      <c r="BZ170" s="238"/>
      <c r="CA170" s="238"/>
      <c r="CB170" s="238"/>
      <c r="CC170" s="238"/>
      <c r="CD170" s="238"/>
      <c r="CE170" s="238"/>
      <c r="CF170" s="238"/>
      <c r="CG170" s="238"/>
      <c r="CH170" s="238"/>
      <c r="CI170" s="238"/>
      <c r="CJ170" s="238"/>
      <c r="CK170" s="238"/>
      <c r="CL170" s="238"/>
      <c r="CM170" s="238"/>
      <c r="CN170" s="238"/>
      <c r="CO170" s="238"/>
      <c r="CP170" s="238"/>
      <c r="CQ170" s="238"/>
      <c r="CR170" s="238"/>
      <c r="CS170" s="238"/>
      <c r="CT170" s="238"/>
      <c r="CU170" s="238"/>
      <c r="CV170" s="238"/>
      <c r="CW170" s="465"/>
    </row>
    <row r="171" spans="2:101" ht="18" customHeight="1" x14ac:dyDescent="0.2">
      <c r="B171" s="2" t="s">
        <v>262</v>
      </c>
      <c r="K171" s="209"/>
      <c r="L171" s="210"/>
      <c r="M171" s="211"/>
      <c r="N171" s="185"/>
      <c r="O171" s="185"/>
      <c r="P171" s="185"/>
      <c r="Q171" s="185"/>
      <c r="R171" s="185"/>
      <c r="S171" s="137"/>
      <c r="T171" s="138"/>
      <c r="U171" s="140"/>
      <c r="V171" s="127"/>
      <c r="W171" s="127"/>
      <c r="X171" s="126"/>
      <c r="Y171" s="126"/>
      <c r="Z171" s="126"/>
      <c r="AA171" s="126"/>
      <c r="AB171" s="476">
        <f>AC163</f>
        <v>9.7999467304613574</v>
      </c>
      <c r="AC171" s="403">
        <f>$AB$171-$AD$35*SQRT($AE$163)</f>
        <v>9.7811731298905737</v>
      </c>
      <c r="AD171" s="477">
        <f>$AB$171+$AD$35*SQRT($AE$163)</f>
        <v>9.8187203310321411</v>
      </c>
      <c r="AE171" s="469"/>
      <c r="AF171" s="469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264">
        <f>BF162</f>
        <v>9.8016894096481053</v>
      </c>
      <c r="BF171" s="244">
        <f>$BE$171-$BG$35*SQRT($BH$162)</f>
        <v>9.7874908329313381</v>
      </c>
      <c r="BG171" s="265">
        <f>$BE$171+$BG$35*SQRT($BH$162)</f>
        <v>9.8158879863648725</v>
      </c>
      <c r="BH171" s="239"/>
      <c r="BI171" s="239"/>
      <c r="BJ171" s="238"/>
      <c r="BK171" s="238"/>
      <c r="BL171" s="238"/>
      <c r="BM171" s="238"/>
      <c r="BN171" s="238"/>
      <c r="BO171" s="238"/>
      <c r="BP171" s="238"/>
      <c r="BQ171" s="238"/>
      <c r="BR171" s="238"/>
      <c r="BS171" s="238"/>
      <c r="BT171" s="238"/>
      <c r="BU171" s="238"/>
      <c r="BV171" s="238"/>
      <c r="BW171" s="238"/>
      <c r="BX171" s="238"/>
      <c r="BY171" s="238"/>
      <c r="BZ171" s="238"/>
      <c r="CA171" s="238"/>
      <c r="CB171" s="238"/>
      <c r="CC171" s="238"/>
      <c r="CD171" s="238"/>
      <c r="CE171" s="238"/>
      <c r="CF171" s="238"/>
      <c r="CG171" s="238"/>
      <c r="CH171" s="238"/>
      <c r="CI171" s="238"/>
      <c r="CJ171" s="238"/>
      <c r="CK171" s="238"/>
      <c r="CL171" s="238"/>
      <c r="CM171" s="238"/>
      <c r="CN171" s="238"/>
      <c r="CO171" s="238"/>
      <c r="CP171" s="238"/>
      <c r="CQ171" s="238"/>
      <c r="CR171" s="238"/>
      <c r="CS171" s="238"/>
      <c r="CT171" s="238"/>
      <c r="CU171" s="238"/>
      <c r="CV171" s="238"/>
      <c r="CW171" s="465"/>
    </row>
    <row r="172" spans="2:101" ht="18" customHeight="1" x14ac:dyDescent="0.2">
      <c r="B172" s="1" t="s">
        <v>263</v>
      </c>
      <c r="K172" s="212" t="s">
        <v>264</v>
      </c>
      <c r="L172" s="213"/>
      <c r="M172" s="214"/>
      <c r="N172" s="185"/>
      <c r="O172" s="185"/>
      <c r="P172" s="185"/>
      <c r="Q172" s="185"/>
      <c r="R172" s="185"/>
      <c r="S172" s="158" t="s">
        <v>264</v>
      </c>
      <c r="T172" s="159"/>
      <c r="U172" s="160"/>
      <c r="V172" s="127"/>
      <c r="W172" s="127"/>
      <c r="X172" s="126"/>
      <c r="Y172" s="126"/>
      <c r="Z172" s="126"/>
      <c r="AA172" s="126"/>
      <c r="AB172" s="476"/>
      <c r="AC172" s="403"/>
      <c r="AD172" s="477"/>
      <c r="AE172" s="469"/>
      <c r="AF172" s="469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264"/>
      <c r="BF172" s="244"/>
      <c r="BG172" s="265"/>
      <c r="BH172" s="239"/>
      <c r="BI172" s="239"/>
      <c r="BJ172" s="238"/>
      <c r="BK172" s="238"/>
      <c r="BL172" s="238"/>
      <c r="BM172" s="238"/>
      <c r="BN172" s="238"/>
      <c r="BO172" s="238"/>
      <c r="BP172" s="238"/>
      <c r="BQ172" s="238"/>
      <c r="BR172" s="238"/>
      <c r="BS172" s="238"/>
      <c r="BT172" s="238"/>
      <c r="BU172" s="238"/>
      <c r="BV172" s="238"/>
      <c r="BW172" s="238"/>
      <c r="BX172" s="238"/>
      <c r="BY172" s="238"/>
      <c r="BZ172" s="238"/>
      <c r="CA172" s="238"/>
      <c r="CB172" s="238"/>
      <c r="CC172" s="238"/>
      <c r="CD172" s="238"/>
      <c r="CE172" s="238"/>
      <c r="CF172" s="238"/>
      <c r="CG172" s="238"/>
      <c r="CH172" s="238"/>
      <c r="CI172" s="238"/>
      <c r="CJ172" s="238"/>
      <c r="CK172" s="238"/>
      <c r="CL172" s="238"/>
      <c r="CM172" s="238"/>
      <c r="CN172" s="238"/>
      <c r="CO172" s="238"/>
      <c r="CP172" s="238"/>
      <c r="CQ172" s="238"/>
      <c r="CR172" s="238"/>
      <c r="CS172" s="238"/>
      <c r="CT172" s="238"/>
      <c r="CU172" s="238"/>
      <c r="CV172" s="238"/>
      <c r="CW172" s="465"/>
    </row>
    <row r="173" spans="2:101" ht="18" customHeight="1" x14ac:dyDescent="0.2">
      <c r="B173" s="2" t="s">
        <v>265</v>
      </c>
      <c r="K173" s="206" t="s">
        <v>266</v>
      </c>
      <c r="L173" s="207" t="s">
        <v>259</v>
      </c>
      <c r="M173" s="208" t="s">
        <v>260</v>
      </c>
      <c r="N173" s="185"/>
      <c r="O173" s="185"/>
      <c r="P173" s="185"/>
      <c r="Q173" s="185"/>
      <c r="R173" s="185"/>
      <c r="S173" s="155" t="s">
        <v>266</v>
      </c>
      <c r="T173" s="156" t="s">
        <v>259</v>
      </c>
      <c r="U173" s="157" t="s">
        <v>260</v>
      </c>
      <c r="V173" s="127" t="s">
        <v>267</v>
      </c>
      <c r="W173" s="127"/>
      <c r="X173" s="126"/>
      <c r="Y173" s="126"/>
      <c r="Z173" s="126"/>
      <c r="AA173" s="126"/>
      <c r="AB173" s="501" t="s">
        <v>264</v>
      </c>
      <c r="AC173" s="502"/>
      <c r="AD173" s="503"/>
      <c r="AE173" s="469"/>
      <c r="AF173" s="469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266" t="s">
        <v>264</v>
      </c>
      <c r="BF173" s="267"/>
      <c r="BG173" s="268"/>
      <c r="BH173" s="239"/>
      <c r="BI173" s="239"/>
      <c r="BJ173" s="238"/>
      <c r="BK173" s="238"/>
      <c r="BL173" s="238"/>
      <c r="BM173" s="238"/>
      <c r="BN173" s="238"/>
      <c r="BO173" s="238"/>
      <c r="BP173" s="238"/>
      <c r="BQ173" s="238"/>
      <c r="BR173" s="238"/>
      <c r="BS173" s="238"/>
      <c r="BT173" s="238"/>
      <c r="BU173" s="238"/>
      <c r="BV173" s="238"/>
      <c r="BW173" s="238"/>
      <c r="BX173" s="238"/>
      <c r="BY173" s="238"/>
      <c r="BZ173" s="238"/>
      <c r="CA173" s="238"/>
      <c r="CB173" s="238"/>
      <c r="CC173" s="238"/>
      <c r="CD173" s="238"/>
      <c r="CE173" s="238"/>
      <c r="CF173" s="238"/>
      <c r="CG173" s="238"/>
      <c r="CH173" s="238"/>
      <c r="CI173" s="238"/>
      <c r="CJ173" s="238"/>
      <c r="CK173" s="238"/>
      <c r="CL173" s="238"/>
      <c r="CM173" s="238"/>
      <c r="CN173" s="238"/>
      <c r="CO173" s="238"/>
      <c r="CP173" s="238"/>
      <c r="CQ173" s="238"/>
      <c r="CR173" s="238"/>
      <c r="CS173" s="238"/>
      <c r="CT173" s="238"/>
      <c r="CU173" s="238"/>
      <c r="CV173" s="238"/>
      <c r="CW173" s="465"/>
    </row>
    <row r="174" spans="2:101" ht="18" customHeight="1" x14ac:dyDescent="0.2">
      <c r="B174" s="2" t="s">
        <v>268</v>
      </c>
      <c r="K174" s="209">
        <f>K170</f>
        <v>10.325292631578961</v>
      </c>
      <c r="L174" s="210">
        <f>$K$174-t*SQRT($N$163+$K$49/reps)</f>
        <v>9.381050030727458</v>
      </c>
      <c r="M174" s="211">
        <f>$K$174+t*SQRT($N$163+$K$49/reps)</f>
        <v>11.269535232430464</v>
      </c>
      <c r="N174" s="185"/>
      <c r="O174" s="185"/>
      <c r="P174" s="185"/>
      <c r="Q174" s="185"/>
      <c r="R174" s="185"/>
      <c r="S174" s="137">
        <f>S170</f>
        <v>9.8006331888544942</v>
      </c>
      <c r="T174" s="138">
        <f>$S$174-$U$35*SQRT($V$163+$U$47/reps)</f>
        <v>9.769849840183122</v>
      </c>
      <c r="U174" s="140">
        <f>$S$174+$U$35*SQRT($V$163+$U$47/reps)</f>
        <v>9.8314165375258664</v>
      </c>
      <c r="V174" s="127">
        <f>U31+U32*conc</f>
        <v>1.6007019725785039</v>
      </c>
      <c r="W174" s="127"/>
      <c r="X174" s="126"/>
      <c r="Y174" s="161"/>
      <c r="Z174" s="126"/>
      <c r="AA174" s="126"/>
      <c r="AB174" s="504" t="s">
        <v>266</v>
      </c>
      <c r="AC174" s="499" t="s">
        <v>259</v>
      </c>
      <c r="AD174" s="500" t="s">
        <v>260</v>
      </c>
      <c r="AE174" s="492" t="s">
        <v>269</v>
      </c>
      <c r="AF174" s="469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269" t="s">
        <v>266</v>
      </c>
      <c r="BF174" s="262" t="s">
        <v>259</v>
      </c>
      <c r="BG174" s="263" t="s">
        <v>260</v>
      </c>
      <c r="BH174" s="255" t="s">
        <v>269</v>
      </c>
      <c r="BI174" s="239"/>
      <c r="BJ174" s="238"/>
      <c r="BK174" s="238"/>
      <c r="BL174" s="238"/>
      <c r="BM174" s="238"/>
      <c r="BN174" s="238"/>
      <c r="BO174" s="238"/>
      <c r="BP174" s="238"/>
      <c r="BQ174" s="238"/>
      <c r="BR174" s="238"/>
      <c r="BS174" s="238"/>
      <c r="BT174" s="238"/>
      <c r="BU174" s="238"/>
      <c r="BV174" s="238"/>
      <c r="BW174" s="238"/>
      <c r="BX174" s="238"/>
      <c r="BY174" s="238"/>
      <c r="BZ174" s="238"/>
      <c r="CA174" s="238"/>
      <c r="CB174" s="238"/>
      <c r="CC174" s="238"/>
      <c r="CD174" s="238"/>
      <c r="CE174" s="238"/>
      <c r="CF174" s="238"/>
      <c r="CG174" s="238"/>
      <c r="CH174" s="238"/>
      <c r="CI174" s="238"/>
      <c r="CJ174" s="238"/>
      <c r="CK174" s="238"/>
      <c r="CL174" s="238"/>
      <c r="CM174" s="238"/>
      <c r="CN174" s="238"/>
      <c r="CO174" s="238"/>
      <c r="CP174" s="238"/>
      <c r="CQ174" s="238"/>
      <c r="CR174" s="238"/>
      <c r="CS174" s="238"/>
      <c r="CT174" s="238"/>
      <c r="CU174" s="238"/>
      <c r="CV174" s="238"/>
      <c r="CW174" s="465"/>
    </row>
    <row r="175" spans="2:101" ht="18" customHeight="1" x14ac:dyDescent="0.2">
      <c r="B175" s="11" t="str">
        <f>IF(U53&gt;U50,"Estimates below are based on the quadratic model.","Estimates below are based on the linear model.")</f>
        <v>Estimates below are based on the quadratic model.</v>
      </c>
      <c r="K175" s="215" t="s">
        <v>270</v>
      </c>
      <c r="L175" s="207" t="s">
        <v>259</v>
      </c>
      <c r="M175" s="208" t="s">
        <v>260</v>
      </c>
      <c r="N175" s="185"/>
      <c r="O175" s="185"/>
      <c r="P175" s="185"/>
      <c r="Q175" s="185"/>
      <c r="R175" s="185"/>
      <c r="S175" s="162" t="s">
        <v>270</v>
      </c>
      <c r="T175" s="156" t="s">
        <v>259</v>
      </c>
      <c r="U175" s="157" t="s">
        <v>260</v>
      </c>
      <c r="V175" s="150" t="s">
        <v>271</v>
      </c>
      <c r="W175" s="127"/>
      <c r="X175" s="126"/>
      <c r="Y175" s="126"/>
      <c r="Z175" s="126"/>
      <c r="AA175" s="126"/>
      <c r="AB175" s="476">
        <f>AB171</f>
        <v>9.7999467304613574</v>
      </c>
      <c r="AC175" s="505">
        <f>$AB$175-$AD$35*SQRT($AE$163+$AD$47/reps)</f>
        <v>9.7662424321052264</v>
      </c>
      <c r="AD175" s="403">
        <f>$AB$175+$AD$35*SQRT($AE$163+$AD$47/reps)</f>
        <v>9.8336510288174885</v>
      </c>
      <c r="AE175" s="482">
        <f>AD31+2*AD32*conc+3*AD33*conc^2</f>
        <v>2.2000389981187851</v>
      </c>
      <c r="AF175" s="469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264">
        <f>BE171</f>
        <v>9.8016894096481053</v>
      </c>
      <c r="BF175" s="270">
        <f>$BE$175-$BG$35*SQRT($BH$162+$BG$47/reps)</f>
        <v>9.7767859819427194</v>
      </c>
      <c r="BG175" s="244">
        <f>$BE$175+$BG$35*SQRT($BH$162+$BG$47/reps)</f>
        <v>9.8265928373534912</v>
      </c>
      <c r="BH175" s="139">
        <f>BI27+2*BI28*conc+3*BI29*conc^2+4*BI30*conc^3</f>
        <v>2.1830686222872941</v>
      </c>
      <c r="BI175" s="239"/>
      <c r="BJ175" s="238"/>
      <c r="BK175" s="238"/>
      <c r="BL175" s="238"/>
      <c r="BM175" s="238"/>
      <c r="BN175" s="238"/>
      <c r="BO175" s="238"/>
      <c r="BP175" s="238"/>
      <c r="BQ175" s="238"/>
      <c r="BR175" s="238"/>
      <c r="BS175" s="238"/>
      <c r="BT175" s="238"/>
      <c r="BU175" s="238"/>
      <c r="BV175" s="238"/>
      <c r="BW175" s="238"/>
      <c r="BX175" s="238"/>
      <c r="BY175" s="238"/>
      <c r="BZ175" s="238"/>
      <c r="CA175" s="238"/>
      <c r="CB175" s="238"/>
      <c r="CC175" s="238"/>
      <c r="CD175" s="238"/>
      <c r="CE175" s="238"/>
      <c r="CF175" s="238"/>
      <c r="CG175" s="238"/>
      <c r="CH175" s="238"/>
      <c r="CI175" s="238"/>
      <c r="CJ175" s="238"/>
      <c r="CK175" s="238"/>
      <c r="CL175" s="238"/>
      <c r="CM175" s="238"/>
      <c r="CN175" s="238"/>
      <c r="CO175" s="238"/>
      <c r="CP175" s="238"/>
      <c r="CQ175" s="238"/>
      <c r="CR175" s="238"/>
      <c r="CS175" s="238"/>
      <c r="CT175" s="238"/>
      <c r="CU175" s="238"/>
      <c r="CV175" s="238"/>
      <c r="CW175" s="465"/>
    </row>
    <row r="176" spans="2:101" ht="18" customHeight="1" x14ac:dyDescent="0.2">
      <c r="B176" s="1" t="s">
        <v>272</v>
      </c>
      <c r="K176" s="209">
        <f>conc</f>
        <v>6</v>
      </c>
      <c r="L176" s="210">
        <f>(L174-$K$27)/$K$28</f>
        <v>5.5031628834799093</v>
      </c>
      <c r="M176" s="211">
        <f>(M174-$K$27)/$K$28</f>
        <v>6.4968371165200907</v>
      </c>
      <c r="N176" s="185"/>
      <c r="O176" s="185"/>
      <c r="P176" s="185"/>
      <c r="Q176" s="185"/>
      <c r="R176" s="185"/>
      <c r="S176" s="137">
        <f>conc</f>
        <v>6</v>
      </c>
      <c r="T176" s="138">
        <f>(-$U$31+SQRT($U$31^2-4*$U$32*($U$30-T174)))/(2*$U$32)</f>
        <v>5.9860006565337152</v>
      </c>
      <c r="U176" s="140">
        <f>(-$U$31+SQRT($U$31^2-4*$U$32*($U$30-U174)))/(2*$U$32)</f>
        <v>6.0139815636392768</v>
      </c>
      <c r="V176" s="150">
        <f>S176+(T174-S174)/V174</f>
        <v>5.9807688444203109</v>
      </c>
      <c r="W176" s="150">
        <f>S176+(U174-S174)/V174</f>
        <v>6.0192311555796891</v>
      </c>
      <c r="X176" s="126"/>
      <c r="Y176" s="126"/>
      <c r="Z176" s="126"/>
      <c r="AA176" s="126"/>
      <c r="AB176" s="506" t="s">
        <v>270</v>
      </c>
      <c r="AC176" s="499" t="s">
        <v>259</v>
      </c>
      <c r="AD176" s="500" t="s">
        <v>260</v>
      </c>
      <c r="AE176" s="492"/>
      <c r="AF176" s="469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271" t="s">
        <v>270</v>
      </c>
      <c r="BF176" s="262" t="s">
        <v>259</v>
      </c>
      <c r="BG176" s="263" t="s">
        <v>260</v>
      </c>
      <c r="BH176" s="255"/>
      <c r="BI176" s="239"/>
      <c r="BJ176" s="238"/>
      <c r="BK176" s="238"/>
      <c r="BL176" s="238"/>
      <c r="BM176" s="238"/>
      <c r="BN176" s="238"/>
      <c r="BO176" s="238"/>
      <c r="BP176" s="238"/>
      <c r="BQ176" s="238"/>
      <c r="BR176" s="238"/>
      <c r="BS176" s="238"/>
      <c r="BT176" s="238"/>
      <c r="BU176" s="238"/>
      <c r="BV176" s="238"/>
      <c r="BW176" s="238"/>
      <c r="BX176" s="238"/>
      <c r="BY176" s="238"/>
      <c r="BZ176" s="238"/>
      <c r="CA176" s="238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  <c r="CN176" s="238"/>
      <c r="CO176" s="238"/>
      <c r="CP176" s="238"/>
      <c r="CQ176" s="238"/>
      <c r="CR176" s="238"/>
      <c r="CS176" s="238"/>
      <c r="CT176" s="238"/>
      <c r="CU176" s="238"/>
      <c r="CV176" s="238"/>
      <c r="CW176" s="465"/>
    </row>
    <row r="177" spans="1:101" ht="18" customHeight="1" x14ac:dyDescent="0.2">
      <c r="K177" s="190"/>
      <c r="L177" s="216">
        <f>(L176-$D$165)/$D$165</f>
        <v>-8.2806186086681777E-2</v>
      </c>
      <c r="M177" s="191">
        <f>(M176-$D$165)/$D$165</f>
        <v>8.2806186086681777E-2</v>
      </c>
      <c r="N177" s="185"/>
      <c r="O177" s="185"/>
      <c r="P177" s="185"/>
      <c r="Q177" s="185"/>
      <c r="R177" s="185"/>
      <c r="S177" s="141"/>
      <c r="T177" s="142">
        <f>(T176-conc)/conc</f>
        <v>-2.3332239110474737E-3</v>
      </c>
      <c r="U177" s="143">
        <f>(U176-conc)/conc</f>
        <v>2.3302606065461382E-3</v>
      </c>
      <c r="V177" s="127"/>
      <c r="W177" s="127"/>
      <c r="X177" s="126"/>
      <c r="Y177" s="126"/>
      <c r="Z177" s="126"/>
      <c r="AA177" s="126"/>
      <c r="AB177" s="507">
        <f>conc</f>
        <v>6</v>
      </c>
      <c r="AC177" s="488">
        <f>AB177+(AC175-AB175)/AE175</f>
        <v>5.9846801359498851</v>
      </c>
      <c r="AD177" s="477">
        <f>AB177+(AD175-AB175)/AE175</f>
        <v>6.0153198640501149</v>
      </c>
      <c r="AE177" s="492"/>
      <c r="AF177" s="492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272">
        <f>conc</f>
        <v>6</v>
      </c>
      <c r="BF177" s="251">
        <f>BE177+(BF175-BE175)/BH175</f>
        <v>5.9885924668372112</v>
      </c>
      <c r="BG177" s="265">
        <f>BE177+(BG175-BE175)/BH175</f>
        <v>6.0114075331627888</v>
      </c>
      <c r="BH177" s="255"/>
      <c r="BI177" s="239"/>
      <c r="BJ177" s="238"/>
      <c r="BK177" s="238"/>
      <c r="BL177" s="238"/>
      <c r="BM177" s="238"/>
      <c r="BN177" s="238"/>
      <c r="BO177" s="238"/>
      <c r="BP177" s="238"/>
      <c r="BQ177" s="238"/>
      <c r="BR177" s="238"/>
      <c r="BS177" s="238"/>
      <c r="BT177" s="238"/>
      <c r="BU177" s="238"/>
      <c r="BV177" s="238"/>
      <c r="BW177" s="238"/>
      <c r="BX177" s="238"/>
      <c r="BY177" s="238"/>
      <c r="BZ177" s="238"/>
      <c r="CA177" s="238"/>
      <c r="CB177" s="238"/>
      <c r="CC177" s="238"/>
      <c r="CD177" s="238"/>
      <c r="CE177" s="238"/>
      <c r="CF177" s="238"/>
      <c r="CG177" s="238"/>
      <c r="CH177" s="238"/>
      <c r="CI177" s="238"/>
      <c r="CJ177" s="238"/>
      <c r="CK177" s="238"/>
      <c r="CL177" s="238"/>
      <c r="CM177" s="238"/>
      <c r="CN177" s="238"/>
      <c r="CO177" s="238"/>
      <c r="CP177" s="238"/>
      <c r="CQ177" s="238"/>
      <c r="CR177" s="238"/>
      <c r="CS177" s="238"/>
      <c r="CT177" s="238"/>
      <c r="CU177" s="238"/>
      <c r="CV177" s="238"/>
      <c r="CW177" s="465"/>
    </row>
    <row r="178" spans="1:101" ht="18" customHeight="1" x14ac:dyDescent="0.25">
      <c r="B178" s="10"/>
      <c r="C178" s="10"/>
      <c r="D178" s="10"/>
      <c r="E178" s="27"/>
      <c r="F178" s="26" t="s">
        <v>188</v>
      </c>
      <c r="G178" s="22"/>
      <c r="H178" s="2" t="s">
        <v>273</v>
      </c>
      <c r="K178" s="186"/>
      <c r="L178" s="184"/>
      <c r="M178" s="184"/>
      <c r="N178" s="185"/>
      <c r="O178" s="185"/>
      <c r="P178" s="185"/>
      <c r="Q178" s="185"/>
      <c r="R178" s="185"/>
      <c r="S178" s="128"/>
      <c r="T178" s="126"/>
      <c r="U178" s="126"/>
      <c r="V178" s="127"/>
      <c r="W178" s="127"/>
      <c r="X178" s="126"/>
      <c r="Y178" s="126"/>
      <c r="Z178" s="126"/>
      <c r="AA178" s="126"/>
      <c r="AB178" s="479"/>
      <c r="AC178" s="480">
        <f>(AC177-conc)/conc</f>
        <v>-2.5533106750191457E-3</v>
      </c>
      <c r="AD178" s="481">
        <f>(AD177-conc)/conc</f>
        <v>2.5533106750191457E-3</v>
      </c>
      <c r="AE178" s="469"/>
      <c r="AF178" s="469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273"/>
      <c r="BF178" s="274">
        <f>(BF177-conc)/conc</f>
        <v>-1.9012555271314586E-3</v>
      </c>
      <c r="BG178" s="275">
        <f>(BG177-conc)/conc</f>
        <v>1.9012555271314586E-3</v>
      </c>
      <c r="BH178" s="239"/>
      <c r="BI178" s="239"/>
      <c r="BJ178" s="238"/>
      <c r="BK178" s="238"/>
      <c r="BL178" s="238"/>
      <c r="BM178" s="238"/>
      <c r="BN178" s="238"/>
      <c r="BO178" s="238"/>
      <c r="BP178" s="238"/>
      <c r="BQ178" s="238"/>
      <c r="BR178" s="238"/>
      <c r="BS178" s="238"/>
      <c r="BT178" s="238"/>
      <c r="BU178" s="238"/>
      <c r="BV178" s="238"/>
      <c r="BW178" s="238"/>
      <c r="BX178" s="238"/>
      <c r="BY178" s="238"/>
      <c r="BZ178" s="238"/>
      <c r="CA178" s="238"/>
      <c r="CB178" s="238"/>
      <c r="CC178" s="238"/>
      <c r="CD178" s="238"/>
      <c r="CE178" s="238"/>
      <c r="CF178" s="238"/>
      <c r="CG178" s="238"/>
      <c r="CH178" s="238"/>
      <c r="CI178" s="238"/>
      <c r="CJ178" s="238"/>
      <c r="CK178" s="238"/>
      <c r="CL178" s="238"/>
      <c r="CM178" s="238"/>
      <c r="CN178" s="238"/>
      <c r="CO178" s="238"/>
      <c r="CP178" s="238"/>
      <c r="CQ178" s="238"/>
      <c r="CR178" s="238"/>
      <c r="CS178" s="238"/>
      <c r="CT178" s="238"/>
      <c r="CU178" s="238"/>
      <c r="CV178" s="238"/>
      <c r="CW178" s="465"/>
    </row>
    <row r="179" spans="1:101" ht="18" customHeight="1" x14ac:dyDescent="0.25">
      <c r="B179" s="10"/>
      <c r="C179" s="10"/>
      <c r="D179" s="10"/>
      <c r="E179" s="33" t="s">
        <v>258</v>
      </c>
      <c r="F179" s="33" t="s">
        <v>259</v>
      </c>
      <c r="G179" s="33" t="s">
        <v>260</v>
      </c>
      <c r="H179" s="2" t="s">
        <v>274</v>
      </c>
      <c r="K179" s="185"/>
      <c r="L179" s="185"/>
      <c r="M179" s="185"/>
      <c r="N179" s="185"/>
      <c r="O179" s="185"/>
      <c r="P179" s="185"/>
      <c r="Q179" s="185"/>
      <c r="R179" s="185"/>
      <c r="S179" s="126"/>
      <c r="T179" s="126"/>
      <c r="U179" s="126"/>
      <c r="V179" s="126"/>
      <c r="W179" s="126"/>
      <c r="X179" s="126"/>
      <c r="Y179" s="126"/>
      <c r="Z179" s="126"/>
      <c r="AA179" s="126"/>
      <c r="AB179" s="468"/>
      <c r="AC179" s="125"/>
      <c r="AD179" s="125"/>
      <c r="AE179" s="469"/>
      <c r="AF179" s="469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266" t="s">
        <v>275</v>
      </c>
      <c r="BF179" s="238"/>
      <c r="BG179" s="651">
        <f>BG178</f>
        <v>1.9012555271314586E-3</v>
      </c>
      <c r="BH179" s="239"/>
      <c r="BI179" s="255"/>
      <c r="BJ179" s="238"/>
      <c r="BK179" s="238"/>
      <c r="BL179" s="238"/>
      <c r="BM179" s="238"/>
      <c r="BN179" s="238"/>
      <c r="BO179" s="238"/>
      <c r="BP179" s="238"/>
      <c r="BQ179" s="238"/>
      <c r="BR179" s="238"/>
      <c r="BS179" s="238"/>
      <c r="BT179" s="238"/>
      <c r="BU179" s="238"/>
      <c r="BV179" s="238"/>
      <c r="BW179" s="238"/>
      <c r="BX179" s="238"/>
      <c r="BY179" s="238"/>
      <c r="BZ179" s="238"/>
      <c r="CA179" s="238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8"/>
      <c r="CN179" s="238"/>
      <c r="CO179" s="238"/>
      <c r="CP179" s="238"/>
      <c r="CQ179" s="238"/>
      <c r="CR179" s="238"/>
      <c r="CS179" s="238"/>
      <c r="CT179" s="238"/>
      <c r="CU179" s="238"/>
      <c r="CV179" s="238"/>
      <c r="CW179" s="465"/>
    </row>
    <row r="180" spans="1:101" ht="18" customHeight="1" x14ac:dyDescent="0.2">
      <c r="B180" s="25"/>
      <c r="C180" s="35"/>
      <c r="D180" s="36" t="s">
        <v>276</v>
      </c>
      <c r="E180" s="641">
        <f>IF(p="Q",S170,K170)</f>
        <v>9.8006331888544942</v>
      </c>
      <c r="F180" s="642">
        <f>IF(p="Q",T170,L170)</f>
        <v>9.7857927267845444</v>
      </c>
      <c r="G180" s="642">
        <f>IF(p="Q",U170,M170)</f>
        <v>9.815473650924444</v>
      </c>
      <c r="H180" s="2" t="s">
        <v>226</v>
      </c>
      <c r="K180" s="202" t="s">
        <v>12</v>
      </c>
      <c r="L180" s="202" t="s">
        <v>250</v>
      </c>
      <c r="M180" s="201" t="s">
        <v>251</v>
      </c>
      <c r="N180" s="202" t="s">
        <v>252</v>
      </c>
      <c r="O180" s="185"/>
      <c r="P180" s="185"/>
      <c r="Q180" s="185"/>
      <c r="R180" s="185"/>
      <c r="S180" s="130" t="s">
        <v>12</v>
      </c>
      <c r="T180" s="130" t="s">
        <v>250</v>
      </c>
      <c r="U180" s="130" t="s">
        <v>251</v>
      </c>
      <c r="V180" s="152" t="s">
        <v>252</v>
      </c>
      <c r="W180" s="127"/>
      <c r="X180" s="126"/>
      <c r="Y180" s="126"/>
      <c r="Z180" s="126"/>
      <c r="AA180" s="126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238"/>
      <c r="BF180" s="238"/>
      <c r="BG180" s="238"/>
      <c r="BH180" s="238"/>
      <c r="BI180" s="239"/>
      <c r="BJ180" s="238"/>
      <c r="BK180" s="238"/>
      <c r="BL180" s="238"/>
      <c r="BM180" s="238"/>
      <c r="BN180" s="238"/>
      <c r="BO180" s="238"/>
      <c r="BP180" s="238"/>
      <c r="BQ180" s="238"/>
      <c r="BR180" s="238"/>
      <c r="BS180" s="238"/>
      <c r="BT180" s="238"/>
      <c r="BU180" s="238"/>
      <c r="BV180" s="238"/>
      <c r="BW180" s="238"/>
      <c r="BX180" s="238"/>
      <c r="BY180" s="238"/>
      <c r="BZ180" s="238"/>
      <c r="CA180" s="238"/>
      <c r="CB180" s="238"/>
      <c r="CC180" s="238"/>
      <c r="CD180" s="238"/>
      <c r="CE180" s="238"/>
      <c r="CF180" s="238"/>
      <c r="CG180" s="238"/>
      <c r="CH180" s="238"/>
      <c r="CI180" s="238"/>
      <c r="CJ180" s="238"/>
      <c r="CK180" s="238"/>
      <c r="CL180" s="238"/>
      <c r="CM180" s="238"/>
      <c r="CN180" s="238"/>
      <c r="CO180" s="238"/>
      <c r="CP180" s="238"/>
      <c r="CQ180" s="238"/>
      <c r="CR180" s="238"/>
      <c r="CS180" s="238"/>
      <c r="CT180" s="238"/>
      <c r="CU180" s="238"/>
      <c r="CV180" s="238"/>
      <c r="CW180" s="465"/>
    </row>
    <row r="181" spans="1:101" ht="18" customHeight="1" x14ac:dyDescent="0.2">
      <c r="D181" s="5"/>
      <c r="K181" s="195">
        <v>1</v>
      </c>
      <c r="L181" s="193">
        <f>SUMPRODUCT(K181:K182,K27:K28)</f>
        <v>4.5</v>
      </c>
      <c r="M181" s="195">
        <f>SUMPRODUCT($K$181:$K$182,K52:K53)</f>
        <v>5.0881343465548672E-2</v>
      </c>
      <c r="N181" s="193">
        <f>SUMPRODUCT(K181:K182,M181:M182)</f>
        <v>3.4810401353876294E-2</v>
      </c>
      <c r="O181" s="185"/>
      <c r="P181" s="185"/>
      <c r="Q181" s="185"/>
      <c r="R181" s="185"/>
      <c r="S181" s="131">
        <v>1</v>
      </c>
      <c r="T181" s="145">
        <f>SUMPRODUCT(S181:S183,U30:U32)</f>
        <v>4.5</v>
      </c>
      <c r="U181" s="131">
        <f>SUMPRODUCT(U59:U61,$S$181:$S$183)</f>
        <v>1.4817535694395504E-6</v>
      </c>
      <c r="V181" s="145">
        <f>SUMPRODUCT(S181:S183,U181:U183)</f>
        <v>5.1041103846097447E-5</v>
      </c>
      <c r="W181" s="126"/>
      <c r="X181" s="126"/>
      <c r="Y181" s="126"/>
      <c r="Z181" s="126"/>
      <c r="AA181" s="126"/>
      <c r="AB181" s="470" t="s">
        <v>12</v>
      </c>
      <c r="AC181" s="470" t="s">
        <v>250</v>
      </c>
      <c r="AD181" s="470" t="s">
        <v>251</v>
      </c>
      <c r="AE181" s="495" t="s">
        <v>252</v>
      </c>
      <c r="AF181" s="469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241" t="s">
        <v>12</v>
      </c>
      <c r="BF181" s="241" t="s">
        <v>250</v>
      </c>
      <c r="BG181" s="241" t="s">
        <v>251</v>
      </c>
      <c r="BH181" s="257" t="s">
        <v>252</v>
      </c>
      <c r="BI181" s="239"/>
      <c r="BJ181" s="238"/>
      <c r="BK181" s="238"/>
      <c r="BL181" s="238"/>
      <c r="BM181" s="238"/>
      <c r="BN181" s="238"/>
      <c r="BO181" s="238"/>
      <c r="BP181" s="238"/>
      <c r="BQ181" s="238"/>
      <c r="BR181" s="238"/>
      <c r="BS181" s="238"/>
      <c r="BT181" s="238"/>
      <c r="BU181" s="238"/>
      <c r="BV181" s="238"/>
      <c r="BW181" s="238"/>
      <c r="BX181" s="238"/>
      <c r="BY181" s="238"/>
      <c r="BZ181" s="238"/>
      <c r="CA181" s="238"/>
      <c r="CB181" s="238"/>
      <c r="CC181" s="238"/>
      <c r="CD181" s="238"/>
      <c r="CE181" s="238"/>
      <c r="CF181" s="238"/>
      <c r="CG181" s="238"/>
      <c r="CH181" s="238"/>
      <c r="CI181" s="238"/>
      <c r="CJ181" s="238"/>
      <c r="CK181" s="238"/>
      <c r="CL181" s="238"/>
      <c r="CM181" s="238"/>
      <c r="CN181" s="238"/>
      <c r="CO181" s="238"/>
      <c r="CP181" s="238"/>
      <c r="CQ181" s="238"/>
      <c r="CR181" s="238"/>
      <c r="CS181" s="238"/>
      <c r="CT181" s="238"/>
      <c r="CU181" s="238"/>
      <c r="CV181" s="238"/>
      <c r="CW181" s="465"/>
    </row>
    <row r="182" spans="1:101" ht="18" customHeight="1" x14ac:dyDescent="0.25">
      <c r="E182" s="27"/>
      <c r="F182" s="26" t="s">
        <v>188</v>
      </c>
      <c r="G182" s="22"/>
      <c r="K182" s="196">
        <f>(AVERAGE(C228:C237)-K27)/K28</f>
        <v>2.9348750084464941</v>
      </c>
      <c r="L182" s="187"/>
      <c r="M182" s="196">
        <f>SUMPRODUCT($K$181:$K$182,L52:L53)</f>
        <v>-5.4758523158296765E-3</v>
      </c>
      <c r="N182" s="185"/>
      <c r="O182" s="187"/>
      <c r="P182" s="187"/>
      <c r="Q182" s="187"/>
      <c r="R182" s="187"/>
      <c r="S182" s="135">
        <f>(-$U$31+SQRT($U$31^2-4*$U$32*($U$30-AVERAGE(C228:C237))))/(2*$U$32)</f>
        <v>3.2466476357265583</v>
      </c>
      <c r="T182" s="129"/>
      <c r="U182" s="135">
        <f>SUMPRODUCT(V59:V61,$S$181:$S$183)</f>
        <v>2.6288784541603167E-5</v>
      </c>
      <c r="V182" s="126"/>
      <c r="W182" s="127"/>
      <c r="X182" s="126"/>
      <c r="Y182" s="126"/>
      <c r="Z182" s="163"/>
      <c r="AA182" s="163"/>
      <c r="AB182" s="471">
        <v>1</v>
      </c>
      <c r="AC182" s="508">
        <f>SUMPRODUCT(AB182:AB185,AD30:AD33)</f>
        <v>4.5000000000015836</v>
      </c>
      <c r="AD182" s="471">
        <f>SUMPRODUCT($AD$59:$AD$62,$AB$182:$AB$185)</f>
        <v>-4.4636564816711167E-5</v>
      </c>
      <c r="AE182" s="491">
        <f>SUMPRODUCT(AB182:AB185,AD182:AD185)</f>
        <v>7.3488155777573348E-5</v>
      </c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242">
        <v>1</v>
      </c>
      <c r="BF182" s="276">
        <f>SUMPRODUCT(BE182:BE186,BI26:BI30)</f>
        <v>4.4999999999999938</v>
      </c>
      <c r="BG182" s="242">
        <f>SUMPRODUCT($BG$59:$BG$63,$BE$182:$BE$186)</f>
        <v>-1.5045124705620737E-5</v>
      </c>
      <c r="BH182" s="254">
        <f>SUMPRODUCT(BE182:BE186,BG182:BG186)</f>
        <v>4.3603471314689353E-5</v>
      </c>
      <c r="BI182" s="238"/>
      <c r="BJ182" s="238"/>
      <c r="BK182" s="238"/>
      <c r="BL182" s="238"/>
      <c r="BM182" s="238"/>
      <c r="BN182" s="238"/>
      <c r="BO182" s="238"/>
      <c r="BP182" s="238"/>
      <c r="BQ182" s="238"/>
      <c r="BR182" s="238"/>
      <c r="BS182" s="238"/>
      <c r="BT182" s="238"/>
      <c r="BU182" s="238"/>
      <c r="BV182" s="238"/>
      <c r="BW182" s="238"/>
      <c r="BX182" s="238"/>
      <c r="BY182" s="238"/>
      <c r="BZ182" s="238"/>
      <c r="CA182" s="238"/>
      <c r="CB182" s="238"/>
      <c r="CC182" s="238"/>
      <c r="CD182" s="238"/>
      <c r="CE182" s="238"/>
      <c r="CF182" s="238"/>
      <c r="CG182" s="238"/>
      <c r="CH182" s="238"/>
      <c r="CI182" s="238"/>
      <c r="CJ182" s="238"/>
      <c r="CK182" s="238"/>
      <c r="CL182" s="238"/>
      <c r="CM182" s="238"/>
      <c r="CN182" s="238"/>
      <c r="CO182" s="238"/>
      <c r="CP182" s="238"/>
      <c r="CQ182" s="238"/>
      <c r="CR182" s="238"/>
      <c r="CS182" s="238"/>
      <c r="CT182" s="238"/>
      <c r="CU182" s="238"/>
      <c r="CV182" s="238"/>
      <c r="CW182" s="465"/>
    </row>
    <row r="183" spans="1:101" ht="18" customHeight="1" x14ac:dyDescent="0.2">
      <c r="A183"/>
      <c r="E183" s="33" t="s">
        <v>266</v>
      </c>
      <c r="F183" s="33" t="s">
        <v>259</v>
      </c>
      <c r="G183" s="33" t="s">
        <v>260</v>
      </c>
      <c r="K183" s="187"/>
      <c r="L183" s="187"/>
      <c r="M183" s="187"/>
      <c r="N183" s="187"/>
      <c r="O183" s="187"/>
      <c r="P183" s="187"/>
      <c r="Q183" s="187"/>
      <c r="R183" s="187"/>
      <c r="S183" s="146">
        <f>S182^2</f>
        <v>10.540720870568851</v>
      </c>
      <c r="T183" s="129"/>
      <c r="U183" s="146">
        <f>SUMPRODUCT(W59:W61,$S$181:$S$183)</f>
        <v>-3.3955049508422645E-6</v>
      </c>
      <c r="V183" s="126"/>
      <c r="W183" s="127"/>
      <c r="X183" s="126"/>
      <c r="Y183" s="126"/>
      <c r="Z183" s="129"/>
      <c r="AA183" s="129"/>
      <c r="AB183" s="475">
        <f>AY184</f>
        <v>3.2462788434650065</v>
      </c>
      <c r="AC183" s="456"/>
      <c r="AD183" s="475">
        <f>SUMPRODUCT($AE$59:$AE$62,$AB$182:$AB$185)</f>
        <v>9.7589405029144342E-5</v>
      </c>
      <c r="AE183" s="125"/>
      <c r="AF183" s="469"/>
      <c r="AG183" s="125"/>
      <c r="AH183" s="125"/>
      <c r="AI183" s="125"/>
      <c r="AJ183" s="125"/>
      <c r="AK183" s="125"/>
      <c r="AL183" s="125" t="s">
        <v>277</v>
      </c>
      <c r="AM183" s="125" t="s">
        <v>278</v>
      </c>
      <c r="AN183" s="125" t="s">
        <v>279</v>
      </c>
      <c r="AO183" s="125" t="s">
        <v>280</v>
      </c>
      <c r="AP183" s="125" t="s">
        <v>170</v>
      </c>
      <c r="AQ183" s="125" t="s">
        <v>281</v>
      </c>
      <c r="AR183" s="125" t="s">
        <v>278</v>
      </c>
      <c r="AS183" s="125" t="s">
        <v>282</v>
      </c>
      <c r="AT183" s="125" t="s">
        <v>283</v>
      </c>
      <c r="AU183" s="125" t="s">
        <v>284</v>
      </c>
      <c r="AV183" s="125"/>
      <c r="AW183" s="125"/>
      <c r="AX183" s="125"/>
      <c r="AY183" s="125" t="s">
        <v>285</v>
      </c>
      <c r="AZ183" s="125" t="s">
        <v>286</v>
      </c>
      <c r="BA183" s="125" t="s">
        <v>287</v>
      </c>
      <c r="BB183" s="125" t="s">
        <v>288</v>
      </c>
      <c r="BC183" s="125" t="s">
        <v>289</v>
      </c>
      <c r="BD183" s="125"/>
      <c r="BE183" s="243">
        <f>CU185</f>
        <v>3.2428205602423184</v>
      </c>
      <c r="BF183" s="240"/>
      <c r="BG183" s="243">
        <f>SUMPRODUCT($BH$59:$BH$63,$BE$182:$BE$186)</f>
        <v>2.5444111423528318E-5</v>
      </c>
      <c r="BH183" s="238"/>
      <c r="BI183" s="239"/>
      <c r="BJ183" s="238"/>
      <c r="BK183" s="238"/>
      <c r="BL183" s="238"/>
      <c r="BM183" s="238"/>
      <c r="BN183" s="238"/>
      <c r="BO183" s="238"/>
      <c r="BP183" s="238"/>
      <c r="BQ183" s="238"/>
      <c r="BR183" s="238" t="s">
        <v>290</v>
      </c>
      <c r="BS183" s="238"/>
      <c r="BT183" s="238"/>
      <c r="BU183" s="238"/>
      <c r="BV183" s="238" t="s">
        <v>291</v>
      </c>
      <c r="BW183" s="238"/>
      <c r="BX183" s="238"/>
      <c r="BY183" s="238"/>
      <c r="BZ183" s="238"/>
      <c r="CA183" s="238"/>
      <c r="CB183" s="238"/>
      <c r="CC183" s="238"/>
      <c r="CD183" s="238"/>
      <c r="CE183" s="238"/>
      <c r="CF183" s="238"/>
      <c r="CG183" s="238"/>
      <c r="CH183" s="238"/>
      <c r="CI183" s="238"/>
      <c r="CJ183" s="238"/>
      <c r="CK183" s="238"/>
      <c r="CL183" s="238"/>
      <c r="CM183" s="238"/>
      <c r="CN183" s="238"/>
      <c r="CO183" s="238"/>
      <c r="CP183" s="238"/>
      <c r="CQ183" s="238"/>
      <c r="CR183" s="238"/>
      <c r="CS183" s="238"/>
      <c r="CT183" s="238"/>
      <c r="CU183" s="238"/>
      <c r="CV183" s="238"/>
      <c r="CW183" s="465"/>
    </row>
    <row r="184" spans="1:101" ht="18" customHeight="1" x14ac:dyDescent="0.25">
      <c r="A184"/>
      <c r="B184" s="21"/>
      <c r="C184" s="31"/>
      <c r="D184" s="37" t="s">
        <v>276</v>
      </c>
      <c r="E184" s="643">
        <f>IF(p="Q",S174,K174)</f>
        <v>9.8006331888544942</v>
      </c>
      <c r="F184" s="644">
        <f>IF(p="Q",T174,L174)</f>
        <v>9.769849840183122</v>
      </c>
      <c r="G184" s="644">
        <f>IF(p="Q",U174,M174)</f>
        <v>9.8314165375258664</v>
      </c>
      <c r="K184" s="187"/>
      <c r="L184" s="187"/>
      <c r="M184" s="187"/>
      <c r="N184" s="187"/>
      <c r="O184" s="187"/>
      <c r="P184" s="187"/>
      <c r="Q184" s="187"/>
      <c r="R184" s="187"/>
      <c r="S184" s="126"/>
      <c r="T184" s="127"/>
      <c r="U184" s="127"/>
      <c r="V184" s="127"/>
      <c r="W184" s="127"/>
      <c r="X184" s="126"/>
      <c r="Y184" s="126"/>
      <c r="Z184" s="126"/>
      <c r="AA184" s="126"/>
      <c r="AB184" s="475">
        <f>AB183^2</f>
        <v>10.5383263295285</v>
      </c>
      <c r="AC184" s="456"/>
      <c r="AD184" s="475">
        <f>SUMPRODUCT($AF$59:$AF$62,$AB$182:$AB$185)</f>
        <v>-2.3746765628375497E-5</v>
      </c>
      <c r="AE184" s="125"/>
      <c r="AF184" s="469"/>
      <c r="AG184" s="125"/>
      <c r="AH184" s="125"/>
      <c r="AI184" s="125"/>
      <c r="AJ184" s="125"/>
      <c r="AK184" s="125"/>
      <c r="AL184" s="456">
        <f>$AD$32/$AD$33</f>
        <v>2432.2567079708033</v>
      </c>
      <c r="AM184" s="456">
        <f>$AD$31/$AD$33</f>
        <v>24547.447478139802</v>
      </c>
      <c r="AN184" s="456">
        <f>($AD$30-AD187)/$AD$33</f>
        <v>-105353.98466090504</v>
      </c>
      <c r="AO184" s="456">
        <f>(3*AM184-AL184^2)/3</f>
        <v>-1947410.1170115166</v>
      </c>
      <c r="AP184" s="456">
        <f>(2*AL184^3-9*AL184*AM184+27*AN184)/27</f>
        <v>1045838751.2098579</v>
      </c>
      <c r="AQ184" s="456">
        <f>2*SQRT(-AO184/3)</f>
        <v>1611.3804090536853</v>
      </c>
      <c r="AR184" s="456">
        <f>ACOS(3*AP184/(AO184*AQ184))/3</f>
        <v>1.0412335884644059</v>
      </c>
      <c r="AS184" s="456">
        <f>2*SQRT(-AO184/3)*COS(AR184)-AL184/3</f>
        <v>3.2462788434650065</v>
      </c>
      <c r="AT184" s="456">
        <f>2*SQRT(-AO184/3)*COS(AR184+2*PI()/3)-AL184/3</f>
        <v>-2422.1039876536793</v>
      </c>
      <c r="AU184" s="456">
        <f>2*SQRT(-AO184/3)*COS(AR184+4*PI()/3)-AL184/3</f>
        <v>-13.398999160589369</v>
      </c>
      <c r="AV184" s="456">
        <f>IF(AS184&gt;0,+AS184,999999)</f>
        <v>3.2462788434650065</v>
      </c>
      <c r="AW184" s="456">
        <f>IF(AT184&gt;0,+AT184,999999)</f>
        <v>999999</v>
      </c>
      <c r="AX184" s="456">
        <f>IF(AU184&gt;0,+AU184,999999)</f>
        <v>999999</v>
      </c>
      <c r="AY184" s="509">
        <f>IF(AZ184&lt;0,MIN(AV184:AX184),+BA184)</f>
        <v>3.2462788434650065</v>
      </c>
      <c r="AZ184" s="456">
        <f>AP184^2/4+AO184^3/27</f>
        <v>-87553701267168</v>
      </c>
      <c r="BA184" s="456" t="e">
        <f>+BB184+BC184-AL184/3</f>
        <v>#NUM!</v>
      </c>
      <c r="BB184" s="456" t="e">
        <f>(-AP184/2+SQRT(AZ184))^(1/3)</f>
        <v>#NUM!</v>
      </c>
      <c r="BC184" s="456" t="e">
        <f>(-AP184/2-SQRT(AZ184))^(1/3)</f>
        <v>#NUM!</v>
      </c>
      <c r="BD184" s="125"/>
      <c r="BE184" s="243">
        <f>BE183^2</f>
        <v>10.515885185930303</v>
      </c>
      <c r="BF184" s="240"/>
      <c r="BG184" s="243">
        <f>SUMPRODUCT($BI$59:$BI$63,$BE$182:$BE$186)</f>
        <v>2.3015475997815093E-6</v>
      </c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238"/>
      <c r="BR184" s="238" t="s">
        <v>280</v>
      </c>
      <c r="BS184" s="238" t="s">
        <v>170</v>
      </c>
      <c r="BT184" s="238" t="s">
        <v>292</v>
      </c>
      <c r="BU184" s="238" t="s">
        <v>293</v>
      </c>
      <c r="BV184" s="238" t="s">
        <v>294</v>
      </c>
      <c r="BW184" s="238" t="s">
        <v>295</v>
      </c>
      <c r="BX184" s="238" t="s">
        <v>296</v>
      </c>
      <c r="BY184" s="238" t="s">
        <v>297</v>
      </c>
      <c r="BZ184" s="238" t="s">
        <v>298</v>
      </c>
      <c r="CA184" s="238" t="s">
        <v>286</v>
      </c>
      <c r="CB184" s="238" t="s">
        <v>299</v>
      </c>
      <c r="CC184" s="418" t="s">
        <v>278</v>
      </c>
      <c r="CD184" s="238" t="s">
        <v>300</v>
      </c>
      <c r="CE184" s="238" t="s">
        <v>301</v>
      </c>
      <c r="CF184" s="238" t="s">
        <v>302</v>
      </c>
      <c r="CG184" s="238" t="s">
        <v>288</v>
      </c>
      <c r="CH184" s="238" t="s">
        <v>289</v>
      </c>
      <c r="CI184" s="368" t="s">
        <v>303</v>
      </c>
      <c r="CJ184" s="238" t="s">
        <v>304</v>
      </c>
      <c r="CK184" s="238" t="s">
        <v>305</v>
      </c>
      <c r="CL184" s="238" t="s">
        <v>306</v>
      </c>
      <c r="CM184" s="238" t="s">
        <v>300</v>
      </c>
      <c r="CN184" s="238" t="s">
        <v>301</v>
      </c>
      <c r="CO184" s="238" t="s">
        <v>302</v>
      </c>
      <c r="CP184" s="238" t="s">
        <v>307</v>
      </c>
      <c r="CQ184" s="238" t="s">
        <v>308</v>
      </c>
      <c r="CR184" s="238"/>
      <c r="CS184" s="238"/>
      <c r="CT184" s="238"/>
      <c r="CU184" s="238" t="s">
        <v>309</v>
      </c>
      <c r="CV184" s="238"/>
      <c r="CW184" s="465"/>
    </row>
    <row r="185" spans="1:101" ht="18" customHeight="1" x14ac:dyDescent="0.2">
      <c r="A185"/>
      <c r="B185" s="23"/>
      <c r="C185" s="10"/>
      <c r="D185" s="34" t="s">
        <v>254</v>
      </c>
      <c r="E185" s="24">
        <f>IF(p="Q",S176,K176)</f>
        <v>6</v>
      </c>
      <c r="F185" s="642">
        <f>IF(p="Q",T176,L176)</f>
        <v>5.9860006565337152</v>
      </c>
      <c r="G185" s="644">
        <f>IF(p="Q",U176,M176)</f>
        <v>6.0139815636392768</v>
      </c>
      <c r="K185" s="185"/>
      <c r="L185" s="185"/>
      <c r="M185" s="185"/>
      <c r="N185" s="185"/>
      <c r="O185" s="185"/>
      <c r="P185" s="185"/>
      <c r="Q185" s="185"/>
      <c r="R185" s="185"/>
      <c r="S185" s="126"/>
      <c r="T185" s="127"/>
      <c r="U185" s="127"/>
      <c r="V185" s="127"/>
      <c r="W185" s="127"/>
      <c r="X185" s="126"/>
      <c r="Y185" s="126"/>
      <c r="Z185" s="126"/>
      <c r="AA185" s="126"/>
      <c r="AB185" s="484">
        <f>AB183^3</f>
        <v>34.210345809078603</v>
      </c>
      <c r="AC185" s="469"/>
      <c r="AD185" s="484">
        <f>SUMPRODUCT($AG$59:$AG$62,$AB$182:$AB$185)</f>
        <v>1.5075400129630153E-6</v>
      </c>
      <c r="AE185" s="469"/>
      <c r="AF185" s="469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243">
        <f>BE183^3</f>
        <v>34.101128690082405</v>
      </c>
      <c r="BF185" s="239"/>
      <c r="BG185" s="243">
        <f>SUMPRODUCT($BJ$59:$BJ$63,$BE$182:$BE$186)</f>
        <v>-1.9058258777612389E-6</v>
      </c>
      <c r="BH185" s="239"/>
      <c r="BI185" s="239"/>
      <c r="BJ185" s="238"/>
      <c r="BK185" s="240"/>
      <c r="BL185" s="238"/>
      <c r="BM185" s="238"/>
      <c r="BN185" s="238"/>
      <c r="BO185" s="238"/>
      <c r="BP185" s="238"/>
      <c r="BQ185" s="238"/>
      <c r="BR185" s="240">
        <f>$BI$29/$BI$30</f>
        <v>-17.894488448782099</v>
      </c>
      <c r="BS185" s="240">
        <f>$BI$28/$BI$30</f>
        <v>359.02403518259086</v>
      </c>
      <c r="BT185" s="240">
        <f>$BI$27/$BI$30</f>
        <v>2397.5035457707181</v>
      </c>
      <c r="BU185" s="240">
        <f>($BI$26-BG187)/$BI$30</f>
        <v>-11050.490912257243</v>
      </c>
      <c r="BV185" s="240">
        <f>-BS185</f>
        <v>-359.02403518259086</v>
      </c>
      <c r="BW185" s="240">
        <f>BR185*BT185-4*BU185</f>
        <v>1299.8641433207304</v>
      </c>
      <c r="BX185" s="240">
        <f>BR185^2*-BU185+4*BS185*BU185-BT185^2</f>
        <v>-18079082.886782385</v>
      </c>
      <c r="BY185" s="240">
        <f>1/3*(3*BW185-BV185^2)</f>
        <v>-41666.221802942688</v>
      </c>
      <c r="BZ185" s="240">
        <f>1/27*(2*BV185^3-9*BV185*BW185+27*BX185)</f>
        <v>-21351490.408458661</v>
      </c>
      <c r="CA185" s="240">
        <f>BZ185^2/4+BY185^3/27</f>
        <v>111292437666027.83</v>
      </c>
      <c r="CB185" s="240">
        <f>2*SQRT(-BY185/3)</f>
        <v>235.70100212753357</v>
      </c>
      <c r="CC185" s="240" t="e">
        <f>ACOS(3*BZ185/(BY185*CB185))/3</f>
        <v>#NUM!</v>
      </c>
      <c r="CD185" s="240" t="e">
        <f>CB185*COS(CC185)-BV185/3</f>
        <v>#NUM!</v>
      </c>
      <c r="CE185" s="240" t="e">
        <f>CB185*COS(CC185+2*PI()/3)-BV185/3</f>
        <v>#NUM!</v>
      </c>
      <c r="CF185" s="240" t="e">
        <f>CB185*COS(CC185+4*PI()/3)-BV185/3</f>
        <v>#NUM!</v>
      </c>
      <c r="CG185" s="240">
        <f>(-BZ185/2+SQRT(CA185))^(1/3)</f>
        <v>276.87541611579911</v>
      </c>
      <c r="CH185" s="240">
        <f>(-BZ185/2-SQRT(CA185))^(1/3)</f>
        <v>50.162418880743544</v>
      </c>
      <c r="CI185" s="240">
        <f>IF(CA185&gt;0,+CG185+CH185-BV185/3,MAX(CD185:CF185))</f>
        <v>446.71251339073962</v>
      </c>
      <c r="CJ185" s="240">
        <f>SQRT(BR185^2/4-BS185+CI185)</f>
        <v>12.951511781218736</v>
      </c>
      <c r="CK185" s="251" t="e">
        <f>SQRT(3*BR185^2/4-CJ185^2-2*BS185+(4*BR185*BS185-8*BT185-BR185^3)/(4*CJ185))</f>
        <v>#NUM!</v>
      </c>
      <c r="CL185" s="251">
        <f>SQRT(3*BR185^2/4-CJ185^2-2*BS185-(4*BR185*BS185-8*BT185-BR185^3)/(4*CJ185))</f>
        <v>10.489908677312323</v>
      </c>
      <c r="CM185" s="240" t="e">
        <f>-BR185/4+CJ185/2+CK185/2</f>
        <v>#NUM!</v>
      </c>
      <c r="CN185" s="240" t="e">
        <f>-BR185/4+CJ185/2-CK185/2</f>
        <v>#NUM!</v>
      </c>
      <c r="CO185" s="240">
        <f>-BR185/4-CJ185/2+CL185/2</f>
        <v>3.2428205602423184</v>
      </c>
      <c r="CP185" s="240">
        <f>-BR185/4-CJ185/2-CL185/2</f>
        <v>-7.247088117070005</v>
      </c>
      <c r="CQ185" s="240">
        <f>IF(ISERROR(CM185)=TRUE,0,(CM185&gt;MIN(X))*(CM185&lt;MAX(X))*CM185)</f>
        <v>0</v>
      </c>
      <c r="CR185" s="240">
        <f>IF(ISERROR(CN185)=TRUE,0,(CN185&gt;MIN(X))*(CN185&lt;MAX(X))*CN185)</f>
        <v>0</v>
      </c>
      <c r="CS185" s="240">
        <f>IF(ISERROR(CO185)=TRUE,0,(CO185&gt;MIN(X))*(CO185&lt;MAX(X))*CO185)</f>
        <v>3.2428205602423184</v>
      </c>
      <c r="CT185" s="240">
        <f>IF(ISERROR(CP185)=TRUE,0,(CP185&gt;MIN(X))*(CP185&lt;MAX(X))*CP185)</f>
        <v>0</v>
      </c>
      <c r="CU185" s="240">
        <f>IF(SUM(CQ185:CT185)=MAX(CQ185:CT185),+MAX(CQ185:CT185),"There is not a unique solution!")</f>
        <v>3.2428205602423184</v>
      </c>
      <c r="CV185" s="238"/>
      <c r="CW185" s="465"/>
    </row>
    <row r="186" spans="1:101" ht="18" customHeight="1" x14ac:dyDescent="0.2">
      <c r="A186"/>
      <c r="B186" s="30"/>
      <c r="C186" s="27"/>
      <c r="D186" s="32"/>
      <c r="E186" s="32" t="s">
        <v>310</v>
      </c>
      <c r="F186" s="90">
        <f>IF(p="Q",+(U177-T177)/2,M177)</f>
        <v>2.331742258796806E-3</v>
      </c>
      <c r="G186" s="93"/>
      <c r="K186" s="185"/>
      <c r="L186" s="185"/>
      <c r="M186" s="185"/>
      <c r="N186" s="185"/>
      <c r="O186" s="185"/>
      <c r="P186" s="185"/>
      <c r="Q186" s="185"/>
      <c r="R186" s="185"/>
      <c r="S186" s="126"/>
      <c r="T186" s="127"/>
      <c r="U186" s="127"/>
      <c r="V186" s="127"/>
      <c r="W186" s="127"/>
      <c r="X186" s="126"/>
      <c r="Y186" s="126"/>
      <c r="Z186" s="126"/>
      <c r="AA186" s="126"/>
      <c r="AB186" s="125"/>
      <c r="AC186" s="125"/>
      <c r="AD186" s="469"/>
      <c r="AE186" s="469"/>
      <c r="AF186" s="469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247">
        <f>BE183^4</f>
        <v>110.5838412436684</v>
      </c>
      <c r="BF186" s="238"/>
      <c r="BG186" s="247">
        <f>SUMPRODUCT($BK$59:$BK$63,$BE$182:$BE$186)</f>
        <v>1.5305953725074244E-7</v>
      </c>
      <c r="BH186" s="239"/>
      <c r="BI186" s="239"/>
      <c r="BJ186" s="238"/>
      <c r="BK186" s="238"/>
      <c r="BL186" s="238"/>
      <c r="BM186" s="238"/>
      <c r="BN186" s="238"/>
      <c r="BO186" s="238"/>
      <c r="BP186" s="238"/>
      <c r="BQ186" s="238"/>
      <c r="BR186" s="238"/>
      <c r="BS186" s="238"/>
      <c r="BT186" s="238"/>
      <c r="BU186" s="238"/>
      <c r="BV186" s="238"/>
      <c r="BW186" s="238"/>
      <c r="BX186" s="238"/>
      <c r="BY186" s="238"/>
      <c r="BZ186" s="238"/>
      <c r="CA186" s="238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  <c r="CN186" s="238"/>
      <c r="CO186" s="238"/>
      <c r="CP186" s="238"/>
      <c r="CQ186" s="238"/>
      <c r="CR186" s="238"/>
      <c r="CS186" s="238"/>
      <c r="CT186" s="238"/>
      <c r="CU186" s="238"/>
      <c r="CV186" s="238"/>
      <c r="CW186" s="465"/>
    </row>
    <row r="187" spans="1:101" ht="18" customHeight="1" thickBot="1" x14ac:dyDescent="0.3">
      <c r="A187"/>
      <c r="K187" s="184"/>
      <c r="L187" s="184"/>
      <c r="M187" s="184"/>
      <c r="N187" s="185"/>
      <c r="O187" s="185"/>
      <c r="P187" s="185"/>
      <c r="Q187" s="185"/>
      <c r="R187" s="185"/>
      <c r="S187" s="127"/>
      <c r="T187" s="127"/>
      <c r="U187" s="127"/>
      <c r="V187" s="127"/>
      <c r="W187" s="127"/>
      <c r="X187" s="126"/>
      <c r="Y187" s="126"/>
      <c r="Z187" s="126"/>
      <c r="AA187" s="126"/>
      <c r="AB187" s="510"/>
      <c r="AC187" s="485" t="s">
        <v>311</v>
      </c>
      <c r="AD187" s="511">
        <f>AVERAGE(C228:C237)</f>
        <v>4.5</v>
      </c>
      <c r="AE187" s="469"/>
      <c r="AF187" s="469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238"/>
      <c r="BF187" s="248" t="s">
        <v>311</v>
      </c>
      <c r="BG187" s="277">
        <f>AVERAGE(C228:C238)</f>
        <v>4.5</v>
      </c>
      <c r="BH187" s="239"/>
      <c r="BI187" s="239"/>
      <c r="BJ187" s="238"/>
      <c r="BK187" s="238"/>
      <c r="BL187" s="238"/>
      <c r="BM187" s="238"/>
      <c r="BN187" s="238"/>
      <c r="BO187" s="238"/>
      <c r="BP187" s="238"/>
      <c r="BQ187" s="238"/>
      <c r="BR187" s="238"/>
      <c r="BS187" s="238"/>
      <c r="BT187" s="238"/>
      <c r="BU187" s="238"/>
      <c r="BV187" s="238"/>
      <c r="BW187" s="238"/>
      <c r="BX187" s="238"/>
      <c r="BY187" s="238"/>
      <c r="BZ187" s="238"/>
      <c r="CA187" s="238"/>
      <c r="CB187" s="238"/>
      <c r="CC187" s="238"/>
      <c r="CD187" s="238"/>
      <c r="CE187" s="238"/>
      <c r="CF187" s="238"/>
      <c r="CG187" s="238"/>
      <c r="CH187" s="238"/>
      <c r="CI187" s="238"/>
      <c r="CJ187" s="238"/>
      <c r="CK187" s="238"/>
      <c r="CL187" s="238"/>
      <c r="CM187" s="238"/>
      <c r="CN187" s="238"/>
      <c r="CO187" s="238"/>
      <c r="CP187" s="238"/>
      <c r="CQ187" s="238"/>
      <c r="CR187" s="238"/>
      <c r="CS187" s="238"/>
      <c r="CT187" s="238"/>
      <c r="CU187" s="238"/>
      <c r="CV187" s="238"/>
      <c r="CW187" s="465"/>
    </row>
    <row r="188" spans="1:101" ht="18" customHeight="1" thickTop="1" thickBot="1" x14ac:dyDescent="0.3">
      <c r="A188"/>
      <c r="B188" s="81" t="s">
        <v>101</v>
      </c>
      <c r="C188"/>
      <c r="D188" s="82" t="s">
        <v>102</v>
      </c>
      <c r="K188" s="81" t="s">
        <v>101</v>
      </c>
      <c r="L188" s="185"/>
      <c r="M188" s="454" t="s">
        <v>102</v>
      </c>
      <c r="N188" s="185"/>
      <c r="O188" s="185"/>
      <c r="P188" s="185"/>
      <c r="Q188" s="185"/>
      <c r="R188" s="185"/>
      <c r="S188" s="81" t="s">
        <v>101</v>
      </c>
      <c r="T188" s="126"/>
      <c r="U188" s="457" t="s">
        <v>102</v>
      </c>
      <c r="V188" s="127"/>
      <c r="W188" s="127"/>
      <c r="X188" s="126"/>
      <c r="Y188" s="126"/>
      <c r="Z188" s="126"/>
      <c r="AA188" s="126"/>
      <c r="AB188" s="81" t="s">
        <v>101</v>
      </c>
      <c r="AC188" s="125"/>
      <c r="AD188" s="494" t="s">
        <v>102</v>
      </c>
      <c r="AE188" s="469"/>
      <c r="AF188" s="469"/>
      <c r="AG188" s="512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81" t="s">
        <v>101</v>
      </c>
      <c r="BF188" s="238"/>
      <c r="BG188" s="455" t="s">
        <v>102</v>
      </c>
      <c r="BH188" s="239"/>
      <c r="BI188" s="239"/>
      <c r="BJ188" s="279"/>
      <c r="BK188" s="238"/>
      <c r="BL188" s="238"/>
      <c r="BM188" s="238"/>
      <c r="BN188" s="238"/>
      <c r="BO188" s="238"/>
      <c r="BP188" s="238"/>
      <c r="BQ188" s="238"/>
      <c r="BR188" s="238"/>
      <c r="BS188" s="238"/>
      <c r="BT188" s="238"/>
      <c r="BU188" s="238"/>
      <c r="BV188" s="238"/>
      <c r="BW188" s="238"/>
      <c r="BX188" s="238"/>
      <c r="BY188" s="238"/>
      <c r="BZ188" s="238"/>
      <c r="CA188" s="238"/>
      <c r="CB188" s="238"/>
      <c r="CC188" s="238"/>
      <c r="CD188" s="238"/>
      <c r="CE188" s="238"/>
      <c r="CF188" s="238"/>
      <c r="CG188" s="238"/>
      <c r="CH188" s="238"/>
      <c r="CI188" s="238"/>
      <c r="CJ188" s="238"/>
      <c r="CK188" s="238"/>
      <c r="CL188" s="238"/>
      <c r="CM188" s="238"/>
      <c r="CN188" s="238"/>
      <c r="CO188" s="238"/>
      <c r="CP188" s="238"/>
      <c r="CQ188" s="238"/>
      <c r="CR188" s="238"/>
      <c r="CS188" s="238"/>
      <c r="CT188" s="238"/>
      <c r="CU188" s="238"/>
      <c r="CV188" s="238"/>
      <c r="CW188" s="465"/>
    </row>
    <row r="189" spans="1:101" ht="18" customHeight="1" thickTop="1" x14ac:dyDescent="0.25">
      <c r="A189"/>
      <c r="B189"/>
      <c r="C189"/>
      <c r="D189" s="82"/>
      <c r="K189" s="185"/>
      <c r="L189" s="185"/>
      <c r="M189" s="454"/>
      <c r="N189" s="185"/>
      <c r="O189" s="185"/>
      <c r="P189" s="185"/>
      <c r="Q189" s="185"/>
      <c r="R189" s="185"/>
      <c r="S189" s="126"/>
      <c r="T189" s="126"/>
      <c r="U189" s="457"/>
      <c r="V189" s="127"/>
      <c r="W189" s="127"/>
      <c r="X189" s="126"/>
      <c r="Y189" s="126"/>
      <c r="Z189" s="126"/>
      <c r="AA189" s="126"/>
      <c r="AB189" s="699"/>
      <c r="AC189" s="125"/>
      <c r="AD189" s="494"/>
      <c r="AE189" s="469"/>
      <c r="AF189" s="469"/>
      <c r="AG189" s="512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238"/>
      <c r="BF189" s="238"/>
      <c r="BG189" s="455"/>
      <c r="BH189" s="239"/>
      <c r="BI189" s="239"/>
      <c r="BJ189" s="279"/>
      <c r="BK189" s="238"/>
      <c r="BL189" s="238"/>
      <c r="BM189" s="238"/>
      <c r="BN189" s="238"/>
      <c r="BO189" s="238"/>
      <c r="BP189" s="238"/>
      <c r="BQ189" s="238"/>
      <c r="BR189" s="238"/>
      <c r="BS189" s="238"/>
      <c r="BT189" s="238"/>
      <c r="BU189" s="238"/>
      <c r="BV189" s="238"/>
      <c r="BW189" s="238"/>
      <c r="BX189" s="238"/>
      <c r="BY189" s="238"/>
      <c r="BZ189" s="238"/>
      <c r="CA189" s="238"/>
      <c r="CB189" s="238"/>
      <c r="CC189" s="238"/>
      <c r="CD189" s="238"/>
      <c r="CE189" s="238"/>
      <c r="CF189" s="238"/>
      <c r="CG189" s="238"/>
      <c r="CH189" s="238"/>
      <c r="CI189" s="238"/>
      <c r="CJ189" s="238"/>
      <c r="CK189" s="238"/>
      <c r="CL189" s="238"/>
      <c r="CM189" s="238"/>
      <c r="CN189" s="238"/>
      <c r="CO189" s="238"/>
      <c r="CP189" s="238"/>
      <c r="CQ189" s="238"/>
      <c r="CR189" s="238"/>
      <c r="CS189" s="238"/>
      <c r="CT189" s="238"/>
      <c r="CU189" s="238"/>
      <c r="CV189" s="238"/>
      <c r="CW189" s="465"/>
    </row>
    <row r="190" spans="1:101" ht="18" customHeight="1" x14ac:dyDescent="0.25">
      <c r="A190"/>
      <c r="B190" t="s">
        <v>312</v>
      </c>
      <c r="C190"/>
      <c r="D190" s="82"/>
      <c r="K190" s="185"/>
      <c r="L190" s="185"/>
      <c r="M190" s="454"/>
      <c r="N190" s="185"/>
      <c r="O190" s="185"/>
      <c r="P190" s="185"/>
      <c r="Q190" s="185"/>
      <c r="R190" s="185"/>
      <c r="S190" s="126"/>
      <c r="T190" s="126"/>
      <c r="U190" s="457"/>
      <c r="V190" s="127"/>
      <c r="W190" s="127"/>
      <c r="X190" s="126"/>
      <c r="Y190" s="126"/>
      <c r="Z190" s="126"/>
      <c r="AA190" s="126"/>
      <c r="AB190" s="699"/>
      <c r="AC190" s="125"/>
      <c r="AD190" s="494"/>
      <c r="AE190" s="469"/>
      <c r="AF190" s="469"/>
      <c r="AG190" s="512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238"/>
      <c r="BF190" s="238"/>
      <c r="BG190" s="455"/>
      <c r="BH190" s="239"/>
      <c r="BI190" s="239"/>
      <c r="BJ190" s="279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238"/>
      <c r="BY190" s="238"/>
      <c r="BZ190" s="238"/>
      <c r="CA190" s="238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  <c r="CN190" s="238"/>
      <c r="CO190" s="238"/>
      <c r="CP190" s="238"/>
      <c r="CQ190" s="238"/>
      <c r="CR190" s="238"/>
      <c r="CS190" s="238"/>
      <c r="CT190" s="238"/>
      <c r="CU190" s="238"/>
      <c r="CV190" s="238"/>
      <c r="CW190" s="465"/>
    </row>
    <row r="191" spans="1:101" ht="18" customHeight="1" x14ac:dyDescent="0.25">
      <c r="A191"/>
      <c r="B191" s="2" t="s">
        <v>313</v>
      </c>
      <c r="K191" s="184"/>
      <c r="L191" s="184"/>
      <c r="M191" s="184"/>
      <c r="N191" s="185"/>
      <c r="O191" s="185"/>
      <c r="P191" s="185"/>
      <c r="Q191" s="185"/>
      <c r="R191" s="185"/>
      <c r="S191" s="127"/>
      <c r="T191" s="127"/>
      <c r="U191" s="127"/>
      <c r="V191" s="127"/>
      <c r="W191" s="127"/>
      <c r="X191" s="127"/>
      <c r="Y191" s="127"/>
      <c r="Z191" s="126"/>
      <c r="AA191" s="126"/>
      <c r="AB191" s="510"/>
      <c r="AC191" s="485"/>
      <c r="AD191" s="683"/>
      <c r="AE191" s="683"/>
      <c r="AF191" s="683"/>
      <c r="AG191" s="683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238"/>
      <c r="BF191" s="248"/>
      <c r="BG191" s="684"/>
      <c r="BH191" s="239"/>
      <c r="BI191" s="239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238"/>
      <c r="BY191" s="238"/>
      <c r="BZ191" s="238"/>
      <c r="CA191" s="238"/>
      <c r="CB191" s="238"/>
      <c r="CC191" s="238"/>
      <c r="CD191" s="238"/>
      <c r="CE191" s="238"/>
      <c r="CF191" s="238"/>
      <c r="CG191" s="238"/>
      <c r="CH191" s="238"/>
      <c r="CI191" s="238"/>
      <c r="CJ191" s="238"/>
      <c r="CK191" s="238"/>
      <c r="CL191" s="238"/>
      <c r="CM191" s="238"/>
      <c r="CN191" s="238"/>
      <c r="CO191" s="238"/>
      <c r="CP191" s="238"/>
      <c r="CQ191" s="238"/>
      <c r="CR191" s="238"/>
      <c r="CS191" s="238"/>
      <c r="CT191" s="238"/>
      <c r="CU191" s="238"/>
      <c r="CV191" s="238"/>
      <c r="CW191" s="465"/>
    </row>
    <row r="192" spans="1:101" ht="18" customHeight="1" x14ac:dyDescent="0.25">
      <c r="A192"/>
      <c r="K192" s="184"/>
      <c r="L192" s="184"/>
      <c r="M192" s="184"/>
      <c r="N192" s="185"/>
      <c r="O192" s="185"/>
      <c r="P192" s="185"/>
      <c r="Q192" s="185"/>
      <c r="R192" s="185"/>
      <c r="S192" s="127"/>
      <c r="T192" s="127"/>
      <c r="U192" s="127"/>
      <c r="V192" s="127"/>
      <c r="W192" s="127"/>
      <c r="X192" s="127"/>
      <c r="Y192" s="127"/>
      <c r="Z192" s="126"/>
      <c r="AA192" s="126"/>
      <c r="AB192" s="510"/>
      <c r="AC192" s="485"/>
      <c r="AD192" s="683"/>
      <c r="AE192" s="683"/>
      <c r="AF192" s="683"/>
      <c r="AG192" s="683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238"/>
      <c r="BF192" s="248"/>
      <c r="BG192" s="684"/>
      <c r="BH192" s="239"/>
      <c r="BI192" s="239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238"/>
      <c r="BY192" s="238"/>
      <c r="BZ192" s="238"/>
      <c r="CA192" s="238"/>
      <c r="CB192" s="238"/>
      <c r="CC192" s="238"/>
      <c r="CD192" s="238"/>
      <c r="CE192" s="238"/>
      <c r="CF192" s="238"/>
      <c r="CG192" s="238"/>
      <c r="CH192" s="238"/>
      <c r="CI192" s="238"/>
      <c r="CJ192" s="238"/>
      <c r="CK192" s="238"/>
      <c r="CL192" s="238"/>
      <c r="CM192" s="238"/>
      <c r="CN192" s="238"/>
      <c r="CO192" s="238"/>
      <c r="CP192" s="238"/>
      <c r="CQ192" s="238"/>
      <c r="CR192" s="238"/>
      <c r="CS192" s="238"/>
      <c r="CT192" s="238"/>
      <c r="CU192" s="238"/>
      <c r="CV192" s="238"/>
      <c r="CW192" s="465"/>
    </row>
    <row r="193" spans="1:101" ht="18" customHeight="1" x14ac:dyDescent="0.25">
      <c r="A193"/>
      <c r="B193" s="700" t="s">
        <v>314</v>
      </c>
      <c r="K193" s="184"/>
      <c r="L193" s="184"/>
      <c r="M193" s="184"/>
      <c r="N193" s="185"/>
      <c r="O193" s="185"/>
      <c r="P193" s="185"/>
      <c r="Q193" s="185"/>
      <c r="R193" s="185"/>
      <c r="S193" s="127"/>
      <c r="T193" s="127"/>
      <c r="U193" s="127"/>
      <c r="V193" s="127"/>
      <c r="W193" s="127"/>
      <c r="X193" s="127"/>
      <c r="Y193" s="127"/>
      <c r="Z193" s="126"/>
      <c r="AA193" s="126"/>
      <c r="AB193" s="510"/>
      <c r="AC193" s="485"/>
      <c r="AD193" s="683"/>
      <c r="AE193" s="683"/>
      <c r="AF193" s="683"/>
      <c r="AG193" s="683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238"/>
      <c r="BF193" s="248"/>
      <c r="BG193" s="684"/>
      <c r="BH193" s="239"/>
      <c r="BI193" s="239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238"/>
      <c r="BY193" s="238"/>
      <c r="BZ193" s="238"/>
      <c r="CA193" s="238"/>
      <c r="CB193" s="238"/>
      <c r="CC193" s="238"/>
      <c r="CD193" s="238"/>
      <c r="CE193" s="238"/>
      <c r="CF193" s="238"/>
      <c r="CG193" s="238"/>
      <c r="CH193" s="238"/>
      <c r="CI193" s="238"/>
      <c r="CJ193" s="238"/>
      <c r="CK193" s="238"/>
      <c r="CL193" s="238"/>
      <c r="CM193" s="238"/>
      <c r="CN193" s="238"/>
      <c r="CO193" s="238"/>
      <c r="CP193" s="238"/>
      <c r="CQ193" s="238"/>
      <c r="CR193" s="238"/>
      <c r="CS193" s="238"/>
      <c r="CT193" s="238"/>
      <c r="CU193" s="238"/>
      <c r="CV193" s="238"/>
      <c r="CW193" s="465"/>
    </row>
    <row r="194" spans="1:101" ht="18" customHeight="1" thickBot="1" x14ac:dyDescent="0.3">
      <c r="A194"/>
      <c r="K194" s="184"/>
      <c r="L194" s="184"/>
      <c r="M194" s="184"/>
      <c r="N194" s="185"/>
      <c r="O194" s="185"/>
      <c r="P194" s="185"/>
      <c r="Q194" s="185"/>
      <c r="R194" s="185"/>
      <c r="S194" s="127"/>
      <c r="T194" s="127"/>
      <c r="U194" s="127"/>
      <c r="V194" s="127"/>
      <c r="W194" s="127"/>
      <c r="X194" s="127"/>
      <c r="Y194" s="127"/>
      <c r="Z194" s="126"/>
      <c r="AA194" s="126"/>
      <c r="AB194" s="510"/>
      <c r="AC194" s="485"/>
      <c r="AD194" s="683"/>
      <c r="AE194" s="683"/>
      <c r="AF194" s="683"/>
      <c r="AG194" s="683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238"/>
      <c r="BF194" s="248"/>
      <c r="BG194" s="684"/>
      <c r="BH194" s="239"/>
      <c r="BI194" s="239"/>
      <c r="BJ194" s="238"/>
      <c r="BK194" s="238"/>
      <c r="BL194" s="238"/>
      <c r="BM194" s="238"/>
      <c r="BN194" s="238"/>
      <c r="BO194" s="238"/>
      <c r="BP194" s="238"/>
      <c r="BQ194" s="238"/>
      <c r="BR194" s="238"/>
      <c r="BS194" s="238"/>
      <c r="BT194" s="238"/>
      <c r="BU194" s="238"/>
      <c r="BV194" s="238"/>
      <c r="BW194" s="238"/>
      <c r="BX194" s="238"/>
      <c r="BY194" s="238"/>
      <c r="BZ194" s="238"/>
      <c r="CA194" s="238"/>
      <c r="CB194" s="238"/>
      <c r="CC194" s="238"/>
      <c r="CD194" s="238"/>
      <c r="CE194" s="238"/>
      <c r="CF194" s="238"/>
      <c r="CG194" s="238"/>
      <c r="CH194" s="238"/>
      <c r="CI194" s="238"/>
      <c r="CJ194" s="238"/>
      <c r="CK194" s="238"/>
      <c r="CL194" s="238"/>
      <c r="CM194" s="238"/>
      <c r="CN194" s="238"/>
      <c r="CO194" s="238"/>
      <c r="CP194" s="238"/>
      <c r="CQ194" s="238"/>
      <c r="CR194" s="238"/>
      <c r="CS194" s="238"/>
      <c r="CT194" s="238"/>
      <c r="CU194" s="238"/>
      <c r="CV194" s="238"/>
      <c r="CW194" s="465"/>
    </row>
    <row r="195" spans="1:101" ht="18" customHeight="1" thickTop="1" x14ac:dyDescent="0.25">
      <c r="A195"/>
      <c r="D195" s="685" t="s">
        <v>315</v>
      </c>
      <c r="E195" s="686"/>
      <c r="K195" s="184"/>
      <c r="L195" s="184"/>
      <c r="M195" s="221" t="s">
        <v>316</v>
      </c>
      <c r="N195" s="689">
        <f>$D$197</f>
        <v>6</v>
      </c>
      <c r="O195" s="185"/>
      <c r="P195" s="185"/>
      <c r="Q195" s="185"/>
      <c r="R195" s="185"/>
      <c r="S195" s="127"/>
      <c r="T195" s="127"/>
      <c r="U195" s="127"/>
      <c r="V195" s="127"/>
      <c r="W195" s="174" t="s">
        <v>316</v>
      </c>
      <c r="X195" s="691">
        <f>$D$197</f>
        <v>6</v>
      </c>
      <c r="Y195" s="127"/>
      <c r="Z195" s="126"/>
      <c r="AA195" s="126"/>
      <c r="AB195" s="510"/>
      <c r="AC195" s="469"/>
      <c r="AD195" s="520" t="s">
        <v>316</v>
      </c>
      <c r="AE195" s="693">
        <f>$D$197</f>
        <v>6</v>
      </c>
      <c r="AF195" s="683"/>
      <c r="AG195" s="683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238"/>
      <c r="BF195" s="248"/>
      <c r="BG195" s="695" t="s">
        <v>316</v>
      </c>
      <c r="BH195" s="696">
        <f>$D$197</f>
        <v>6</v>
      </c>
      <c r="BI195" s="239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38"/>
      <c r="CN195" s="238"/>
      <c r="CO195" s="238"/>
      <c r="CP195" s="238"/>
      <c r="CQ195" s="238"/>
      <c r="CR195" s="238"/>
      <c r="CS195" s="238"/>
      <c r="CT195" s="238"/>
      <c r="CU195" s="238"/>
      <c r="CV195" s="238"/>
      <c r="CW195" s="465"/>
    </row>
    <row r="196" spans="1:101" ht="18" customHeight="1" thickBot="1" x14ac:dyDescent="0.3">
      <c r="A196"/>
      <c r="D196" s="687" t="s">
        <v>317</v>
      </c>
      <c r="E196" s="688" t="s">
        <v>318</v>
      </c>
      <c r="K196" s="184"/>
      <c r="L196" s="221"/>
      <c r="M196" s="221"/>
      <c r="N196" s="222"/>
      <c r="O196" s="185"/>
      <c r="P196" s="185"/>
      <c r="Q196" s="185"/>
      <c r="R196" s="185"/>
      <c r="S196" s="127"/>
      <c r="T196" s="127"/>
      <c r="U196" s="127"/>
      <c r="V196" s="127"/>
      <c r="W196" s="174"/>
      <c r="X196" s="691"/>
      <c r="Y196" s="127"/>
      <c r="Z196" s="126"/>
      <c r="AA196" s="126"/>
      <c r="AB196" s="510"/>
      <c r="AC196" s="469"/>
      <c r="AD196" s="520"/>
      <c r="AE196" s="693"/>
      <c r="AF196" s="683"/>
      <c r="AG196" s="683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238"/>
      <c r="BF196" s="248"/>
      <c r="BG196" s="695"/>
      <c r="BH196" s="696"/>
      <c r="BI196" s="239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238"/>
      <c r="BY196" s="238"/>
      <c r="BZ196" s="238"/>
      <c r="CA196" s="238"/>
      <c r="CB196" s="238"/>
      <c r="CC196" s="238"/>
      <c r="CD196" s="238"/>
      <c r="CE196" s="238"/>
      <c r="CF196" s="238"/>
      <c r="CG196" s="238"/>
      <c r="CH196" s="238"/>
      <c r="CI196" s="238"/>
      <c r="CJ196" s="238"/>
      <c r="CK196" s="238"/>
      <c r="CL196" s="238"/>
      <c r="CM196" s="238"/>
      <c r="CN196" s="238"/>
      <c r="CO196" s="238"/>
      <c r="CP196" s="238"/>
      <c r="CQ196" s="238"/>
      <c r="CR196" s="238"/>
      <c r="CS196" s="238"/>
      <c r="CT196" s="238"/>
      <c r="CU196" s="238"/>
      <c r="CV196" s="238"/>
      <c r="CW196" s="465"/>
    </row>
    <row r="197" spans="1:101" ht="18" customHeight="1" thickTop="1" x14ac:dyDescent="0.25">
      <c r="A197"/>
      <c r="D197" s="607">
        <v>6</v>
      </c>
      <c r="E197" s="607">
        <v>9.8000000000000007</v>
      </c>
      <c r="K197" s="184"/>
      <c r="L197" s="184"/>
      <c r="M197" s="221" t="s">
        <v>319</v>
      </c>
      <c r="N197" s="689">
        <f>$E$208</f>
        <v>9.85</v>
      </c>
      <c r="O197" s="185"/>
      <c r="P197" s="185"/>
      <c r="Q197" s="185"/>
      <c r="R197" s="185"/>
      <c r="S197" s="127"/>
      <c r="T197" s="127"/>
      <c r="U197" s="127"/>
      <c r="V197" s="127"/>
      <c r="W197" s="174" t="s">
        <v>319</v>
      </c>
      <c r="X197" s="691">
        <f>$E$208</f>
        <v>9.85</v>
      </c>
      <c r="Y197" s="127"/>
      <c r="Z197" s="126"/>
      <c r="AA197" s="126"/>
      <c r="AB197" s="510"/>
      <c r="AC197" s="469"/>
      <c r="AD197" s="520" t="s">
        <v>319</v>
      </c>
      <c r="AE197" s="693">
        <f>$E$208</f>
        <v>9.85</v>
      </c>
      <c r="AF197" s="683"/>
      <c r="AG197" s="683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238"/>
      <c r="BF197" s="248"/>
      <c r="BG197" s="695" t="s">
        <v>319</v>
      </c>
      <c r="BH197" s="696">
        <f>$E$208</f>
        <v>9.85</v>
      </c>
      <c r="BI197" s="239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238"/>
      <c r="BY197" s="238"/>
      <c r="BZ197" s="238"/>
      <c r="CA197" s="238"/>
      <c r="CB197" s="238"/>
      <c r="CC197" s="238"/>
      <c r="CD197" s="238"/>
      <c r="CE197" s="238"/>
      <c r="CF197" s="238"/>
      <c r="CG197" s="238"/>
      <c r="CH197" s="238"/>
      <c r="CI197" s="238"/>
      <c r="CJ197" s="238"/>
      <c r="CK197" s="238"/>
      <c r="CL197" s="238"/>
      <c r="CM197" s="238"/>
      <c r="CN197" s="238"/>
      <c r="CO197" s="238"/>
      <c r="CP197" s="238"/>
      <c r="CQ197" s="238"/>
      <c r="CR197" s="238"/>
      <c r="CS197" s="238"/>
      <c r="CT197" s="238"/>
      <c r="CU197" s="238"/>
      <c r="CV197" s="238"/>
      <c r="CW197" s="465"/>
    </row>
    <row r="198" spans="1:101" ht="18" customHeight="1" x14ac:dyDescent="0.25">
      <c r="A198"/>
      <c r="D198" s="608">
        <v>6</v>
      </c>
      <c r="E198" s="608">
        <v>9.85</v>
      </c>
      <c r="K198" s="184"/>
      <c r="L198" s="184"/>
      <c r="M198" s="184"/>
      <c r="N198" s="187"/>
      <c r="O198" s="185"/>
      <c r="P198" s="185"/>
      <c r="Q198" s="185"/>
      <c r="R198" s="185"/>
      <c r="S198" s="127"/>
      <c r="T198" s="127"/>
      <c r="U198" s="127"/>
      <c r="V198" s="127"/>
      <c r="W198" s="174"/>
      <c r="X198" s="691"/>
      <c r="Y198" s="127"/>
      <c r="Z198" s="126"/>
      <c r="AA198" s="126"/>
      <c r="AB198" s="510"/>
      <c r="AC198" s="469"/>
      <c r="AD198" s="520"/>
      <c r="AE198" s="693"/>
      <c r="AF198" s="683"/>
      <c r="AG198" s="683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238"/>
      <c r="BF198" s="248"/>
      <c r="BG198" s="695"/>
      <c r="BH198" s="696"/>
      <c r="BI198" s="239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238"/>
      <c r="BY198" s="238"/>
      <c r="BZ198" s="238"/>
      <c r="CA198" s="238"/>
      <c r="CB198" s="238"/>
      <c r="CC198" s="238"/>
      <c r="CD198" s="238"/>
      <c r="CE198" s="238"/>
      <c r="CF198" s="238"/>
      <c r="CG198" s="238"/>
      <c r="CH198" s="238"/>
      <c r="CI198" s="238"/>
      <c r="CJ198" s="238"/>
      <c r="CK198" s="238"/>
      <c r="CL198" s="238"/>
      <c r="CM198" s="238"/>
      <c r="CN198" s="238"/>
      <c r="CO198" s="238"/>
      <c r="CP198" s="238"/>
      <c r="CQ198" s="238"/>
      <c r="CR198" s="238"/>
      <c r="CS198" s="238"/>
      <c r="CT198" s="238"/>
      <c r="CU198" s="238"/>
      <c r="CV198" s="238"/>
      <c r="CW198" s="465"/>
    </row>
    <row r="199" spans="1:101" ht="18" customHeight="1" x14ac:dyDescent="0.25">
      <c r="A199"/>
      <c r="D199" s="608">
        <v>6</v>
      </c>
      <c r="E199" s="608">
        <v>9.9</v>
      </c>
      <c r="K199" s="184"/>
      <c r="L199" s="184"/>
      <c r="M199" s="221" t="s">
        <v>320</v>
      </c>
      <c r="N199" s="187">
        <f>K27+K28*N195</f>
        <v>10.325292631578961</v>
      </c>
      <c r="O199" s="185"/>
      <c r="P199" s="185"/>
      <c r="Q199" s="185"/>
      <c r="R199" s="185"/>
      <c r="S199" s="127"/>
      <c r="T199" s="127"/>
      <c r="U199" s="127"/>
      <c r="V199" s="127"/>
      <c r="W199" s="174" t="s">
        <v>320</v>
      </c>
      <c r="X199" s="691">
        <f>U30+U31*X195+U32*X195^2</f>
        <v>9.8006331888544942</v>
      </c>
      <c r="Y199" s="127"/>
      <c r="Z199" s="126"/>
      <c r="AA199" s="126"/>
      <c r="AB199" s="510"/>
      <c r="AC199" s="469"/>
      <c r="AD199" s="520" t="s">
        <v>320</v>
      </c>
      <c r="AE199" s="693">
        <f>AD30+AD31*AE195+AD32*AE195^2+AD33*AE195^3</f>
        <v>9.7999467304613574</v>
      </c>
      <c r="AF199" s="683"/>
      <c r="AG199" s="683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238"/>
      <c r="BF199" s="248"/>
      <c r="BG199" s="695" t="s">
        <v>320</v>
      </c>
      <c r="BH199" s="696">
        <f>BI26+BI27*BH195+BI28*BH195^2+BI29*BH195^3+BI30*BH195^4</f>
        <v>9.8016894096481053</v>
      </c>
      <c r="BI199" s="239"/>
      <c r="BJ199" s="238"/>
      <c r="BK199" s="238"/>
      <c r="BL199" s="238"/>
      <c r="BM199" s="238"/>
      <c r="BN199" s="238"/>
      <c r="BO199" s="238"/>
      <c r="BP199" s="238"/>
      <c r="BQ199" s="238"/>
      <c r="BR199" s="238"/>
      <c r="BS199" s="238"/>
      <c r="BT199" s="238"/>
      <c r="BU199" s="238"/>
      <c r="BV199" s="238"/>
      <c r="BW199" s="238"/>
      <c r="BX199" s="238"/>
      <c r="BY199" s="238"/>
      <c r="BZ199" s="238"/>
      <c r="CA199" s="238"/>
      <c r="CB199" s="238"/>
      <c r="CC199" s="238"/>
      <c r="CD199" s="238"/>
      <c r="CE199" s="238"/>
      <c r="CF199" s="238"/>
      <c r="CG199" s="238"/>
      <c r="CH199" s="238"/>
      <c r="CI199" s="238"/>
      <c r="CJ199" s="238"/>
      <c r="CK199" s="238"/>
      <c r="CL199" s="238"/>
      <c r="CM199" s="238"/>
      <c r="CN199" s="238"/>
      <c r="CO199" s="238"/>
      <c r="CP199" s="238"/>
      <c r="CQ199" s="238"/>
      <c r="CR199" s="238"/>
      <c r="CS199" s="238"/>
      <c r="CT199" s="238"/>
      <c r="CU199" s="238"/>
      <c r="CV199" s="238"/>
      <c r="CW199" s="465"/>
    </row>
    <row r="200" spans="1:101" ht="18" customHeight="1" x14ac:dyDescent="0.25">
      <c r="A200"/>
      <c r="D200" s="40"/>
      <c r="E200" s="40"/>
      <c r="K200" s="184"/>
      <c r="L200" s="184"/>
      <c r="M200" s="184"/>
      <c r="N200" s="187"/>
      <c r="O200" s="185"/>
      <c r="P200" s="185"/>
      <c r="Q200" s="185"/>
      <c r="R200" s="185"/>
      <c r="S200" s="127"/>
      <c r="T200" s="127"/>
      <c r="U200" s="127"/>
      <c r="V200" s="127"/>
      <c r="W200" s="174"/>
      <c r="X200" s="691"/>
      <c r="Y200" s="127"/>
      <c r="Z200" s="126"/>
      <c r="AA200" s="126"/>
      <c r="AB200" s="510"/>
      <c r="AC200" s="469"/>
      <c r="AD200" s="520"/>
      <c r="AE200" s="693"/>
      <c r="AF200" s="683"/>
      <c r="AG200" s="683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238"/>
      <c r="BF200" s="248"/>
      <c r="BG200" s="695"/>
      <c r="BH200" s="696"/>
      <c r="BI200" s="239"/>
      <c r="BJ200" s="238"/>
      <c r="BK200" s="238"/>
      <c r="BL200" s="238"/>
      <c r="BM200" s="238"/>
      <c r="BN200" s="238"/>
      <c r="BO200" s="238"/>
      <c r="BP200" s="238"/>
      <c r="BQ200" s="238"/>
      <c r="BR200" s="238"/>
      <c r="BS200" s="238"/>
      <c r="BT200" s="238"/>
      <c r="BU200" s="238"/>
      <c r="BV200" s="238"/>
      <c r="BW200" s="238"/>
      <c r="BX200" s="238"/>
      <c r="BY200" s="238"/>
      <c r="BZ200" s="238"/>
      <c r="CA200" s="238"/>
      <c r="CB200" s="238"/>
      <c r="CC200" s="238"/>
      <c r="CD200" s="238"/>
      <c r="CE200" s="238"/>
      <c r="CF200" s="238"/>
      <c r="CG200" s="238"/>
      <c r="CH200" s="238"/>
      <c r="CI200" s="238"/>
      <c r="CJ200" s="238"/>
      <c r="CK200" s="238"/>
      <c r="CL200" s="238"/>
      <c r="CM200" s="238"/>
      <c r="CN200" s="238"/>
      <c r="CO200" s="238"/>
      <c r="CP200" s="238"/>
      <c r="CQ200" s="238"/>
      <c r="CR200" s="238"/>
      <c r="CS200" s="238"/>
      <c r="CT200" s="238"/>
      <c r="CU200" s="238"/>
      <c r="CV200" s="238"/>
      <c r="CW200" s="465"/>
    </row>
    <row r="201" spans="1:101" ht="18" customHeight="1" x14ac:dyDescent="0.2">
      <c r="A201"/>
      <c r="D201" s="40"/>
      <c r="E201" s="40"/>
      <c r="K201" s="184"/>
      <c r="L201" s="184"/>
      <c r="M201" s="221" t="s">
        <v>321</v>
      </c>
      <c r="N201" s="690">
        <f>(N197-N199)/N199</f>
        <v>-4.6031880019102051E-2</v>
      </c>
      <c r="O201" s="185"/>
      <c r="P201" s="185"/>
      <c r="Q201" s="185"/>
      <c r="R201" s="185"/>
      <c r="S201" s="127"/>
      <c r="T201" s="127"/>
      <c r="U201" s="127"/>
      <c r="V201" s="127"/>
      <c r="W201" s="174" t="s">
        <v>321</v>
      </c>
      <c r="X201" s="692">
        <f>(X197-X199)/X199</f>
        <v>5.0371042558399722E-3</v>
      </c>
      <c r="Y201" s="126"/>
      <c r="Z201" s="126"/>
      <c r="AA201" s="126"/>
      <c r="AB201" s="510"/>
      <c r="AC201" s="469"/>
      <c r="AD201" s="520" t="s">
        <v>321</v>
      </c>
      <c r="AE201" s="694">
        <f>(AE197-AE199)/AE199</f>
        <v>5.1075042462282666E-3</v>
      </c>
      <c r="AF201" s="469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238"/>
      <c r="BF201" s="248"/>
      <c r="BG201" s="695" t="s">
        <v>321</v>
      </c>
      <c r="BH201" s="697">
        <f>(BH197-BH199)/BH199</f>
        <v>4.928802406689272E-3</v>
      </c>
      <c r="BI201" s="239"/>
      <c r="BJ201" s="238"/>
      <c r="BK201" s="238"/>
      <c r="BL201" s="238"/>
      <c r="BM201" s="238"/>
      <c r="BN201" s="238"/>
      <c r="BO201" s="238"/>
      <c r="BP201" s="238"/>
      <c r="BQ201" s="238"/>
      <c r="BR201" s="238"/>
      <c r="BS201" s="238"/>
      <c r="BT201" s="238"/>
      <c r="BU201" s="238"/>
      <c r="BV201" s="238"/>
      <c r="BW201" s="238"/>
      <c r="BX201" s="238"/>
      <c r="BY201" s="238"/>
      <c r="BZ201" s="238"/>
      <c r="CA201" s="238"/>
      <c r="CB201" s="238"/>
      <c r="CC201" s="238"/>
      <c r="CD201" s="238"/>
      <c r="CE201" s="238"/>
      <c r="CF201" s="238"/>
      <c r="CG201" s="238"/>
      <c r="CH201" s="238"/>
      <c r="CI201" s="238"/>
      <c r="CJ201" s="238"/>
      <c r="CK201" s="238"/>
      <c r="CL201" s="238"/>
      <c r="CM201" s="238"/>
      <c r="CN201" s="238"/>
      <c r="CO201" s="238"/>
      <c r="CP201" s="238"/>
      <c r="CQ201" s="238"/>
      <c r="CR201" s="238"/>
      <c r="CS201" s="238"/>
      <c r="CT201" s="238"/>
      <c r="CU201" s="238"/>
      <c r="CV201" s="238"/>
      <c r="CW201" s="465"/>
    </row>
    <row r="202" spans="1:101" ht="18" customHeight="1" x14ac:dyDescent="0.25">
      <c r="A202"/>
      <c r="D202" s="40"/>
      <c r="E202" s="40"/>
      <c r="K202" s="184"/>
      <c r="L202" s="184"/>
      <c r="M202" s="184"/>
      <c r="N202" s="185"/>
      <c r="O202" s="185"/>
      <c r="P202" s="185"/>
      <c r="Q202" s="185"/>
      <c r="R202" s="185"/>
      <c r="S202" s="127"/>
      <c r="T202" s="127"/>
      <c r="U202" s="127"/>
      <c r="V202" s="127"/>
      <c r="W202" s="127"/>
      <c r="X202" s="126"/>
      <c r="Y202" s="126"/>
      <c r="Z202" s="126"/>
      <c r="AA202" s="126"/>
      <c r="AB202" s="510"/>
      <c r="AC202" s="485"/>
      <c r="AD202" s="683"/>
      <c r="AE202" s="469"/>
      <c r="AF202" s="469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238"/>
      <c r="BF202" s="248"/>
      <c r="BG202" s="684"/>
      <c r="BH202" s="239"/>
      <c r="BI202" s="239"/>
      <c r="BJ202" s="238"/>
      <c r="BK202" s="238"/>
      <c r="BL202" s="238"/>
      <c r="BM202" s="238"/>
      <c r="BN202" s="238"/>
      <c r="BO202" s="238"/>
      <c r="BP202" s="238"/>
      <c r="BQ202" s="238"/>
      <c r="BR202" s="238"/>
      <c r="BS202" s="238"/>
      <c r="BT202" s="238"/>
      <c r="BU202" s="238"/>
      <c r="BV202" s="238"/>
      <c r="BW202" s="238"/>
      <c r="BX202" s="238"/>
      <c r="BY202" s="238"/>
      <c r="BZ202" s="238"/>
      <c r="CA202" s="238"/>
      <c r="CB202" s="238"/>
      <c r="CC202" s="238"/>
      <c r="CD202" s="238"/>
      <c r="CE202" s="238"/>
      <c r="CF202" s="238"/>
      <c r="CG202" s="238"/>
      <c r="CH202" s="238"/>
      <c r="CI202" s="238"/>
      <c r="CJ202" s="238"/>
      <c r="CK202" s="238"/>
      <c r="CL202" s="238"/>
      <c r="CM202" s="238"/>
      <c r="CN202" s="238"/>
      <c r="CO202" s="238"/>
      <c r="CP202" s="238"/>
      <c r="CQ202" s="238"/>
      <c r="CR202" s="238"/>
      <c r="CS202" s="238"/>
      <c r="CT202" s="238"/>
      <c r="CU202" s="238"/>
      <c r="CV202" s="238"/>
      <c r="CW202" s="465"/>
    </row>
    <row r="203" spans="1:101" ht="18" customHeight="1" x14ac:dyDescent="0.25">
      <c r="A203"/>
      <c r="D203" s="40"/>
      <c r="E203" s="40"/>
      <c r="K203" s="184"/>
      <c r="L203" s="184"/>
      <c r="M203" s="184"/>
      <c r="N203" s="187" t="str">
        <f>IF(ABS(N201)&gt;0.01,"Relative difference is excessive","Relative difference is ok")</f>
        <v>Relative difference is excessive</v>
      </c>
      <c r="O203" s="185"/>
      <c r="P203" s="185"/>
      <c r="Q203" s="185"/>
      <c r="R203" s="185"/>
      <c r="S203" s="127"/>
      <c r="T203" s="127"/>
      <c r="U203" s="127"/>
      <c r="V203" s="127"/>
      <c r="W203" s="127"/>
      <c r="X203" s="129" t="str">
        <f>IF(ABS(X201)&gt;0.01,"Relative difference is excessive","Relative difference is ok")</f>
        <v>Relative difference is ok</v>
      </c>
      <c r="Y203" s="126"/>
      <c r="Z203" s="126"/>
      <c r="AA203" s="126"/>
      <c r="AB203" s="510"/>
      <c r="AC203" s="485"/>
      <c r="AD203" s="683"/>
      <c r="AE203" s="456" t="str">
        <f>IF(ABS(AE201)&gt;0.01,"Relative difference is excessive","Relative difference is ok")</f>
        <v>Relative difference is ok</v>
      </c>
      <c r="AF203" s="469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238"/>
      <c r="BF203" s="248"/>
      <c r="BG203" s="684"/>
      <c r="BH203" s="240" t="str">
        <f>IF(ABS(BH201)&gt;0.01,"Relative difference is excessive","Relative difference is ok")</f>
        <v>Relative difference is ok</v>
      </c>
      <c r="BI203" s="239"/>
      <c r="BJ203" s="238"/>
      <c r="BK203" s="238"/>
      <c r="BL203" s="238"/>
      <c r="BM203" s="238"/>
      <c r="BN203" s="238"/>
      <c r="BO203" s="238"/>
      <c r="BP203" s="238"/>
      <c r="BQ203" s="238"/>
      <c r="BR203" s="238"/>
      <c r="BS203" s="238"/>
      <c r="BT203" s="238"/>
      <c r="BU203" s="238"/>
      <c r="BV203" s="238"/>
      <c r="BW203" s="238"/>
      <c r="BX203" s="238"/>
      <c r="BY203" s="238"/>
      <c r="BZ203" s="238"/>
      <c r="CA203" s="238"/>
      <c r="CB203" s="238"/>
      <c r="CC203" s="238"/>
      <c r="CD203" s="238"/>
      <c r="CE203" s="238"/>
      <c r="CF203" s="238"/>
      <c r="CG203" s="238"/>
      <c r="CH203" s="238"/>
      <c r="CI203" s="238"/>
      <c r="CJ203" s="238"/>
      <c r="CK203" s="238"/>
      <c r="CL203" s="238"/>
      <c r="CM203" s="238"/>
      <c r="CN203" s="238"/>
      <c r="CO203" s="238"/>
      <c r="CP203" s="238"/>
      <c r="CQ203" s="238"/>
      <c r="CR203" s="238"/>
      <c r="CS203" s="238"/>
      <c r="CT203" s="238"/>
      <c r="CU203" s="238"/>
      <c r="CV203" s="238"/>
      <c r="CW203" s="465"/>
    </row>
    <row r="204" spans="1:101" ht="18" customHeight="1" x14ac:dyDescent="0.25">
      <c r="A204"/>
      <c r="D204" s="40"/>
      <c r="E204" s="40"/>
      <c r="K204" s="184"/>
      <c r="L204" s="184"/>
      <c r="M204" s="184"/>
      <c r="N204" s="185"/>
      <c r="O204" s="185"/>
      <c r="P204" s="185"/>
      <c r="Q204" s="185"/>
      <c r="R204" s="185"/>
      <c r="S204" s="127"/>
      <c r="T204" s="127"/>
      <c r="U204" s="127"/>
      <c r="V204" s="127"/>
      <c r="W204" s="127"/>
      <c r="X204" s="126"/>
      <c r="Y204" s="126"/>
      <c r="Z204" s="126"/>
      <c r="AA204" s="126"/>
      <c r="AB204" s="510"/>
      <c r="AC204" s="485"/>
      <c r="AD204" s="683"/>
      <c r="AE204" s="469"/>
      <c r="AF204" s="469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238"/>
      <c r="BF204" s="248"/>
      <c r="BG204" s="684"/>
      <c r="BH204" s="239"/>
      <c r="BI204" s="239"/>
      <c r="BJ204" s="238"/>
      <c r="BK204" s="238"/>
      <c r="BL204" s="238"/>
      <c r="BM204" s="238"/>
      <c r="BN204" s="238"/>
      <c r="BO204" s="238"/>
      <c r="BP204" s="238"/>
      <c r="BQ204" s="238"/>
      <c r="BR204" s="238"/>
      <c r="BS204" s="238"/>
      <c r="BT204" s="238"/>
      <c r="BU204" s="238"/>
      <c r="BV204" s="238"/>
      <c r="BW204" s="238"/>
      <c r="BX204" s="238"/>
      <c r="BY204" s="238"/>
      <c r="BZ204" s="238"/>
      <c r="CA204" s="238"/>
      <c r="CB204" s="238"/>
      <c r="CC204" s="238"/>
      <c r="CD204" s="238"/>
      <c r="CE204" s="238"/>
      <c r="CF204" s="238"/>
      <c r="CG204" s="238"/>
      <c r="CH204" s="238"/>
      <c r="CI204" s="238"/>
      <c r="CJ204" s="238"/>
      <c r="CK204" s="238"/>
      <c r="CL204" s="238"/>
      <c r="CM204" s="238"/>
      <c r="CN204" s="238"/>
      <c r="CO204" s="238"/>
      <c r="CP204" s="238"/>
      <c r="CQ204" s="238"/>
      <c r="CR204" s="238"/>
      <c r="CS204" s="238"/>
      <c r="CT204" s="238"/>
      <c r="CU204" s="238"/>
      <c r="CV204" s="238"/>
      <c r="CW204" s="465"/>
    </row>
    <row r="205" spans="1:101" ht="18" customHeight="1" x14ac:dyDescent="0.25">
      <c r="A205"/>
      <c r="D205" s="40"/>
      <c r="E205" s="40"/>
      <c r="K205" s="184"/>
      <c r="L205" s="184"/>
      <c r="M205" s="184"/>
      <c r="N205" s="185"/>
      <c r="O205" s="185"/>
      <c r="P205" s="185"/>
      <c r="Q205" s="185"/>
      <c r="R205" s="185"/>
      <c r="S205" s="127"/>
      <c r="T205" s="127"/>
      <c r="U205" s="127"/>
      <c r="V205" s="127"/>
      <c r="W205" s="127"/>
      <c r="X205" s="126"/>
      <c r="Y205" s="126"/>
      <c r="Z205" s="126"/>
      <c r="AA205" s="126"/>
      <c r="AB205" s="510"/>
      <c r="AC205" s="485"/>
      <c r="AD205" s="683"/>
      <c r="AE205" s="469"/>
      <c r="AF205" s="469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238"/>
      <c r="BF205" s="248"/>
      <c r="BG205" s="684"/>
      <c r="BH205" s="239"/>
      <c r="BI205" s="239"/>
      <c r="BJ205" s="238"/>
      <c r="BK205" s="238"/>
      <c r="BL205" s="238"/>
      <c r="BM205" s="238"/>
      <c r="BN205" s="238"/>
      <c r="BO205" s="238"/>
      <c r="BP205" s="238"/>
      <c r="BQ205" s="238"/>
      <c r="BR205" s="238"/>
      <c r="BS205" s="238"/>
      <c r="BT205" s="238"/>
      <c r="BU205" s="238"/>
      <c r="BV205" s="238"/>
      <c r="BW205" s="238"/>
      <c r="BX205" s="238"/>
      <c r="BY205" s="238"/>
      <c r="BZ205" s="238"/>
      <c r="CA205" s="238"/>
      <c r="CB205" s="238"/>
      <c r="CC205" s="238"/>
      <c r="CD205" s="238"/>
      <c r="CE205" s="238"/>
      <c r="CF205" s="238"/>
      <c r="CG205" s="238"/>
      <c r="CH205" s="238"/>
      <c r="CI205" s="238"/>
      <c r="CJ205" s="238"/>
      <c r="CK205" s="238"/>
      <c r="CL205" s="238"/>
      <c r="CM205" s="238"/>
      <c r="CN205" s="238"/>
      <c r="CO205" s="238"/>
      <c r="CP205" s="238"/>
      <c r="CQ205" s="238"/>
      <c r="CR205" s="238"/>
      <c r="CS205" s="238"/>
      <c r="CT205" s="238"/>
      <c r="CU205" s="238"/>
      <c r="CV205" s="238"/>
      <c r="CW205" s="465"/>
    </row>
    <row r="206" spans="1:101" ht="18" customHeight="1" thickBot="1" x14ac:dyDescent="0.3">
      <c r="A206"/>
      <c r="D206" s="41"/>
      <c r="E206" s="41"/>
      <c r="K206" s="184"/>
      <c r="L206" s="184"/>
      <c r="M206" s="184"/>
      <c r="N206" s="185"/>
      <c r="O206" s="185"/>
      <c r="P206" s="185"/>
      <c r="Q206" s="185"/>
      <c r="R206" s="185"/>
      <c r="S206" s="127"/>
      <c r="T206" s="127"/>
      <c r="U206" s="127"/>
      <c r="V206" s="127"/>
      <c r="W206" s="127"/>
      <c r="X206" s="126"/>
      <c r="Y206" s="126"/>
      <c r="Z206" s="126"/>
      <c r="AA206" s="126"/>
      <c r="AB206" s="510"/>
      <c r="AC206" s="485"/>
      <c r="AD206" s="683"/>
      <c r="AE206" s="469"/>
      <c r="AF206" s="469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238"/>
      <c r="BF206" s="248"/>
      <c r="BG206" s="684"/>
      <c r="BH206" s="239"/>
      <c r="BI206" s="239"/>
      <c r="BJ206" s="238"/>
      <c r="BK206" s="238"/>
      <c r="BL206" s="238"/>
      <c r="BM206" s="238"/>
      <c r="BN206" s="238"/>
      <c r="BO206" s="238"/>
      <c r="BP206" s="238"/>
      <c r="BQ206" s="238"/>
      <c r="BR206" s="238"/>
      <c r="BS206" s="238"/>
      <c r="BT206" s="238"/>
      <c r="BU206" s="238"/>
      <c r="BV206" s="238"/>
      <c r="BW206" s="238"/>
      <c r="BX206" s="238"/>
      <c r="BY206" s="238"/>
      <c r="BZ206" s="238"/>
      <c r="CA206" s="238"/>
      <c r="CB206" s="238"/>
      <c r="CC206" s="238"/>
      <c r="CD206" s="238"/>
      <c r="CE206" s="238"/>
      <c r="CF206" s="238"/>
      <c r="CG206" s="238"/>
      <c r="CH206" s="238"/>
      <c r="CI206" s="238"/>
      <c r="CJ206" s="238"/>
      <c r="CK206" s="238"/>
      <c r="CL206" s="238"/>
      <c r="CM206" s="238"/>
      <c r="CN206" s="238"/>
      <c r="CO206" s="238"/>
      <c r="CP206" s="238"/>
      <c r="CQ206" s="238"/>
      <c r="CR206" s="238"/>
      <c r="CS206" s="238"/>
      <c r="CT206" s="238"/>
      <c r="CU206" s="238"/>
      <c r="CV206" s="238"/>
      <c r="CW206" s="465"/>
    </row>
    <row r="207" spans="1:101" ht="18" customHeight="1" thickTop="1" x14ac:dyDescent="0.25">
      <c r="A207"/>
      <c r="K207" s="184"/>
      <c r="L207" s="184"/>
      <c r="M207" s="184"/>
      <c r="N207" s="185"/>
      <c r="O207" s="185"/>
      <c r="P207" s="185"/>
      <c r="Q207" s="185"/>
      <c r="R207" s="185"/>
      <c r="S207" s="127"/>
      <c r="T207" s="127"/>
      <c r="U207" s="127"/>
      <c r="V207" s="127"/>
      <c r="W207" s="127"/>
      <c r="X207" s="126"/>
      <c r="Y207" s="126"/>
      <c r="Z207" s="126"/>
      <c r="AA207" s="126"/>
      <c r="AB207" s="510"/>
      <c r="AC207" s="485"/>
      <c r="AD207" s="683"/>
      <c r="AE207" s="469"/>
      <c r="AF207" s="469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238"/>
      <c r="BF207" s="248"/>
      <c r="BG207" s="684"/>
      <c r="BH207" s="239"/>
      <c r="BI207" s="239"/>
      <c r="BJ207" s="238"/>
      <c r="BK207" s="238"/>
      <c r="BL207" s="238"/>
      <c r="BM207" s="238"/>
      <c r="BN207" s="238"/>
      <c r="BO207" s="238"/>
      <c r="BP207" s="238"/>
      <c r="BQ207" s="238"/>
      <c r="BR207" s="238"/>
      <c r="BS207" s="238"/>
      <c r="BT207" s="238"/>
      <c r="BU207" s="238"/>
      <c r="BV207" s="238"/>
      <c r="BW207" s="238"/>
      <c r="BX207" s="238"/>
      <c r="BY207" s="238"/>
      <c r="BZ207" s="238"/>
      <c r="CA207" s="238"/>
      <c r="CB207" s="238"/>
      <c r="CC207" s="238"/>
      <c r="CD207" s="238"/>
      <c r="CE207" s="238"/>
      <c r="CF207" s="238"/>
      <c r="CG207" s="238"/>
      <c r="CH207" s="238"/>
      <c r="CI207" s="238"/>
      <c r="CJ207" s="238"/>
      <c r="CK207" s="238"/>
      <c r="CL207" s="238"/>
      <c r="CM207" s="238"/>
      <c r="CN207" s="238"/>
      <c r="CO207" s="238"/>
      <c r="CP207" s="238"/>
      <c r="CQ207" s="238"/>
      <c r="CR207" s="238"/>
      <c r="CS207" s="238"/>
      <c r="CT207" s="238"/>
      <c r="CU207" s="238"/>
      <c r="CV207" s="238"/>
      <c r="CW207" s="465"/>
    </row>
    <row r="208" spans="1:101" ht="18" customHeight="1" x14ac:dyDescent="0.25">
      <c r="A208"/>
      <c r="D208" s="6" t="s">
        <v>322</v>
      </c>
      <c r="E208" s="674">
        <f>AVERAGE(E197:E206)</f>
        <v>9.85</v>
      </c>
      <c r="K208" s="184"/>
      <c r="L208" s="184"/>
      <c r="M208" s="184"/>
      <c r="N208" s="185"/>
      <c r="O208" s="185"/>
      <c r="P208" s="185"/>
      <c r="Q208" s="185"/>
      <c r="R208" s="185"/>
      <c r="S208" s="127"/>
      <c r="T208" s="127"/>
      <c r="U208" s="127"/>
      <c r="V208" s="127"/>
      <c r="W208" s="127"/>
      <c r="X208" s="126"/>
      <c r="Y208" s="126"/>
      <c r="Z208" s="126"/>
      <c r="AA208" s="126"/>
      <c r="AB208" s="510"/>
      <c r="AC208" s="485"/>
      <c r="AD208" s="683"/>
      <c r="AE208" s="469"/>
      <c r="AF208" s="469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238"/>
      <c r="BF208" s="248"/>
      <c r="BG208" s="684"/>
      <c r="BH208" s="239"/>
      <c r="BI208" s="239"/>
      <c r="BJ208" s="238"/>
      <c r="BK208" s="238"/>
      <c r="BL208" s="238"/>
      <c r="BM208" s="238"/>
      <c r="BN208" s="238"/>
      <c r="BO208" s="238"/>
      <c r="BP208" s="238"/>
      <c r="BQ208" s="238"/>
      <c r="BR208" s="238"/>
      <c r="BS208" s="238"/>
      <c r="BT208" s="238"/>
      <c r="BU208" s="238"/>
      <c r="BV208" s="238"/>
      <c r="BW208" s="238"/>
      <c r="BX208" s="238"/>
      <c r="BY208" s="238"/>
      <c r="BZ208" s="238"/>
      <c r="CA208" s="238"/>
      <c r="CB208" s="238"/>
      <c r="CC208" s="238"/>
      <c r="CD208" s="238"/>
      <c r="CE208" s="238"/>
      <c r="CF208" s="238"/>
      <c r="CG208" s="238"/>
      <c r="CH208" s="238"/>
      <c r="CI208" s="238"/>
      <c r="CJ208" s="238"/>
      <c r="CK208" s="238"/>
      <c r="CL208" s="238"/>
      <c r="CM208" s="238"/>
      <c r="CN208" s="238"/>
      <c r="CO208" s="238"/>
      <c r="CP208" s="238"/>
      <c r="CQ208" s="238"/>
      <c r="CR208" s="238"/>
      <c r="CS208" s="238"/>
      <c r="CT208" s="238"/>
      <c r="CU208" s="238"/>
      <c r="CV208" s="238"/>
      <c r="CW208" s="465"/>
    </row>
    <row r="209" spans="1:101" ht="18" customHeight="1" x14ac:dyDescent="0.25">
      <c r="A209"/>
      <c r="D209" s="6" t="s">
        <v>323</v>
      </c>
      <c r="E209" s="11">
        <f>IF(p="Q",X199,N199)</f>
        <v>9.8006331888544942</v>
      </c>
      <c r="K209" s="184"/>
      <c r="L209" s="184"/>
      <c r="M209" s="184"/>
      <c r="N209" s="185"/>
      <c r="O209" s="185"/>
      <c r="P209" s="185"/>
      <c r="Q209" s="185"/>
      <c r="R209" s="185"/>
      <c r="S209" s="127"/>
      <c r="T209" s="127"/>
      <c r="U209" s="127"/>
      <c r="V209" s="127"/>
      <c r="W209" s="127"/>
      <c r="X209" s="126"/>
      <c r="Y209" s="126"/>
      <c r="Z209" s="126"/>
      <c r="AA209" s="126"/>
      <c r="AB209" s="510"/>
      <c r="AC209" s="485"/>
      <c r="AD209" s="683"/>
      <c r="AE209" s="469"/>
      <c r="AF209" s="469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238"/>
      <c r="BF209" s="248"/>
      <c r="BG209" s="684"/>
      <c r="BH209" s="239"/>
      <c r="BI209" s="239"/>
      <c r="BJ209" s="238"/>
      <c r="BK209" s="238"/>
      <c r="BL209" s="238"/>
      <c r="BM209" s="238"/>
      <c r="BN209" s="238"/>
      <c r="BO209" s="238"/>
      <c r="BP209" s="238"/>
      <c r="BQ209" s="238"/>
      <c r="BR209" s="238"/>
      <c r="BS209" s="238"/>
      <c r="BT209" s="238"/>
      <c r="BU209" s="238"/>
      <c r="BV209" s="238"/>
      <c r="BW209" s="238"/>
      <c r="BX209" s="238"/>
      <c r="BY209" s="238"/>
      <c r="BZ209" s="238"/>
      <c r="CA209" s="238"/>
      <c r="CB209" s="238"/>
      <c r="CC209" s="238"/>
      <c r="CD209" s="238"/>
      <c r="CE209" s="238"/>
      <c r="CF209" s="238"/>
      <c r="CG209" s="238"/>
      <c r="CH209" s="238"/>
      <c r="CI209" s="238"/>
      <c r="CJ209" s="238"/>
      <c r="CK209" s="238"/>
      <c r="CL209" s="238"/>
      <c r="CM209" s="238"/>
      <c r="CN209" s="238"/>
      <c r="CO209" s="238"/>
      <c r="CP209" s="238"/>
      <c r="CQ209" s="238"/>
      <c r="CR209" s="238"/>
      <c r="CS209" s="238"/>
      <c r="CT209" s="238"/>
      <c r="CU209" s="238"/>
      <c r="CV209" s="238"/>
      <c r="CW209" s="465"/>
    </row>
    <row r="210" spans="1:101" ht="18" customHeight="1" x14ac:dyDescent="0.25">
      <c r="A210"/>
      <c r="D210" s="6" t="s">
        <v>324</v>
      </c>
      <c r="E210" s="698">
        <f>IF(p="Q",X201,N201)</f>
        <v>5.0371042558399722E-3</v>
      </c>
      <c r="K210" s="184"/>
      <c r="L210" s="184"/>
      <c r="M210" s="184"/>
      <c r="N210" s="185"/>
      <c r="O210" s="185"/>
      <c r="P210" s="185"/>
      <c r="Q210" s="185"/>
      <c r="R210" s="185"/>
      <c r="S210" s="127"/>
      <c r="T210" s="127"/>
      <c r="U210" s="127"/>
      <c r="V210" s="127"/>
      <c r="W210" s="127"/>
      <c r="X210" s="126"/>
      <c r="Y210" s="126"/>
      <c r="Z210" s="126"/>
      <c r="AA210" s="126"/>
      <c r="AB210" s="510"/>
      <c r="AC210" s="485"/>
      <c r="AD210" s="683"/>
      <c r="AE210" s="469"/>
      <c r="AF210" s="469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238"/>
      <c r="BF210" s="248"/>
      <c r="BG210" s="684"/>
      <c r="BH210" s="239"/>
      <c r="BI210" s="239"/>
      <c r="BJ210" s="238"/>
      <c r="BK210" s="238"/>
      <c r="BL210" s="238"/>
      <c r="BM210" s="238"/>
      <c r="BN210" s="238"/>
      <c r="BO210" s="238"/>
      <c r="BP210" s="238"/>
      <c r="BQ210" s="238"/>
      <c r="BR210" s="238"/>
      <c r="BS210" s="238"/>
      <c r="BT210" s="238"/>
      <c r="BU210" s="238"/>
      <c r="BV210" s="238"/>
      <c r="BW210" s="238"/>
      <c r="BX210" s="238"/>
      <c r="BY210" s="238"/>
      <c r="BZ210" s="238"/>
      <c r="CA210" s="238"/>
      <c r="CB210" s="238"/>
      <c r="CC210" s="238"/>
      <c r="CD210" s="238"/>
      <c r="CE210" s="238"/>
      <c r="CF210" s="238"/>
      <c r="CG210" s="238"/>
      <c r="CH210" s="238"/>
      <c r="CI210" s="238"/>
      <c r="CJ210" s="238"/>
      <c r="CK210" s="238"/>
      <c r="CL210" s="238"/>
      <c r="CM210" s="238"/>
      <c r="CN210" s="238"/>
      <c r="CO210" s="238"/>
      <c r="CP210" s="238"/>
      <c r="CQ210" s="238"/>
      <c r="CR210" s="238"/>
      <c r="CS210" s="238"/>
      <c r="CT210" s="238"/>
      <c r="CU210" s="238"/>
      <c r="CV210" s="238"/>
      <c r="CW210" s="465"/>
    </row>
    <row r="211" spans="1:101" ht="18" customHeight="1" x14ac:dyDescent="0.25">
      <c r="A211"/>
      <c r="E211" s="11" t="str">
        <f>IF(p="Q",X203,N203)</f>
        <v>Relative difference is ok</v>
      </c>
      <c r="K211" s="184"/>
      <c r="L211" s="184"/>
      <c r="M211" s="184"/>
      <c r="N211" s="185"/>
      <c r="O211" s="185"/>
      <c r="P211" s="185"/>
      <c r="Q211" s="185"/>
      <c r="R211" s="185"/>
      <c r="S211" s="127"/>
      <c r="T211" s="127"/>
      <c r="U211" s="127"/>
      <c r="V211" s="127"/>
      <c r="W211" s="127"/>
      <c r="X211" s="126"/>
      <c r="Y211" s="126"/>
      <c r="Z211" s="126"/>
      <c r="AA211" s="126"/>
      <c r="AB211" s="510"/>
      <c r="AC211" s="485"/>
      <c r="AD211" s="683"/>
      <c r="AE211" s="469"/>
      <c r="AF211" s="469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238"/>
      <c r="BF211" s="248"/>
      <c r="BG211" s="684"/>
      <c r="BH211" s="239"/>
      <c r="BI211" s="239"/>
      <c r="BJ211" s="238"/>
      <c r="BK211" s="238"/>
      <c r="BL211" s="238"/>
      <c r="BM211" s="238"/>
      <c r="BN211" s="238"/>
      <c r="BO211" s="238"/>
      <c r="BP211" s="238"/>
      <c r="BQ211" s="238"/>
      <c r="BR211" s="238"/>
      <c r="BS211" s="238"/>
      <c r="BT211" s="238"/>
      <c r="BU211" s="238"/>
      <c r="BV211" s="238"/>
      <c r="BW211" s="238"/>
      <c r="BX211" s="238"/>
      <c r="BY211" s="238"/>
      <c r="BZ211" s="238"/>
      <c r="CA211" s="238"/>
      <c r="CB211" s="238"/>
      <c r="CC211" s="238"/>
      <c r="CD211" s="238"/>
      <c r="CE211" s="238"/>
      <c r="CF211" s="238"/>
      <c r="CG211" s="238"/>
      <c r="CH211" s="238"/>
      <c r="CI211" s="238"/>
      <c r="CJ211" s="238"/>
      <c r="CK211" s="238"/>
      <c r="CL211" s="238"/>
      <c r="CM211" s="238"/>
      <c r="CN211" s="238"/>
      <c r="CO211" s="238"/>
      <c r="CP211" s="238"/>
      <c r="CQ211" s="238"/>
      <c r="CR211" s="238"/>
      <c r="CS211" s="238"/>
      <c r="CT211" s="238"/>
      <c r="CU211" s="238"/>
      <c r="CV211" s="238"/>
      <c r="CW211" s="465"/>
    </row>
    <row r="212" spans="1:101" ht="18" customHeight="1" thickBot="1" x14ac:dyDescent="0.25">
      <c r="K212" s="184"/>
      <c r="L212" s="184"/>
      <c r="M212" s="184"/>
      <c r="N212" s="185"/>
      <c r="O212" s="185"/>
      <c r="P212" s="185"/>
      <c r="Q212" s="185"/>
      <c r="R212" s="185"/>
      <c r="S212" s="127"/>
      <c r="T212" s="127"/>
      <c r="U212" s="127"/>
      <c r="V212" s="127"/>
      <c r="W212" s="127"/>
      <c r="X212" s="126"/>
      <c r="Y212" s="126"/>
      <c r="Z212" s="126"/>
      <c r="AA212" s="126"/>
      <c r="AB212" s="510"/>
      <c r="AC212" s="469"/>
      <c r="AD212" s="469"/>
      <c r="AE212" s="469"/>
      <c r="AF212" s="469"/>
      <c r="AG212" s="512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278"/>
      <c r="BF212" s="278"/>
      <c r="BG212" s="278"/>
      <c r="BH212" s="239"/>
      <c r="BI212" s="239"/>
      <c r="BJ212" s="238"/>
      <c r="BK212" s="238"/>
      <c r="BL212" s="238"/>
      <c r="BM212" s="238"/>
      <c r="BN212" s="238"/>
      <c r="BO212" s="238"/>
      <c r="BP212" s="238"/>
      <c r="BQ212" s="238"/>
      <c r="BR212" s="238"/>
      <c r="BS212" s="238"/>
      <c r="BT212" s="238"/>
      <c r="BU212" s="238"/>
      <c r="BV212" s="238"/>
      <c r="BW212" s="238"/>
      <c r="BX212" s="238"/>
      <c r="BY212" s="238"/>
      <c r="BZ212" s="238"/>
      <c r="CA212" s="238"/>
      <c r="CB212" s="238"/>
      <c r="CC212" s="238"/>
      <c r="CD212" s="238"/>
      <c r="CE212" s="238"/>
      <c r="CF212" s="238"/>
      <c r="CG212" s="238"/>
      <c r="CH212" s="238"/>
      <c r="CI212" s="238"/>
      <c r="CJ212" s="238"/>
      <c r="CK212" s="238"/>
      <c r="CL212" s="238"/>
      <c r="CM212" s="238"/>
      <c r="CN212" s="238"/>
      <c r="CO212" s="238"/>
      <c r="CP212" s="238"/>
      <c r="CQ212" s="238"/>
      <c r="CR212" s="238"/>
      <c r="CS212" s="238"/>
      <c r="CT212" s="238"/>
      <c r="CU212" s="238"/>
      <c r="CV212" s="238"/>
      <c r="CW212" s="465"/>
    </row>
    <row r="213" spans="1:101" ht="18" customHeight="1" thickTop="1" thickBot="1" x14ac:dyDescent="0.3">
      <c r="A213"/>
      <c r="B213" s="81" t="s">
        <v>113</v>
      </c>
      <c r="C213"/>
      <c r="D213" s="82" t="s">
        <v>114</v>
      </c>
      <c r="K213" s="81" t="s">
        <v>113</v>
      </c>
      <c r="L213" s="185"/>
      <c r="M213" s="454" t="s">
        <v>114</v>
      </c>
      <c r="N213" s="185"/>
      <c r="O213" s="185"/>
      <c r="P213" s="185"/>
      <c r="Q213" s="185"/>
      <c r="R213" s="185"/>
      <c r="S213" s="81" t="s">
        <v>113</v>
      </c>
      <c r="T213" s="126"/>
      <c r="U213" s="457" t="s">
        <v>114</v>
      </c>
      <c r="V213" s="127"/>
      <c r="W213" s="127"/>
      <c r="X213" s="126"/>
      <c r="Y213" s="126"/>
      <c r="Z213" s="126"/>
      <c r="AA213" s="126"/>
      <c r="AB213" s="81" t="s">
        <v>113</v>
      </c>
      <c r="AC213" s="125"/>
      <c r="AD213" s="494" t="s">
        <v>114</v>
      </c>
      <c r="AE213" s="469"/>
      <c r="AF213" s="469"/>
      <c r="AG213" s="512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81" t="s">
        <v>113</v>
      </c>
      <c r="BF213" s="238"/>
      <c r="BG213" s="455" t="s">
        <v>114</v>
      </c>
      <c r="BH213" s="239"/>
      <c r="BI213" s="239"/>
      <c r="BJ213" s="279"/>
      <c r="BK213" s="238"/>
      <c r="BL213" s="238"/>
      <c r="BM213" s="238"/>
      <c r="BN213" s="238"/>
      <c r="BO213" s="238"/>
      <c r="BP213" s="238"/>
      <c r="BQ213" s="238"/>
      <c r="BR213" s="238"/>
      <c r="BS213" s="238"/>
      <c r="BT213" s="238"/>
      <c r="BU213" s="238"/>
      <c r="BV213" s="238"/>
      <c r="BW213" s="238"/>
      <c r="BX213" s="238"/>
      <c r="BY213" s="238"/>
      <c r="BZ213" s="238"/>
      <c r="CA213" s="238"/>
      <c r="CB213" s="238"/>
      <c r="CC213" s="238"/>
      <c r="CD213" s="238"/>
      <c r="CE213" s="238"/>
      <c r="CF213" s="238"/>
      <c r="CG213" s="238"/>
      <c r="CH213" s="238"/>
      <c r="CI213" s="238"/>
      <c r="CJ213" s="238"/>
      <c r="CK213" s="238"/>
      <c r="CL213" s="238"/>
      <c r="CM213" s="238"/>
      <c r="CN213" s="238"/>
      <c r="CO213" s="238"/>
      <c r="CP213" s="238"/>
      <c r="CQ213" s="238"/>
      <c r="CR213" s="238"/>
      <c r="CS213" s="238"/>
      <c r="CT213" s="238"/>
      <c r="CU213" s="238"/>
      <c r="CV213" s="238"/>
      <c r="CW213" s="465"/>
    </row>
    <row r="214" spans="1:101" ht="18" customHeight="1" thickTop="1" x14ac:dyDescent="0.2">
      <c r="A214"/>
      <c r="K214" s="184"/>
      <c r="L214" s="184"/>
      <c r="M214" s="184"/>
      <c r="N214" s="185"/>
      <c r="O214" s="185"/>
      <c r="P214" s="185"/>
      <c r="Q214" s="185"/>
      <c r="R214" s="185"/>
      <c r="S214" s="127"/>
      <c r="T214" s="127"/>
      <c r="U214" s="127"/>
      <c r="V214" s="127"/>
      <c r="W214" s="127"/>
      <c r="X214" s="126"/>
      <c r="Y214" s="126"/>
      <c r="Z214" s="126"/>
      <c r="AA214" s="126"/>
      <c r="AB214" s="469"/>
      <c r="AC214" s="469"/>
      <c r="AD214" s="469"/>
      <c r="AE214" s="469"/>
      <c r="AF214" s="469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239"/>
      <c r="BF214" s="239"/>
      <c r="BG214" s="239"/>
      <c r="BH214" s="239"/>
      <c r="BI214" s="239"/>
      <c r="BJ214" s="238"/>
      <c r="BK214" s="238"/>
      <c r="BL214" s="238"/>
      <c r="BM214" s="238"/>
      <c r="BN214" s="238"/>
      <c r="BO214" s="238"/>
      <c r="BP214" s="238"/>
      <c r="BQ214" s="238"/>
      <c r="BR214" s="238"/>
      <c r="BS214" s="238"/>
      <c r="BT214" s="238"/>
      <c r="BU214" s="238"/>
      <c r="BV214" s="238"/>
      <c r="BW214" s="238"/>
      <c r="BX214" s="238"/>
      <c r="BY214" s="238"/>
      <c r="BZ214" s="238"/>
      <c r="CA214" s="238"/>
      <c r="CB214" s="238"/>
      <c r="CC214" s="238"/>
      <c r="CD214" s="238"/>
      <c r="CE214" s="238"/>
      <c r="CF214" s="238"/>
      <c r="CG214" s="238"/>
      <c r="CH214" s="238"/>
      <c r="CI214" s="238"/>
      <c r="CJ214" s="238"/>
      <c r="CK214" s="238"/>
      <c r="CL214" s="238"/>
      <c r="CM214" s="238"/>
      <c r="CN214" s="238"/>
      <c r="CO214" s="238"/>
      <c r="CP214" s="238"/>
      <c r="CQ214" s="238"/>
      <c r="CR214" s="238"/>
      <c r="CS214" s="238"/>
      <c r="CT214" s="238"/>
      <c r="CU214" s="238"/>
      <c r="CV214" s="238"/>
      <c r="CW214" s="465"/>
    </row>
    <row r="215" spans="1:101" ht="18" customHeight="1" x14ac:dyDescent="0.25">
      <c r="A215"/>
      <c r="B215" s="1" t="s">
        <v>325</v>
      </c>
      <c r="K215" s="186" t="s">
        <v>147</v>
      </c>
      <c r="L215" s="184"/>
      <c r="M215" s="184"/>
      <c r="N215" s="185"/>
      <c r="O215" s="185"/>
      <c r="P215" s="185"/>
      <c r="Q215" s="185"/>
      <c r="R215" s="185"/>
      <c r="S215" s="128" t="s">
        <v>148</v>
      </c>
      <c r="T215" s="127"/>
      <c r="U215" s="127"/>
      <c r="V215" s="127"/>
      <c r="W215" s="127"/>
      <c r="X215" s="126"/>
      <c r="Y215" s="126"/>
      <c r="Z215" s="126"/>
      <c r="AA215" s="126"/>
      <c r="AB215" s="468" t="s">
        <v>149</v>
      </c>
      <c r="AC215" s="469"/>
      <c r="AD215" s="469"/>
      <c r="AE215" s="469"/>
      <c r="AF215" s="469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237" t="s">
        <v>150</v>
      </c>
      <c r="BF215" s="239"/>
      <c r="BG215" s="239"/>
      <c r="BH215" s="239"/>
      <c r="BI215" s="239"/>
      <c r="BJ215" s="238"/>
      <c r="BK215" s="238"/>
      <c r="BL215" s="238"/>
      <c r="BM215" s="238"/>
      <c r="BN215" s="238"/>
      <c r="BO215" s="238"/>
      <c r="BP215" s="238"/>
      <c r="BQ215" s="238"/>
      <c r="BR215" s="238" t="s">
        <v>290</v>
      </c>
      <c r="BS215" s="238"/>
      <c r="BT215" s="238"/>
      <c r="BU215" s="238"/>
      <c r="BV215" s="238" t="s">
        <v>291</v>
      </c>
      <c r="BW215" s="238"/>
      <c r="BX215" s="238"/>
      <c r="BY215" s="238"/>
      <c r="BZ215" s="238"/>
      <c r="CA215" s="238"/>
      <c r="CB215" s="238"/>
      <c r="CC215" s="238"/>
      <c r="CD215" s="238"/>
      <c r="CE215" s="238"/>
      <c r="CF215" s="238"/>
      <c r="CG215" s="238"/>
      <c r="CH215" s="238"/>
      <c r="CI215" s="238"/>
      <c r="CJ215" s="238"/>
      <c r="CK215" s="238"/>
      <c r="CL215" s="238"/>
      <c r="CM215" s="238"/>
      <c r="CN215" s="238"/>
      <c r="CO215" s="238"/>
      <c r="CP215" s="238"/>
      <c r="CQ215" s="238"/>
      <c r="CR215" s="238"/>
      <c r="CS215" s="238"/>
      <c r="CT215" s="238"/>
      <c r="CU215" s="238"/>
      <c r="CV215" s="238"/>
      <c r="CW215" s="465"/>
    </row>
    <row r="216" spans="1:101" ht="18" customHeight="1" x14ac:dyDescent="0.25">
      <c r="A216"/>
      <c r="B216" s="1" t="s">
        <v>326</v>
      </c>
      <c r="K216" s="185"/>
      <c r="L216" s="185"/>
      <c r="M216" s="185"/>
      <c r="N216" s="185"/>
      <c r="O216" s="185"/>
      <c r="P216" s="185"/>
      <c r="Q216" s="185" t="s">
        <v>367</v>
      </c>
      <c r="R216" s="185"/>
      <c r="S216" s="126"/>
      <c r="T216" s="127"/>
      <c r="U216" s="127"/>
      <c r="V216" s="127"/>
      <c r="W216" s="127"/>
      <c r="X216" s="126"/>
      <c r="Y216" s="126" t="s">
        <v>367</v>
      </c>
      <c r="Z216" s="164"/>
      <c r="AA216" s="164"/>
      <c r="AB216" s="125"/>
      <c r="AC216" s="469"/>
      <c r="AD216" s="469"/>
      <c r="AE216" s="469"/>
      <c r="AF216" s="469"/>
      <c r="AG216" s="125"/>
      <c r="AH216" s="125" t="s">
        <v>367</v>
      </c>
      <c r="AI216" s="125"/>
      <c r="AJ216" s="125"/>
      <c r="AK216" s="125"/>
      <c r="AL216" s="125" t="s">
        <v>277</v>
      </c>
      <c r="AM216" s="125" t="s">
        <v>278</v>
      </c>
      <c r="AN216" s="125" t="s">
        <v>279</v>
      </c>
      <c r="AO216" s="125" t="s">
        <v>280</v>
      </c>
      <c r="AP216" s="125" t="s">
        <v>170</v>
      </c>
      <c r="AQ216" s="125" t="s">
        <v>281</v>
      </c>
      <c r="AR216" s="125" t="s">
        <v>278</v>
      </c>
      <c r="AS216" s="125" t="s">
        <v>282</v>
      </c>
      <c r="AT216" s="125" t="s">
        <v>283</v>
      </c>
      <c r="AU216" s="125" t="s">
        <v>284</v>
      </c>
      <c r="AV216" s="125"/>
      <c r="AW216" s="125"/>
      <c r="AX216" s="125"/>
      <c r="AY216" s="125" t="s">
        <v>285</v>
      </c>
      <c r="AZ216" s="125" t="s">
        <v>286</v>
      </c>
      <c r="BA216" s="125" t="s">
        <v>287</v>
      </c>
      <c r="BB216" s="125" t="s">
        <v>288</v>
      </c>
      <c r="BC216" s="125" t="s">
        <v>289</v>
      </c>
      <c r="BD216" s="125"/>
      <c r="BE216" s="238"/>
      <c r="BF216" s="239"/>
      <c r="BG216" s="239"/>
      <c r="BH216" s="239"/>
      <c r="BI216" s="239"/>
      <c r="BJ216" s="238"/>
      <c r="BK216" s="238" t="s">
        <v>367</v>
      </c>
      <c r="BL216" s="238"/>
      <c r="BM216" s="238"/>
      <c r="BN216" s="238"/>
      <c r="BO216" s="238"/>
      <c r="BP216" s="238"/>
      <c r="BQ216" s="238"/>
      <c r="BR216" s="238" t="s">
        <v>280</v>
      </c>
      <c r="BS216" s="238" t="s">
        <v>170</v>
      </c>
      <c r="BT216" s="238" t="s">
        <v>292</v>
      </c>
      <c r="BU216" s="238" t="s">
        <v>293</v>
      </c>
      <c r="BV216" s="238" t="s">
        <v>294</v>
      </c>
      <c r="BW216" s="238" t="s">
        <v>295</v>
      </c>
      <c r="BX216" s="238" t="s">
        <v>296</v>
      </c>
      <c r="BY216" s="238" t="s">
        <v>297</v>
      </c>
      <c r="BZ216" s="238" t="s">
        <v>298</v>
      </c>
      <c r="CA216" s="238" t="s">
        <v>286</v>
      </c>
      <c r="CB216" s="238" t="s">
        <v>299</v>
      </c>
      <c r="CC216" s="418" t="s">
        <v>278</v>
      </c>
      <c r="CD216" s="238" t="s">
        <v>300</v>
      </c>
      <c r="CE216" s="238" t="s">
        <v>301</v>
      </c>
      <c r="CF216" s="238" t="s">
        <v>302</v>
      </c>
      <c r="CG216" s="238" t="s">
        <v>288</v>
      </c>
      <c r="CH216" s="238" t="s">
        <v>289</v>
      </c>
      <c r="CI216" s="238" t="s">
        <v>327</v>
      </c>
      <c r="CJ216" s="238" t="s">
        <v>304</v>
      </c>
      <c r="CK216" s="238" t="s">
        <v>305</v>
      </c>
      <c r="CL216" s="238" t="s">
        <v>306</v>
      </c>
      <c r="CM216" s="238" t="s">
        <v>300</v>
      </c>
      <c r="CN216" s="238" t="s">
        <v>301</v>
      </c>
      <c r="CO216" s="238" t="s">
        <v>302</v>
      </c>
      <c r="CP216" s="238" t="s">
        <v>307</v>
      </c>
      <c r="CQ216" s="238" t="s">
        <v>308</v>
      </c>
      <c r="CR216" s="238"/>
      <c r="CS216" s="238"/>
      <c r="CT216" s="238"/>
      <c r="CU216" s="238" t="s">
        <v>309</v>
      </c>
      <c r="CV216" s="238"/>
      <c r="CW216" s="465"/>
    </row>
    <row r="217" spans="1:101" ht="18" customHeight="1" x14ac:dyDescent="0.25">
      <c r="A217"/>
      <c r="B217" s="1" t="s">
        <v>328</v>
      </c>
      <c r="K217" s="217">
        <f t="shared" ref="K217:K226" si="13">IF(C228="","",(C228-$K$27)/$K$28)</f>
        <v>2.9348750084464941</v>
      </c>
      <c r="L217" s="201"/>
      <c r="M217" s="203" t="s">
        <v>256</v>
      </c>
      <c r="N217" s="204"/>
      <c r="O217" s="205"/>
      <c r="P217" s="185"/>
      <c r="Q217" s="193">
        <v>2</v>
      </c>
      <c r="R217" s="185"/>
      <c r="S217" s="165">
        <f t="shared" ref="S217:S226" si="14">IF(C228="","",(-$U$31+SQRT($U$31^2-4*$U$32*($U$30-C228)))/(2*$U$32))</f>
        <v>3.2466476357265583</v>
      </c>
      <c r="T217" s="127"/>
      <c r="U217" s="153" t="s">
        <v>256</v>
      </c>
      <c r="V217" s="166"/>
      <c r="W217" s="167"/>
      <c r="X217" s="126"/>
      <c r="Y217" s="145">
        <v>2</v>
      </c>
      <c r="Z217" s="164"/>
      <c r="AA217" s="164"/>
      <c r="AB217" s="513">
        <f t="shared" ref="AB217:AB226" si="15">IF(C228="","",+AY217)</f>
        <v>3.2462788434650065</v>
      </c>
      <c r="AC217" s="456">
        <f>IF(AB217="","",$AD$30+$AD$31*AB217+$AD$32*AB217^2+$AD$33*AB217^3)</f>
        <v>4.5000000000015836</v>
      </c>
      <c r="AD217" s="496" t="s">
        <v>256</v>
      </c>
      <c r="AE217" s="514"/>
      <c r="AF217" s="515"/>
      <c r="AG217" s="125"/>
      <c r="AH217" s="482">
        <v>2</v>
      </c>
      <c r="AI217" s="125"/>
      <c r="AJ217" s="125"/>
      <c r="AK217" s="125"/>
      <c r="AL217" s="456">
        <f t="shared" ref="AL217:AL226" si="16">$AD$32/$AD$33</f>
        <v>2432.2567079708033</v>
      </c>
      <c r="AM217" s="456">
        <f t="shared" ref="AM217:AM226" si="17">$AD$31/$AD$33</f>
        <v>24547.447478139802</v>
      </c>
      <c r="AN217" s="456">
        <f t="shared" ref="AN217:AN226" si="18">($AD$30-C228)/$AD$33</f>
        <v>-105353.98466090504</v>
      </c>
      <c r="AO217" s="456">
        <f>(3*AM217-AL217^2)/3</f>
        <v>-1947410.1170115166</v>
      </c>
      <c r="AP217" s="456">
        <f>(2*AL217^3-9*AL217*AM217+27*AN217)/27</f>
        <v>1045838751.2098579</v>
      </c>
      <c r="AQ217" s="456">
        <f>2*SQRT(-AO217/3)</f>
        <v>1611.3804090536853</v>
      </c>
      <c r="AR217" s="456">
        <f>ACOS(3*AP217/(AO217*AQ217))/3</f>
        <v>1.0412335884644059</v>
      </c>
      <c r="AS217" s="456">
        <f>2*SQRT(-AO217/3)*COS(AR217)-AL217/3</f>
        <v>3.2462788434650065</v>
      </c>
      <c r="AT217" s="456">
        <f t="shared" ref="AT217:AT226" si="19">2*SQRT(-AO217/3)*COS(AR217+2*PI()/3)-AL217/3</f>
        <v>-2422.1039876536793</v>
      </c>
      <c r="AU217" s="456">
        <f>2*SQRT(-AO217/3)*COS(AR217+4*PI()/3)-AL217/3</f>
        <v>-13.398999160589369</v>
      </c>
      <c r="AV217" s="456">
        <f>IF(AS217&gt;0,+AS217,999999)</f>
        <v>3.2462788434650065</v>
      </c>
      <c r="AW217" s="456">
        <f>IF(AT217&gt;0,+AT217,999999)</f>
        <v>999999</v>
      </c>
      <c r="AX217" s="456">
        <f>IF(AU217&gt;0,+AU217,999999)</f>
        <v>999999</v>
      </c>
      <c r="AY217" s="509">
        <f>IF(AZ217&lt;0,MIN(AV217:AX217),+BA217)</f>
        <v>3.2462788434650065</v>
      </c>
      <c r="AZ217" s="456">
        <f>AP217^2/4+AO217^3/27</f>
        <v>-87553701267168</v>
      </c>
      <c r="BA217" s="456" t="e">
        <f>+BB217+BC217-AL217/3</f>
        <v>#NUM!</v>
      </c>
      <c r="BB217" s="456" t="e">
        <f>(-AP217/2+SQRT(AZ217))^(1/3)</f>
        <v>#NUM!</v>
      </c>
      <c r="BC217" s="456" t="e">
        <f>(-AP217/2-SQRT(AZ217))^(1/3)</f>
        <v>#NUM!</v>
      </c>
      <c r="BD217" s="125"/>
      <c r="BE217" s="654">
        <f t="shared" ref="BE217:BE226" si="20">IF(C228="","",+CU217)</f>
        <v>3.2428205602423184</v>
      </c>
      <c r="BF217" s="655">
        <f>IF(BE217="","",$BI$26+$BI$27*BE217+$BI$28*BE217^2+$BI$29*BE217^3+$BI$30*BE217^4)</f>
        <v>4.4999999999999938</v>
      </c>
      <c r="BG217" s="258" t="s">
        <v>256</v>
      </c>
      <c r="BH217" s="281"/>
      <c r="BI217" s="282"/>
      <c r="BJ217" s="238"/>
      <c r="BK217" s="139">
        <v>2</v>
      </c>
      <c r="BL217" s="238"/>
      <c r="BM217" s="238"/>
      <c r="BN217" s="238"/>
      <c r="BO217" s="238"/>
      <c r="BP217" s="238"/>
      <c r="BQ217" s="238"/>
      <c r="BR217" s="240">
        <f t="shared" ref="BR217:BR226" si="21">$BI$29/$BI$30</f>
        <v>-17.894488448782099</v>
      </c>
      <c r="BS217" s="240">
        <f t="shared" ref="BS217:BS226" si="22">$BI$28/$BI$30</f>
        <v>359.02403518259086</v>
      </c>
      <c r="BT217" s="240">
        <f t="shared" ref="BT217:BT226" si="23">$BI$27/$BI$30</f>
        <v>2397.5035457707181</v>
      </c>
      <c r="BU217" s="240">
        <f t="shared" ref="BU217:BU226" si="24">($BI$26-C228)/$BI$30</f>
        <v>-11050.490912257243</v>
      </c>
      <c r="BV217" s="240">
        <f>-BS217</f>
        <v>-359.02403518259086</v>
      </c>
      <c r="BW217" s="240">
        <f>BR217*BT217-4*BU217</f>
        <v>1299.8641433207304</v>
      </c>
      <c r="BX217" s="240">
        <f>BR217^2*-BU217+4*BS217*BU217-BT217^2</f>
        <v>-18079082.886782385</v>
      </c>
      <c r="BY217" s="240">
        <f>1/3*(3*BW217-BV217^2)</f>
        <v>-41666.221802942688</v>
      </c>
      <c r="BZ217" s="240">
        <f>1/27*(2*BV217^3-9*BV217*BW217+27*BX217)</f>
        <v>-21351490.408458661</v>
      </c>
      <c r="CA217" s="240">
        <f>BZ217^2/4+BY217^3/27</f>
        <v>111292437666027.83</v>
      </c>
      <c r="CB217" s="240">
        <f>2*SQRT(-BY217/3)</f>
        <v>235.70100212753357</v>
      </c>
      <c r="CC217" s="240" t="e">
        <f>ACOS(3*BZ217/(BY217*CB217))/3</f>
        <v>#NUM!</v>
      </c>
      <c r="CD217" s="240" t="e">
        <f>CB217*COS(CC217)-BV217/3</f>
        <v>#NUM!</v>
      </c>
      <c r="CE217" s="240" t="e">
        <f>CB217*COS(CC217+2*PI()/3)-BV217/3</f>
        <v>#NUM!</v>
      </c>
      <c r="CF217" s="240" t="e">
        <f>CB217*COS(CC217+4*PI()/3)-BV217/3</f>
        <v>#NUM!</v>
      </c>
      <c r="CG217" s="240">
        <f t="shared" ref="CG217:CG226" si="25">(-BZ217/2+SQRT(CA217))^(1/3)</f>
        <v>276.87541611579911</v>
      </c>
      <c r="CH217" s="240">
        <f t="shared" ref="CH217:CH226" si="26">(-BZ217/2-SQRT(CA217))^(1/3)</f>
        <v>50.162418880743544</v>
      </c>
      <c r="CI217" s="240">
        <f>IF(CA217&gt;0,+CG217+CH217-BV217/3,MAX(CD217:CF217))</f>
        <v>446.71251339073962</v>
      </c>
      <c r="CJ217" s="240">
        <f t="shared" ref="CJ217:CJ226" si="27">SQRT(BR217^2/4-BS217+CI217)</f>
        <v>12.951511781218736</v>
      </c>
      <c r="CK217" s="251" t="e">
        <f t="shared" ref="CK217:CK226" si="28">SQRT(3*BR217^2/4-CJ217^2-2*BS217+(4*BR217*BS217-8*BT217-BR217^3)/(4*CJ217))</f>
        <v>#NUM!</v>
      </c>
      <c r="CL217" s="251">
        <f t="shared" ref="CL217:CL226" si="29">SQRT(3*BR217^2/4-CJ217^2-2*BS217-(4*BR217*BS217-8*BT217-BR217^3)/(4*CJ217))</f>
        <v>10.489908677312323</v>
      </c>
      <c r="CM217" s="240" t="e">
        <f t="shared" ref="CM217:CM226" si="30">-BR217/4+CJ217/2+CK217/2</f>
        <v>#NUM!</v>
      </c>
      <c r="CN217" s="240" t="e">
        <f t="shared" ref="CN217:CN226" si="31">-BR217/4+CJ217/2-CK217/2</f>
        <v>#NUM!</v>
      </c>
      <c r="CO217" s="240">
        <f t="shared" ref="CO217:CO226" si="32">-BR217/4-CJ217/2+CL217/2</f>
        <v>3.2428205602423184</v>
      </c>
      <c r="CP217" s="240">
        <f t="shared" ref="CP217:CP226" si="33">-BR217/4-CJ217/2-CL217/2</f>
        <v>-7.247088117070005</v>
      </c>
      <c r="CQ217" s="240">
        <f>IF(ISERROR(CM217)=TRUE,0,(CM217&gt;MIN(X))*(CM217&lt;MAX(X))*CM217)</f>
        <v>0</v>
      </c>
      <c r="CR217" s="240">
        <f>IF(ISERROR(CN217)=TRUE,0,(CN217&gt;MIN(X))*(CN217&lt;MAX(X))*CN217)</f>
        <v>0</v>
      </c>
      <c r="CS217" s="240">
        <f>IF(ISERROR(CO217)=TRUE,0,(CO217&gt;MIN(X))*(CO217&lt;MAX(X))*CO217)</f>
        <v>3.2428205602423184</v>
      </c>
      <c r="CT217" s="240">
        <f>IF(ISERROR(CP217)=TRUE,0,(CP217&gt;MIN(X))*(CP217&lt;MAX(X))*CP217)</f>
        <v>0</v>
      </c>
      <c r="CU217" s="240">
        <f>IF(SUM(CQ217:CT217)=MAX(CQ217:CT217),+MAX(CQ217:CT217),"There is not a unique solution!")</f>
        <v>3.2428205602423184</v>
      </c>
      <c r="CV217" s="238"/>
      <c r="CW217" s="465"/>
    </row>
    <row r="218" spans="1:101" ht="18" customHeight="1" x14ac:dyDescent="0.25">
      <c r="A218"/>
      <c r="B218" s="1" t="s">
        <v>329</v>
      </c>
      <c r="K218" s="218">
        <f t="shared" si="13"/>
        <v>2.9354011837282199</v>
      </c>
      <c r="L218" s="184"/>
      <c r="M218" s="206" t="s">
        <v>258</v>
      </c>
      <c r="N218" s="207" t="s">
        <v>259</v>
      </c>
      <c r="O218" s="208" t="s">
        <v>260</v>
      </c>
      <c r="P218" s="185"/>
      <c r="Q218" s="185"/>
      <c r="R218" s="185"/>
      <c r="S218" s="168">
        <f t="shared" si="14"/>
        <v>3.2472536742709202</v>
      </c>
      <c r="T218" s="127"/>
      <c r="U218" s="155" t="s">
        <v>258</v>
      </c>
      <c r="V218" s="156" t="s">
        <v>259</v>
      </c>
      <c r="W218" s="157" t="s">
        <v>260</v>
      </c>
      <c r="X218" s="126"/>
      <c r="Y218" s="126"/>
      <c r="Z218" s="164"/>
      <c r="AA218" s="164"/>
      <c r="AB218" s="516">
        <f t="shared" si="15"/>
        <v>3.2468850402394764</v>
      </c>
      <c r="AC218" s="456">
        <f t="shared" ref="AC218:AC226" si="34">IF(AB218="","",$AD$30+$AD$31*AB218+$AD$32*AB218^2+$AD$33*AB218^3)</f>
        <v>4.5010000000096664</v>
      </c>
      <c r="AD218" s="498" t="s">
        <v>258</v>
      </c>
      <c r="AE218" s="499" t="s">
        <v>259</v>
      </c>
      <c r="AF218" s="500" t="s">
        <v>260</v>
      </c>
      <c r="AG218" s="125"/>
      <c r="AH218" s="125"/>
      <c r="AI218" s="125"/>
      <c r="AJ218" s="125"/>
      <c r="AK218" s="125"/>
      <c r="AL218" s="456">
        <f t="shared" si="16"/>
        <v>2432.2567079708033</v>
      </c>
      <c r="AM218" s="456">
        <f t="shared" si="17"/>
        <v>24547.447478139802</v>
      </c>
      <c r="AN218" s="456">
        <f t="shared" si="18"/>
        <v>-105378.4581034303</v>
      </c>
      <c r="AO218" s="456">
        <f t="shared" ref="AO218:AO226" si="35">(3*AM218-AL218^2)/3</f>
        <v>-1947410.1170115166</v>
      </c>
      <c r="AP218" s="456">
        <f t="shared" ref="AP218:AP226" si="36">(2*AL218^3-9*AL218*AM218+27*AN218)/27</f>
        <v>1045838726.7364154</v>
      </c>
      <c r="AQ218" s="456">
        <f t="shared" ref="AQ218:AQ226" si="37">2*SQRT(-AO218/3)</f>
        <v>1611.3804090536853</v>
      </c>
      <c r="AR218" s="456">
        <f t="shared" ref="AR218:AR226" si="38">ACOS(3*AP218/(AO218*AQ218))/3</f>
        <v>1.0412331525605689</v>
      </c>
      <c r="AS218" s="456">
        <f t="shared" ref="AS218:AS226" si="39">2*SQRT(-AO218/3)*COS(AR218)-AL218/3</f>
        <v>3.2468850402394764</v>
      </c>
      <c r="AT218" s="456">
        <f t="shared" si="19"/>
        <v>-2422.1039834644225</v>
      </c>
      <c r="AU218" s="456">
        <f t="shared" ref="AU218:AU226" si="40">2*SQRT(-AO218/3)*COS(AR218+4*PI()/3)-AL218/3</f>
        <v>-13.399609546621377</v>
      </c>
      <c r="AV218" s="456">
        <f t="shared" ref="AV218:AV226" si="41">IF(AS218&gt;0,+AS218,999999)</f>
        <v>3.2468850402394764</v>
      </c>
      <c r="AW218" s="456">
        <f t="shared" ref="AW218:AW226" si="42">IF(AT218&gt;0,+AT218,999999)</f>
        <v>999999</v>
      </c>
      <c r="AX218" s="456">
        <f t="shared" ref="AX218:AX226" si="43">IF(AU218&gt;0,+AU218,999999)</f>
        <v>999999</v>
      </c>
      <c r="AY218" s="509">
        <f t="shared" ref="AY218:AY226" si="44">IF(AZ218&lt;0,MIN(AV218:AX218),+BA218)</f>
        <v>3.2468850402394764</v>
      </c>
      <c r="AZ218" s="456">
        <f t="shared" ref="AZ218:AZ226" si="45">AP218^2/4+AO218^3/27</f>
        <v>-87566498904288</v>
      </c>
      <c r="BA218" s="456" t="e">
        <f t="shared" ref="BA218:BA226" si="46">+BB218+BC218-AL218/3</f>
        <v>#NUM!</v>
      </c>
      <c r="BB218" s="456" t="e">
        <f t="shared" ref="BB218:BB226" si="47">(-AP218/2+SQRT(AZ218))^(1/3)</f>
        <v>#NUM!</v>
      </c>
      <c r="BC218" s="456" t="e">
        <f t="shared" ref="BC218:BC226" si="48">(-AP218/2-SQRT(AZ218))^(1/3)</f>
        <v>#NUM!</v>
      </c>
      <c r="BD218" s="125"/>
      <c r="BE218" s="656">
        <f t="shared" si="20"/>
        <v>3.2434213544446369</v>
      </c>
      <c r="BF218" s="655">
        <f t="shared" ref="BF218:BF226" si="49">IF(BE218="","",$BI$26+$BI$27*BE218+$BI$28*BE218^2+$BI$29*BE218^3+$BI$30*BE218^4)</f>
        <v>4.501000000000035</v>
      </c>
      <c r="BG218" s="261" t="s">
        <v>258</v>
      </c>
      <c r="BH218" s="262" t="s">
        <v>259</v>
      </c>
      <c r="BI218" s="263" t="s">
        <v>260</v>
      </c>
      <c r="BJ218" s="238"/>
      <c r="BK218" s="238"/>
      <c r="BL218" s="238"/>
      <c r="BM218" s="238"/>
      <c r="BN218" s="238"/>
      <c r="BO218" s="238"/>
      <c r="BP218" s="238"/>
      <c r="BQ218" s="238"/>
      <c r="BR218" s="240">
        <f t="shared" si="21"/>
        <v>-17.894488448782099</v>
      </c>
      <c r="BS218" s="240">
        <f t="shared" si="22"/>
        <v>359.02403518259086</v>
      </c>
      <c r="BT218" s="240">
        <f t="shared" si="23"/>
        <v>2397.5035457707181</v>
      </c>
      <c r="BU218" s="240">
        <f t="shared" si="24"/>
        <v>-11053.073143139929</v>
      </c>
      <c r="BV218" s="240">
        <f t="shared" ref="BV218:BV226" si="50">-BS218</f>
        <v>-359.02403518259086</v>
      </c>
      <c r="BW218" s="240">
        <f t="shared" ref="BW218:BW226" si="51">BR218*BT218-4*BU218</f>
        <v>1310.193066851476</v>
      </c>
      <c r="BX218" s="240">
        <f t="shared" ref="BX218:BX226" si="52">BR218^2*-BU218+4*BS218*BU218-BT218^2</f>
        <v>-18081964.355421025</v>
      </c>
      <c r="BY218" s="240">
        <f t="shared" ref="BY218:BY226" si="53">1/3*(3*BW218-BV218^2)</f>
        <v>-41655.892879411935</v>
      </c>
      <c r="BZ218" s="240">
        <f t="shared" ref="BZ218:BZ226" si="54">1/27*(2*BV218^3-9*BV218*BW218+27*BX218)</f>
        <v>-21353135.766495597</v>
      </c>
      <c r="CA218" s="240">
        <f t="shared" ref="CA218:CA226" si="55">BZ218^2/4+BY218^3/27</f>
        <v>111311995691682.12</v>
      </c>
      <c r="CB218" s="240">
        <f t="shared" ref="CB218:CB226" si="56">2*SQRT(-BY218/3)</f>
        <v>235.67178555330415</v>
      </c>
      <c r="CC218" s="240" t="e">
        <f t="shared" ref="CC218:CC226" si="57">ACOS(3*BZ218/(BY218*CB218))/3</f>
        <v>#NUM!</v>
      </c>
      <c r="CD218" s="240" t="e">
        <f t="shared" ref="CD218:CD226" si="58">CB218*COS(CC218)-BV218/3</f>
        <v>#NUM!</v>
      </c>
      <c r="CE218" s="240" t="e">
        <f t="shared" ref="CE218:CE226" si="59">CB218*COS(CC218+2*PI()/3)-BV218/3</f>
        <v>#NUM!</v>
      </c>
      <c r="CF218" s="240" t="e">
        <f t="shared" ref="CF218:CF226" si="60">CB218*COS(CC218+4*PI()/3)-BV218/3</f>
        <v>#NUM!</v>
      </c>
      <c r="CG218" s="240">
        <f t="shared" si="25"/>
        <v>276.88302352890133</v>
      </c>
      <c r="CH218" s="240">
        <f t="shared" si="26"/>
        <v>50.148605896819383</v>
      </c>
      <c r="CI218" s="240">
        <f t="shared" ref="CI218:CI226" si="61">IF(CA218&gt;0,+CG218+CH218-BV218/3,MAX(CD218:CF218))</f>
        <v>446.7063078199177</v>
      </c>
      <c r="CJ218" s="240">
        <f t="shared" si="27"/>
        <v>12.951272209641253</v>
      </c>
      <c r="CK218" s="251" t="e">
        <f t="shared" si="28"/>
        <v>#NUM!</v>
      </c>
      <c r="CL218" s="251">
        <f t="shared" si="29"/>
        <v>10.490870694139478</v>
      </c>
      <c r="CM218" s="240" t="e">
        <f t="shared" si="30"/>
        <v>#NUM!</v>
      </c>
      <c r="CN218" s="240" t="e">
        <f t="shared" si="31"/>
        <v>#NUM!</v>
      </c>
      <c r="CO218" s="240">
        <f t="shared" si="32"/>
        <v>3.2434213544446369</v>
      </c>
      <c r="CP218" s="240">
        <f t="shared" si="33"/>
        <v>-7.2474493396948407</v>
      </c>
      <c r="CQ218" s="240">
        <f t="shared" ref="CQ218:CQ226" si="62">IF(ISERROR(CM218)=TRUE,0,(CM218&gt;MIN(X))*(CM218&lt;MAX(X))*CM218)</f>
        <v>0</v>
      </c>
      <c r="CR218" s="240">
        <f t="shared" ref="CR218:CR226" si="63">IF(ISERROR(CN218)=TRUE,0,(CN218&gt;MIN(X))*(CN218&lt;MAX(X))*CN218)</f>
        <v>0</v>
      </c>
      <c r="CS218" s="240">
        <f t="shared" ref="CS218:CS226" si="64">IF(ISERROR(CO218)=TRUE,0,(CO218&gt;MIN(X))*(CO218&lt;MAX(X))*CO218)</f>
        <v>3.2434213544446369</v>
      </c>
      <c r="CT218" s="240">
        <f t="shared" ref="CT218:CT226" si="65">IF(ISERROR(CP218)=TRUE,0,(CP218&gt;MIN(X))*(CP218&lt;MAX(X))*CP218)</f>
        <v>0</v>
      </c>
      <c r="CU218" s="240">
        <f t="shared" ref="CU218:CU226" si="66">IF(SUM(CQ218:CT218)=MAX(CQ218:CT218),+MAX(CQ218:CT218),"There is not a unique solution!")</f>
        <v>3.2434213544446369</v>
      </c>
      <c r="CV218" s="238"/>
      <c r="CW218" s="465"/>
    </row>
    <row r="219" spans="1:101" ht="18" customHeight="1" x14ac:dyDescent="0.25">
      <c r="A219"/>
      <c r="B219" s="1"/>
      <c r="K219" s="218">
        <f t="shared" si="13"/>
        <v>2.9343488331647687</v>
      </c>
      <c r="L219" s="184"/>
      <c r="M219" s="209">
        <f>L181</f>
        <v>4.5</v>
      </c>
      <c r="N219" s="210">
        <f>M219-Q217*SQRT(N181)</f>
        <v>4.1268490849327781</v>
      </c>
      <c r="O219" s="211">
        <f>M219+Q217*SQRT(N181)</f>
        <v>4.8731509150672219</v>
      </c>
      <c r="P219" s="185"/>
      <c r="Q219" s="185"/>
      <c r="R219" s="185"/>
      <c r="S219" s="168">
        <f t="shared" si="14"/>
        <v>3.2460415526886783</v>
      </c>
      <c r="T219" s="127"/>
      <c r="U219" s="169">
        <f>T181</f>
        <v>4.5</v>
      </c>
      <c r="V219" s="170">
        <f>U219-Y217*SQRT($V$181)</f>
        <v>4.4857113886124509</v>
      </c>
      <c r="W219" s="140">
        <f>U219+Y217*SQRT($V$181)</f>
        <v>4.5142886113875491</v>
      </c>
      <c r="X219" s="126"/>
      <c r="Y219" s="126"/>
      <c r="Z219" s="164"/>
      <c r="AA219" s="164"/>
      <c r="AB219" s="516">
        <f t="shared" si="15"/>
        <v>3.2456726022305702</v>
      </c>
      <c r="AC219" s="456">
        <f t="shared" si="34"/>
        <v>4.4989999999933827</v>
      </c>
      <c r="AD219" s="517">
        <f>AC182</f>
        <v>4.5000000000015836</v>
      </c>
      <c r="AE219" s="505">
        <f>AD219-AH217*SQRT($AE$182)</f>
        <v>4.4828549533959228</v>
      </c>
      <c r="AF219" s="477">
        <f>AD219*2-AE219</f>
        <v>4.5171450466072445</v>
      </c>
      <c r="AG219" s="125"/>
      <c r="AH219" s="125"/>
      <c r="AI219" s="125"/>
      <c r="AJ219" s="125"/>
      <c r="AK219" s="125"/>
      <c r="AL219" s="456">
        <f t="shared" si="16"/>
        <v>2432.2567079708033</v>
      </c>
      <c r="AM219" s="456">
        <f t="shared" si="17"/>
        <v>24547.447478139802</v>
      </c>
      <c r="AN219" s="456">
        <f t="shared" si="18"/>
        <v>-105329.51121837978</v>
      </c>
      <c r="AO219" s="456">
        <f t="shared" si="35"/>
        <v>-1947410.1170115166</v>
      </c>
      <c r="AP219" s="456">
        <f t="shared" si="36"/>
        <v>1045838775.6833006</v>
      </c>
      <c r="AQ219" s="456">
        <f t="shared" si="37"/>
        <v>1611.3804090536853</v>
      </c>
      <c r="AR219" s="456">
        <f t="shared" si="38"/>
        <v>1.0412340244001019</v>
      </c>
      <c r="AS219" s="456">
        <f t="shared" si="39"/>
        <v>3.2456726022305702</v>
      </c>
      <c r="AT219" s="456">
        <f t="shared" si="19"/>
        <v>-2422.103991842936</v>
      </c>
      <c r="AU219" s="456">
        <f t="shared" si="40"/>
        <v>-13.398388730098759</v>
      </c>
      <c r="AV219" s="456">
        <f t="shared" si="41"/>
        <v>3.2456726022305702</v>
      </c>
      <c r="AW219" s="456">
        <f t="shared" si="42"/>
        <v>999999</v>
      </c>
      <c r="AX219" s="456">
        <f t="shared" si="43"/>
        <v>999999</v>
      </c>
      <c r="AY219" s="509">
        <f t="shared" si="44"/>
        <v>3.2456726022305702</v>
      </c>
      <c r="AZ219" s="456">
        <f t="shared" si="45"/>
        <v>-87540903629632</v>
      </c>
      <c r="BA219" s="456" t="e">
        <f t="shared" si="46"/>
        <v>#NUM!</v>
      </c>
      <c r="BB219" s="456" t="e">
        <f t="shared" si="47"/>
        <v>#NUM!</v>
      </c>
      <c r="BC219" s="456" t="e">
        <f t="shared" si="48"/>
        <v>#NUM!</v>
      </c>
      <c r="BD219" s="125"/>
      <c r="BE219" s="656">
        <f t="shared" si="20"/>
        <v>3.2422197243753921</v>
      </c>
      <c r="BF219" s="655">
        <f t="shared" si="49"/>
        <v>4.4990000000000103</v>
      </c>
      <c r="BG219" s="658">
        <f>BF182</f>
        <v>4.4999999999999938</v>
      </c>
      <c r="BH219" s="659">
        <f>BG219-BK217*SQRT(BH182)</f>
        <v>4.4867934150796307</v>
      </c>
      <c r="BI219" s="660">
        <f>BG219*2-BH219</f>
        <v>4.5132065849203569</v>
      </c>
      <c r="BJ219" s="238"/>
      <c r="BK219" s="238"/>
      <c r="BL219" s="238"/>
      <c r="BM219" s="238"/>
      <c r="BN219" s="238"/>
      <c r="BO219" s="238"/>
      <c r="BP219" s="238"/>
      <c r="BQ219" s="238"/>
      <c r="BR219" s="240">
        <f t="shared" si="21"/>
        <v>-17.894488448782099</v>
      </c>
      <c r="BS219" s="240">
        <f t="shared" si="22"/>
        <v>359.02403518259086</v>
      </c>
      <c r="BT219" s="240">
        <f t="shared" si="23"/>
        <v>2397.5035457707181</v>
      </c>
      <c r="BU219" s="240">
        <f t="shared" si="24"/>
        <v>-11047.908681374554</v>
      </c>
      <c r="BV219" s="240">
        <f t="shared" si="50"/>
        <v>-359.02403518259086</v>
      </c>
      <c r="BW219" s="240">
        <f t="shared" si="51"/>
        <v>1289.5352197899774</v>
      </c>
      <c r="BX219" s="240">
        <f t="shared" si="52"/>
        <v>-18076201.418143746</v>
      </c>
      <c r="BY219" s="240">
        <f t="shared" si="53"/>
        <v>-41676.550726473433</v>
      </c>
      <c r="BZ219" s="240">
        <f t="shared" si="54"/>
        <v>-21349845.050421722</v>
      </c>
      <c r="CA219" s="240">
        <f t="shared" si="55"/>
        <v>111272880006146.14</v>
      </c>
      <c r="CB219" s="240">
        <f t="shared" si="56"/>
        <v>235.73021508063954</v>
      </c>
      <c r="CC219" s="240" t="e">
        <f t="shared" si="57"/>
        <v>#NUM!</v>
      </c>
      <c r="CD219" s="240" t="e">
        <f t="shared" si="58"/>
        <v>#NUM!</v>
      </c>
      <c r="CE219" s="240" t="e">
        <f t="shared" si="59"/>
        <v>#NUM!</v>
      </c>
      <c r="CF219" s="240" t="e">
        <f t="shared" si="60"/>
        <v>#NUM!</v>
      </c>
      <c r="CG219" s="240">
        <f t="shared" si="25"/>
        <v>276.86780800584171</v>
      </c>
      <c r="CH219" s="240">
        <f t="shared" si="26"/>
        <v>50.176232750027843</v>
      </c>
      <c r="CI219" s="240">
        <f t="shared" si="61"/>
        <v>446.71871915006653</v>
      </c>
      <c r="CJ219" s="240">
        <f t="shared" si="27"/>
        <v>12.95175135564201</v>
      </c>
      <c r="CK219" s="251" t="e">
        <f t="shared" si="28"/>
        <v>#NUM!</v>
      </c>
      <c r="CL219" s="251">
        <f t="shared" si="29"/>
        <v>10.488946580001745</v>
      </c>
      <c r="CM219" s="240" t="e">
        <f t="shared" si="30"/>
        <v>#NUM!</v>
      </c>
      <c r="CN219" s="240" t="e">
        <f t="shared" si="31"/>
        <v>#NUM!</v>
      </c>
      <c r="CO219" s="240">
        <f t="shared" si="32"/>
        <v>3.2422197243753921</v>
      </c>
      <c r="CP219" s="240">
        <f t="shared" si="33"/>
        <v>-7.2467268556263527</v>
      </c>
      <c r="CQ219" s="240">
        <f t="shared" si="62"/>
        <v>0</v>
      </c>
      <c r="CR219" s="240">
        <f t="shared" si="63"/>
        <v>0</v>
      </c>
      <c r="CS219" s="240">
        <f t="shared" si="64"/>
        <v>3.2422197243753921</v>
      </c>
      <c r="CT219" s="240">
        <f t="shared" si="65"/>
        <v>0</v>
      </c>
      <c r="CU219" s="240">
        <f t="shared" si="66"/>
        <v>3.2422197243753921</v>
      </c>
      <c r="CV219" s="238"/>
      <c r="CW219" s="465"/>
    </row>
    <row r="220" spans="1:101" ht="18" customHeight="1" x14ac:dyDescent="0.25">
      <c r="A220"/>
      <c r="B220" s="2" t="s">
        <v>330</v>
      </c>
      <c r="K220" s="218" t="str">
        <f t="shared" si="13"/>
        <v/>
      </c>
      <c r="L220" s="184"/>
      <c r="M220" s="209"/>
      <c r="N220" s="210"/>
      <c r="O220" s="211"/>
      <c r="P220" s="185"/>
      <c r="Q220" s="185"/>
      <c r="R220" s="185"/>
      <c r="S220" s="168" t="str">
        <f t="shared" si="14"/>
        <v/>
      </c>
      <c r="T220" s="127"/>
      <c r="U220" s="137"/>
      <c r="V220" s="138"/>
      <c r="W220" s="140"/>
      <c r="X220" s="126"/>
      <c r="Y220" s="126"/>
      <c r="Z220" s="171"/>
      <c r="AA220" s="171"/>
      <c r="AB220" s="516" t="str">
        <f t="shared" si="15"/>
        <v/>
      </c>
      <c r="AC220" s="456" t="str">
        <f t="shared" si="34"/>
        <v/>
      </c>
      <c r="AD220" s="476"/>
      <c r="AE220" s="403"/>
      <c r="AF220" s="477"/>
      <c r="AG220" s="125"/>
      <c r="AH220" s="125"/>
      <c r="AI220" s="125"/>
      <c r="AJ220" s="125"/>
      <c r="AK220" s="125"/>
      <c r="AL220" s="456">
        <f t="shared" si="16"/>
        <v>2432.2567079708033</v>
      </c>
      <c r="AM220" s="456">
        <f t="shared" si="17"/>
        <v>24547.447478139802</v>
      </c>
      <c r="AN220" s="456">
        <f t="shared" si="18"/>
        <v>4776.5067027624309</v>
      </c>
      <c r="AO220" s="456">
        <f t="shared" si="35"/>
        <v>-1947410.1170115166</v>
      </c>
      <c r="AP220" s="456">
        <f t="shared" si="36"/>
        <v>1045948881.7012216</v>
      </c>
      <c r="AQ220" s="456">
        <f t="shared" si="37"/>
        <v>1611.3804090536853</v>
      </c>
      <c r="AR220" s="456">
        <f t="shared" si="38"/>
        <v>1.043708858152663</v>
      </c>
      <c r="AS220" s="456">
        <f t="shared" si="39"/>
        <v>-0.19848587667399897</v>
      </c>
      <c r="AT220" s="456">
        <f t="shared" si="19"/>
        <v>-2422.1228390152146</v>
      </c>
      <c r="AU220" s="456">
        <f t="shared" si="40"/>
        <v>-9.935383078915379</v>
      </c>
      <c r="AV220" s="456">
        <f t="shared" si="41"/>
        <v>999999</v>
      </c>
      <c r="AW220" s="456">
        <f t="shared" si="42"/>
        <v>999999</v>
      </c>
      <c r="AX220" s="456">
        <f t="shared" si="43"/>
        <v>999999</v>
      </c>
      <c r="AY220" s="509">
        <f t="shared" si="44"/>
        <v>999999</v>
      </c>
      <c r="AZ220" s="456">
        <f t="shared" si="45"/>
        <v>-29961301306944</v>
      </c>
      <c r="BA220" s="456" t="e">
        <f t="shared" si="46"/>
        <v>#NUM!</v>
      </c>
      <c r="BB220" s="456" t="e">
        <f t="shared" si="47"/>
        <v>#NUM!</v>
      </c>
      <c r="BC220" s="456" t="e">
        <f t="shared" si="48"/>
        <v>#NUM!</v>
      </c>
      <c r="BD220" s="125"/>
      <c r="BE220" s="656" t="str">
        <f t="shared" si="20"/>
        <v/>
      </c>
      <c r="BF220" s="655" t="str">
        <f t="shared" si="49"/>
        <v/>
      </c>
      <c r="BG220" s="264"/>
      <c r="BH220" s="244"/>
      <c r="BI220" s="265"/>
      <c r="BJ220" s="238"/>
      <c r="BK220" s="238"/>
      <c r="BL220" s="238"/>
      <c r="BM220" s="238"/>
      <c r="BN220" s="238"/>
      <c r="BO220" s="238"/>
      <c r="BP220" s="238"/>
      <c r="BQ220" s="238"/>
      <c r="BR220" s="240">
        <f t="shared" si="21"/>
        <v>-17.894488448782099</v>
      </c>
      <c r="BS220" s="240">
        <f t="shared" si="22"/>
        <v>359.02403518259086</v>
      </c>
      <c r="BT220" s="240">
        <f t="shared" si="23"/>
        <v>2397.5035457707181</v>
      </c>
      <c r="BU220" s="240">
        <f t="shared" si="24"/>
        <v>569.54805983040126</v>
      </c>
      <c r="BV220" s="240">
        <f t="shared" si="50"/>
        <v>-359.02403518259086</v>
      </c>
      <c r="BW220" s="240">
        <f t="shared" si="51"/>
        <v>-45180.291745029848</v>
      </c>
      <c r="BX220" s="240">
        <f t="shared" si="52"/>
        <v>-5112474.0129115526</v>
      </c>
      <c r="BY220" s="240">
        <f t="shared" si="53"/>
        <v>-88146.377691293252</v>
      </c>
      <c r="BZ220" s="240">
        <f t="shared" si="54"/>
        <v>-13947379.242238322</v>
      </c>
      <c r="CA220" s="240">
        <f t="shared" si="55"/>
        <v>23266483737719.844</v>
      </c>
      <c r="CB220" s="240">
        <f t="shared" si="56"/>
        <v>342.82430425567992</v>
      </c>
      <c r="CC220" s="240" t="e">
        <f t="shared" si="57"/>
        <v>#NUM!</v>
      </c>
      <c r="CD220" s="240" t="e">
        <f t="shared" si="58"/>
        <v>#NUM!</v>
      </c>
      <c r="CE220" s="240" t="e">
        <f t="shared" si="59"/>
        <v>#NUM!</v>
      </c>
      <c r="CF220" s="240" t="e">
        <f t="shared" si="60"/>
        <v>#NUM!</v>
      </c>
      <c r="CG220" s="240">
        <f t="shared" si="25"/>
        <v>227.64595702626457</v>
      </c>
      <c r="CH220" s="240">
        <f t="shared" si="26"/>
        <v>129.06939477825995</v>
      </c>
      <c r="CI220" s="240">
        <f t="shared" si="61"/>
        <v>476.39003019872149</v>
      </c>
      <c r="CJ220" s="240">
        <f t="shared" si="27"/>
        <v>14.050593376332175</v>
      </c>
      <c r="CK220" s="251" t="e">
        <f t="shared" si="28"/>
        <v>#NUM!</v>
      </c>
      <c r="CL220" s="251">
        <f t="shared" si="29"/>
        <v>4.6097625608574813</v>
      </c>
      <c r="CM220" s="240" t="e">
        <f t="shared" si="30"/>
        <v>#NUM!</v>
      </c>
      <c r="CN220" s="240" t="e">
        <f t="shared" si="31"/>
        <v>#NUM!</v>
      </c>
      <c r="CO220" s="240">
        <f t="shared" si="32"/>
        <v>-0.24679329554182239</v>
      </c>
      <c r="CP220" s="240">
        <f t="shared" si="33"/>
        <v>-4.8565558563993037</v>
      </c>
      <c r="CQ220" s="240">
        <f t="shared" si="62"/>
        <v>0</v>
      </c>
      <c r="CR220" s="240">
        <f t="shared" si="63"/>
        <v>0</v>
      </c>
      <c r="CS220" s="240">
        <f t="shared" si="64"/>
        <v>0</v>
      </c>
      <c r="CT220" s="240">
        <f t="shared" si="65"/>
        <v>0</v>
      </c>
      <c r="CU220" s="240">
        <f t="shared" si="66"/>
        <v>0</v>
      </c>
      <c r="CV220" s="238"/>
      <c r="CW220" s="465"/>
    </row>
    <row r="221" spans="1:101" ht="18" customHeight="1" x14ac:dyDescent="0.25">
      <c r="A221"/>
      <c r="B221" s="2" t="s">
        <v>331</v>
      </c>
      <c r="K221" s="218" t="str">
        <f t="shared" si="13"/>
        <v/>
      </c>
      <c r="L221" s="184"/>
      <c r="M221" s="212" t="s">
        <v>264</v>
      </c>
      <c r="N221" s="213"/>
      <c r="O221" s="214"/>
      <c r="P221" s="185"/>
      <c r="Q221" s="185"/>
      <c r="R221" s="185"/>
      <c r="S221" s="168" t="str">
        <f t="shared" si="14"/>
        <v/>
      </c>
      <c r="T221" s="127"/>
      <c r="U221" s="158" t="s">
        <v>264</v>
      </c>
      <c r="V221" s="159"/>
      <c r="W221" s="160"/>
      <c r="X221" s="126"/>
      <c r="Y221" s="126"/>
      <c r="Z221" s="171"/>
      <c r="AA221" s="171"/>
      <c r="AB221" s="516" t="str">
        <f t="shared" si="15"/>
        <v/>
      </c>
      <c r="AC221" s="456" t="str">
        <f t="shared" si="34"/>
        <v/>
      </c>
      <c r="AD221" s="501" t="s">
        <v>264</v>
      </c>
      <c r="AE221" s="502"/>
      <c r="AF221" s="503"/>
      <c r="AG221" s="125"/>
      <c r="AH221" s="125"/>
      <c r="AI221" s="125"/>
      <c r="AJ221" s="125"/>
      <c r="AK221" s="125"/>
      <c r="AL221" s="456">
        <f t="shared" si="16"/>
        <v>2432.2567079708033</v>
      </c>
      <c r="AM221" s="456">
        <f t="shared" si="17"/>
        <v>24547.447478139802</v>
      </c>
      <c r="AN221" s="456">
        <f t="shared" si="18"/>
        <v>4776.5067027624309</v>
      </c>
      <c r="AO221" s="456">
        <f t="shared" si="35"/>
        <v>-1947410.1170115166</v>
      </c>
      <c r="AP221" s="456">
        <f t="shared" si="36"/>
        <v>1045948881.7012216</v>
      </c>
      <c r="AQ221" s="456">
        <f t="shared" si="37"/>
        <v>1611.3804090536853</v>
      </c>
      <c r="AR221" s="456">
        <f t="shared" si="38"/>
        <v>1.043708858152663</v>
      </c>
      <c r="AS221" s="456">
        <f t="shared" si="39"/>
        <v>-0.19848587667399897</v>
      </c>
      <c r="AT221" s="456">
        <f t="shared" si="19"/>
        <v>-2422.1228390152146</v>
      </c>
      <c r="AU221" s="456">
        <f t="shared" si="40"/>
        <v>-9.935383078915379</v>
      </c>
      <c r="AV221" s="456">
        <f t="shared" si="41"/>
        <v>999999</v>
      </c>
      <c r="AW221" s="456">
        <f t="shared" si="42"/>
        <v>999999</v>
      </c>
      <c r="AX221" s="456">
        <f t="shared" si="43"/>
        <v>999999</v>
      </c>
      <c r="AY221" s="509">
        <f t="shared" si="44"/>
        <v>999999</v>
      </c>
      <c r="AZ221" s="456">
        <f t="shared" si="45"/>
        <v>-29961301306944</v>
      </c>
      <c r="BA221" s="456" t="e">
        <f t="shared" si="46"/>
        <v>#NUM!</v>
      </c>
      <c r="BB221" s="456" t="e">
        <f t="shared" si="47"/>
        <v>#NUM!</v>
      </c>
      <c r="BC221" s="456" t="e">
        <f t="shared" si="48"/>
        <v>#NUM!</v>
      </c>
      <c r="BD221" s="125"/>
      <c r="BE221" s="656" t="str">
        <f t="shared" si="20"/>
        <v/>
      </c>
      <c r="BF221" s="655" t="str">
        <f t="shared" si="49"/>
        <v/>
      </c>
      <c r="BG221" s="266" t="s">
        <v>264</v>
      </c>
      <c r="BH221" s="267"/>
      <c r="BI221" s="268"/>
      <c r="BJ221" s="238"/>
      <c r="BK221" s="238"/>
      <c r="BL221" s="238"/>
      <c r="BM221" s="238"/>
      <c r="BN221" s="238"/>
      <c r="BO221" s="238"/>
      <c r="BP221" s="238"/>
      <c r="BQ221" s="238"/>
      <c r="BR221" s="240">
        <f t="shared" si="21"/>
        <v>-17.894488448782099</v>
      </c>
      <c r="BS221" s="240">
        <f t="shared" si="22"/>
        <v>359.02403518259086</v>
      </c>
      <c r="BT221" s="240">
        <f t="shared" si="23"/>
        <v>2397.5035457707181</v>
      </c>
      <c r="BU221" s="240">
        <f t="shared" si="24"/>
        <v>569.54805983040126</v>
      </c>
      <c r="BV221" s="240">
        <f t="shared" si="50"/>
        <v>-359.02403518259086</v>
      </c>
      <c r="BW221" s="240">
        <f t="shared" si="51"/>
        <v>-45180.291745029848</v>
      </c>
      <c r="BX221" s="240">
        <f t="shared" si="52"/>
        <v>-5112474.0129115526</v>
      </c>
      <c r="BY221" s="240">
        <f t="shared" si="53"/>
        <v>-88146.377691293252</v>
      </c>
      <c r="BZ221" s="240">
        <f t="shared" si="54"/>
        <v>-13947379.242238322</v>
      </c>
      <c r="CA221" s="240">
        <f t="shared" si="55"/>
        <v>23266483737719.844</v>
      </c>
      <c r="CB221" s="240">
        <f t="shared" si="56"/>
        <v>342.82430425567992</v>
      </c>
      <c r="CC221" s="240" t="e">
        <f t="shared" si="57"/>
        <v>#NUM!</v>
      </c>
      <c r="CD221" s="240" t="e">
        <f t="shared" si="58"/>
        <v>#NUM!</v>
      </c>
      <c r="CE221" s="240" t="e">
        <f t="shared" si="59"/>
        <v>#NUM!</v>
      </c>
      <c r="CF221" s="240" t="e">
        <f t="shared" si="60"/>
        <v>#NUM!</v>
      </c>
      <c r="CG221" s="240">
        <f t="shared" si="25"/>
        <v>227.64595702626457</v>
      </c>
      <c r="CH221" s="240">
        <f t="shared" si="26"/>
        <v>129.06939477825995</v>
      </c>
      <c r="CI221" s="240">
        <f t="shared" si="61"/>
        <v>476.39003019872149</v>
      </c>
      <c r="CJ221" s="240">
        <f t="shared" si="27"/>
        <v>14.050593376332175</v>
      </c>
      <c r="CK221" s="251" t="e">
        <f t="shared" si="28"/>
        <v>#NUM!</v>
      </c>
      <c r="CL221" s="251">
        <f t="shared" si="29"/>
        <v>4.6097625608574813</v>
      </c>
      <c r="CM221" s="240" t="e">
        <f t="shared" si="30"/>
        <v>#NUM!</v>
      </c>
      <c r="CN221" s="240" t="e">
        <f t="shared" si="31"/>
        <v>#NUM!</v>
      </c>
      <c r="CO221" s="240">
        <f t="shared" si="32"/>
        <v>-0.24679329554182239</v>
      </c>
      <c r="CP221" s="240">
        <f t="shared" si="33"/>
        <v>-4.8565558563993037</v>
      </c>
      <c r="CQ221" s="240">
        <f t="shared" si="62"/>
        <v>0</v>
      </c>
      <c r="CR221" s="240">
        <f t="shared" si="63"/>
        <v>0</v>
      </c>
      <c r="CS221" s="240">
        <f t="shared" si="64"/>
        <v>0</v>
      </c>
      <c r="CT221" s="240">
        <f t="shared" si="65"/>
        <v>0</v>
      </c>
      <c r="CU221" s="240">
        <f t="shared" si="66"/>
        <v>0</v>
      </c>
      <c r="CV221" s="238"/>
      <c r="CW221" s="465"/>
    </row>
    <row r="222" spans="1:101" ht="18" customHeight="1" x14ac:dyDescent="0.25">
      <c r="K222" s="218" t="str">
        <f t="shared" si="13"/>
        <v/>
      </c>
      <c r="L222" s="184"/>
      <c r="M222" s="206" t="s">
        <v>266</v>
      </c>
      <c r="N222" s="207" t="s">
        <v>259</v>
      </c>
      <c r="O222" s="208" t="s">
        <v>260</v>
      </c>
      <c r="P222" s="185"/>
      <c r="Q222" s="185"/>
      <c r="R222" s="185"/>
      <c r="S222" s="168" t="str">
        <f t="shared" si="14"/>
        <v/>
      </c>
      <c r="T222" s="127"/>
      <c r="U222" s="155" t="s">
        <v>266</v>
      </c>
      <c r="V222" s="156" t="s">
        <v>259</v>
      </c>
      <c r="W222" s="157" t="s">
        <v>260</v>
      </c>
      <c r="X222" s="126"/>
      <c r="Y222" s="126"/>
      <c r="Z222" s="171"/>
      <c r="AA222" s="171"/>
      <c r="AB222" s="516" t="str">
        <f t="shared" si="15"/>
        <v/>
      </c>
      <c r="AC222" s="456" t="str">
        <f t="shared" si="34"/>
        <v/>
      </c>
      <c r="AD222" s="498" t="s">
        <v>266</v>
      </c>
      <c r="AE222" s="499" t="s">
        <v>259</v>
      </c>
      <c r="AF222" s="500" t="s">
        <v>260</v>
      </c>
      <c r="AG222" s="492" t="s">
        <v>269</v>
      </c>
      <c r="AH222" s="125"/>
      <c r="AI222" s="125"/>
      <c r="AJ222" s="125"/>
      <c r="AK222" s="125"/>
      <c r="AL222" s="456">
        <f t="shared" si="16"/>
        <v>2432.2567079708033</v>
      </c>
      <c r="AM222" s="456">
        <f t="shared" si="17"/>
        <v>24547.447478139802</v>
      </c>
      <c r="AN222" s="456">
        <f t="shared" si="18"/>
        <v>4776.5067027624309</v>
      </c>
      <c r="AO222" s="456">
        <f t="shared" si="35"/>
        <v>-1947410.1170115166</v>
      </c>
      <c r="AP222" s="456">
        <f t="shared" si="36"/>
        <v>1045948881.7012216</v>
      </c>
      <c r="AQ222" s="456">
        <f t="shared" si="37"/>
        <v>1611.3804090536853</v>
      </c>
      <c r="AR222" s="456">
        <f t="shared" si="38"/>
        <v>1.043708858152663</v>
      </c>
      <c r="AS222" s="456">
        <f t="shared" si="39"/>
        <v>-0.19848587667399897</v>
      </c>
      <c r="AT222" s="456">
        <f t="shared" si="19"/>
        <v>-2422.1228390152146</v>
      </c>
      <c r="AU222" s="456">
        <f t="shared" si="40"/>
        <v>-9.935383078915379</v>
      </c>
      <c r="AV222" s="456">
        <f t="shared" si="41"/>
        <v>999999</v>
      </c>
      <c r="AW222" s="456">
        <f t="shared" si="42"/>
        <v>999999</v>
      </c>
      <c r="AX222" s="456">
        <f t="shared" si="43"/>
        <v>999999</v>
      </c>
      <c r="AY222" s="509">
        <f t="shared" si="44"/>
        <v>999999</v>
      </c>
      <c r="AZ222" s="456">
        <f t="shared" si="45"/>
        <v>-29961301306944</v>
      </c>
      <c r="BA222" s="456" t="e">
        <f t="shared" si="46"/>
        <v>#NUM!</v>
      </c>
      <c r="BB222" s="456" t="e">
        <f t="shared" si="47"/>
        <v>#NUM!</v>
      </c>
      <c r="BC222" s="456" t="e">
        <f t="shared" si="48"/>
        <v>#NUM!</v>
      </c>
      <c r="BD222" s="125"/>
      <c r="BE222" s="656" t="str">
        <f t="shared" si="20"/>
        <v/>
      </c>
      <c r="BF222" s="655" t="str">
        <f t="shared" si="49"/>
        <v/>
      </c>
      <c r="BG222" s="261" t="s">
        <v>266</v>
      </c>
      <c r="BH222" s="262" t="s">
        <v>259</v>
      </c>
      <c r="BI222" s="263" t="s">
        <v>260</v>
      </c>
      <c r="BJ222" s="255" t="s">
        <v>269</v>
      </c>
      <c r="BK222" s="238"/>
      <c r="BL222" s="238"/>
      <c r="BM222" s="238"/>
      <c r="BN222" s="238"/>
      <c r="BO222" s="238"/>
      <c r="BP222" s="238"/>
      <c r="BQ222" s="238"/>
      <c r="BR222" s="240">
        <f t="shared" si="21"/>
        <v>-17.894488448782099</v>
      </c>
      <c r="BS222" s="240">
        <f t="shared" si="22"/>
        <v>359.02403518259086</v>
      </c>
      <c r="BT222" s="240">
        <f t="shared" si="23"/>
        <v>2397.5035457707181</v>
      </c>
      <c r="BU222" s="240">
        <f t="shared" si="24"/>
        <v>569.54805983040126</v>
      </c>
      <c r="BV222" s="240">
        <f t="shared" si="50"/>
        <v>-359.02403518259086</v>
      </c>
      <c r="BW222" s="240">
        <f t="shared" si="51"/>
        <v>-45180.291745029848</v>
      </c>
      <c r="BX222" s="240">
        <f t="shared" si="52"/>
        <v>-5112474.0129115526</v>
      </c>
      <c r="BY222" s="240">
        <f t="shared" si="53"/>
        <v>-88146.377691293252</v>
      </c>
      <c r="BZ222" s="240">
        <f t="shared" si="54"/>
        <v>-13947379.242238322</v>
      </c>
      <c r="CA222" s="240">
        <f t="shared" si="55"/>
        <v>23266483737719.844</v>
      </c>
      <c r="CB222" s="240">
        <f t="shared" si="56"/>
        <v>342.82430425567992</v>
      </c>
      <c r="CC222" s="240" t="e">
        <f t="shared" si="57"/>
        <v>#NUM!</v>
      </c>
      <c r="CD222" s="240" t="e">
        <f t="shared" si="58"/>
        <v>#NUM!</v>
      </c>
      <c r="CE222" s="240" t="e">
        <f t="shared" si="59"/>
        <v>#NUM!</v>
      </c>
      <c r="CF222" s="240" t="e">
        <f t="shared" si="60"/>
        <v>#NUM!</v>
      </c>
      <c r="CG222" s="240">
        <f t="shared" si="25"/>
        <v>227.64595702626457</v>
      </c>
      <c r="CH222" s="240">
        <f t="shared" si="26"/>
        <v>129.06939477825995</v>
      </c>
      <c r="CI222" s="240">
        <f t="shared" si="61"/>
        <v>476.39003019872149</v>
      </c>
      <c r="CJ222" s="240">
        <f t="shared" si="27"/>
        <v>14.050593376332175</v>
      </c>
      <c r="CK222" s="251" t="e">
        <f t="shared" si="28"/>
        <v>#NUM!</v>
      </c>
      <c r="CL222" s="251">
        <f t="shared" si="29"/>
        <v>4.6097625608574813</v>
      </c>
      <c r="CM222" s="240" t="e">
        <f t="shared" si="30"/>
        <v>#NUM!</v>
      </c>
      <c r="CN222" s="240" t="e">
        <f t="shared" si="31"/>
        <v>#NUM!</v>
      </c>
      <c r="CO222" s="240">
        <f t="shared" si="32"/>
        <v>-0.24679329554182239</v>
      </c>
      <c r="CP222" s="240">
        <f t="shared" si="33"/>
        <v>-4.8565558563993037</v>
      </c>
      <c r="CQ222" s="240">
        <f t="shared" si="62"/>
        <v>0</v>
      </c>
      <c r="CR222" s="240">
        <f t="shared" si="63"/>
        <v>0</v>
      </c>
      <c r="CS222" s="240">
        <f t="shared" si="64"/>
        <v>0</v>
      </c>
      <c r="CT222" s="240">
        <f t="shared" si="65"/>
        <v>0</v>
      </c>
      <c r="CU222" s="240">
        <f t="shared" si="66"/>
        <v>0</v>
      </c>
      <c r="CV222" s="238"/>
      <c r="CW222" s="465"/>
    </row>
    <row r="223" spans="1:101" ht="18" customHeight="1" x14ac:dyDescent="0.25">
      <c r="B223" s="2" t="s">
        <v>332</v>
      </c>
      <c r="K223" s="218" t="str">
        <f t="shared" si="13"/>
        <v/>
      </c>
      <c r="L223" s="184"/>
      <c r="M223" s="209">
        <f>M219</f>
        <v>4.5</v>
      </c>
      <c r="N223" s="210">
        <f>M223-Q217*SQRT(N181+$K$49/COUNT(C228:C237))</f>
        <v>3.6033459553030012</v>
      </c>
      <c r="O223" s="211">
        <f>2*M223-N223</f>
        <v>5.3966540446969988</v>
      </c>
      <c r="P223" s="185"/>
      <c r="Q223" s="185"/>
      <c r="R223" s="185"/>
      <c r="S223" s="168" t="str">
        <f t="shared" si="14"/>
        <v/>
      </c>
      <c r="T223" s="127"/>
      <c r="U223" s="137">
        <f>U219</f>
        <v>4.5</v>
      </c>
      <c r="V223" s="170">
        <f>U223-Y217*SQRT($V$181+$U$47/COUNT(C228:C237))</f>
        <v>4.4708180941373339</v>
      </c>
      <c r="W223" s="140">
        <f>2*U223-V223</f>
        <v>4.5291819058626661</v>
      </c>
      <c r="X223" s="126"/>
      <c r="Y223" s="126"/>
      <c r="Z223" s="171"/>
      <c r="AA223" s="171"/>
      <c r="AB223" s="516" t="str">
        <f t="shared" si="15"/>
        <v/>
      </c>
      <c r="AC223" s="456" t="str">
        <f t="shared" si="34"/>
        <v/>
      </c>
      <c r="AD223" s="476">
        <f>AD219</f>
        <v>4.5000000000015836</v>
      </c>
      <c r="AE223" s="505">
        <f>AD223-AH217*SQRT($AE$182+$AD$47/COUNT(C228:C237))</f>
        <v>4.4686340743479898</v>
      </c>
      <c r="AF223" s="477">
        <f>AD223*2-AE223</f>
        <v>4.5313659256551775</v>
      </c>
      <c r="AG223" s="482">
        <f>AD31+2*AD32*AD225+3*AD33*AD225^2</f>
        <v>1.6495688909063013</v>
      </c>
      <c r="AH223" s="125"/>
      <c r="AI223" s="125"/>
      <c r="AJ223" s="125"/>
      <c r="AK223" s="125"/>
      <c r="AL223" s="456">
        <f t="shared" si="16"/>
        <v>2432.2567079708033</v>
      </c>
      <c r="AM223" s="456">
        <f t="shared" si="17"/>
        <v>24547.447478139802</v>
      </c>
      <c r="AN223" s="456">
        <f t="shared" si="18"/>
        <v>4776.5067027624309</v>
      </c>
      <c r="AO223" s="456">
        <f t="shared" si="35"/>
        <v>-1947410.1170115166</v>
      </c>
      <c r="AP223" s="456">
        <f t="shared" si="36"/>
        <v>1045948881.7012216</v>
      </c>
      <c r="AQ223" s="456">
        <f t="shared" si="37"/>
        <v>1611.3804090536853</v>
      </c>
      <c r="AR223" s="456">
        <f t="shared" si="38"/>
        <v>1.043708858152663</v>
      </c>
      <c r="AS223" s="456">
        <f t="shared" si="39"/>
        <v>-0.19848587667399897</v>
      </c>
      <c r="AT223" s="456">
        <f t="shared" si="19"/>
        <v>-2422.1228390152146</v>
      </c>
      <c r="AU223" s="456">
        <f t="shared" si="40"/>
        <v>-9.935383078915379</v>
      </c>
      <c r="AV223" s="456">
        <f t="shared" si="41"/>
        <v>999999</v>
      </c>
      <c r="AW223" s="456">
        <f t="shared" si="42"/>
        <v>999999</v>
      </c>
      <c r="AX223" s="456">
        <f t="shared" si="43"/>
        <v>999999</v>
      </c>
      <c r="AY223" s="509">
        <f t="shared" si="44"/>
        <v>999999</v>
      </c>
      <c r="AZ223" s="456">
        <f t="shared" si="45"/>
        <v>-29961301306944</v>
      </c>
      <c r="BA223" s="456" t="e">
        <f t="shared" si="46"/>
        <v>#NUM!</v>
      </c>
      <c r="BB223" s="456" t="e">
        <f t="shared" si="47"/>
        <v>#NUM!</v>
      </c>
      <c r="BC223" s="456" t="e">
        <f t="shared" si="48"/>
        <v>#NUM!</v>
      </c>
      <c r="BD223" s="125"/>
      <c r="BE223" s="656" t="str">
        <f t="shared" si="20"/>
        <v/>
      </c>
      <c r="BF223" s="655" t="str">
        <f t="shared" si="49"/>
        <v/>
      </c>
      <c r="BG223" s="661">
        <f>BG219</f>
        <v>4.4999999999999938</v>
      </c>
      <c r="BH223" s="652">
        <f>BG223-BK217*SQRT(BH182+BG47/COUNT(C228:C237))</f>
        <v>4.4767967937898288</v>
      </c>
      <c r="BI223" s="653">
        <f>BG223*2-BH223</f>
        <v>4.5232032062101588</v>
      </c>
      <c r="BJ223" s="139">
        <f>BI27+2*BI28*BG225+3*BI29*BG225^2</f>
        <v>1.6115814668358657</v>
      </c>
      <c r="BK223" s="238"/>
      <c r="BL223" s="238"/>
      <c r="BM223" s="238"/>
      <c r="BN223" s="238"/>
      <c r="BO223" s="238"/>
      <c r="BP223" s="238"/>
      <c r="BQ223" s="238"/>
      <c r="BR223" s="240">
        <f t="shared" si="21"/>
        <v>-17.894488448782099</v>
      </c>
      <c r="BS223" s="240">
        <f t="shared" si="22"/>
        <v>359.02403518259086</v>
      </c>
      <c r="BT223" s="240">
        <f t="shared" si="23"/>
        <v>2397.5035457707181</v>
      </c>
      <c r="BU223" s="240">
        <f t="shared" si="24"/>
        <v>569.54805983040126</v>
      </c>
      <c r="BV223" s="240">
        <f t="shared" si="50"/>
        <v>-359.02403518259086</v>
      </c>
      <c r="BW223" s="240">
        <f t="shared" si="51"/>
        <v>-45180.291745029848</v>
      </c>
      <c r="BX223" s="240">
        <f t="shared" si="52"/>
        <v>-5112474.0129115526</v>
      </c>
      <c r="BY223" s="240">
        <f t="shared" si="53"/>
        <v>-88146.377691293252</v>
      </c>
      <c r="BZ223" s="240">
        <f t="shared" si="54"/>
        <v>-13947379.242238322</v>
      </c>
      <c r="CA223" s="240">
        <f t="shared" si="55"/>
        <v>23266483737719.844</v>
      </c>
      <c r="CB223" s="240">
        <f t="shared" si="56"/>
        <v>342.82430425567992</v>
      </c>
      <c r="CC223" s="240" t="e">
        <f t="shared" si="57"/>
        <v>#NUM!</v>
      </c>
      <c r="CD223" s="240" t="e">
        <f t="shared" si="58"/>
        <v>#NUM!</v>
      </c>
      <c r="CE223" s="240" t="e">
        <f t="shared" si="59"/>
        <v>#NUM!</v>
      </c>
      <c r="CF223" s="240" t="e">
        <f t="shared" si="60"/>
        <v>#NUM!</v>
      </c>
      <c r="CG223" s="240">
        <f t="shared" si="25"/>
        <v>227.64595702626457</v>
      </c>
      <c r="CH223" s="240">
        <f t="shared" si="26"/>
        <v>129.06939477825995</v>
      </c>
      <c r="CI223" s="240">
        <f t="shared" si="61"/>
        <v>476.39003019872149</v>
      </c>
      <c r="CJ223" s="240">
        <f t="shared" si="27"/>
        <v>14.050593376332175</v>
      </c>
      <c r="CK223" s="251" t="e">
        <f t="shared" si="28"/>
        <v>#NUM!</v>
      </c>
      <c r="CL223" s="251">
        <f t="shared" si="29"/>
        <v>4.6097625608574813</v>
      </c>
      <c r="CM223" s="240" t="e">
        <f t="shared" si="30"/>
        <v>#NUM!</v>
      </c>
      <c r="CN223" s="240" t="e">
        <f t="shared" si="31"/>
        <v>#NUM!</v>
      </c>
      <c r="CO223" s="240">
        <f t="shared" si="32"/>
        <v>-0.24679329554182239</v>
      </c>
      <c r="CP223" s="240">
        <f t="shared" si="33"/>
        <v>-4.8565558563993037</v>
      </c>
      <c r="CQ223" s="240">
        <f t="shared" si="62"/>
        <v>0</v>
      </c>
      <c r="CR223" s="240">
        <f t="shared" si="63"/>
        <v>0</v>
      </c>
      <c r="CS223" s="240">
        <f t="shared" si="64"/>
        <v>0</v>
      </c>
      <c r="CT223" s="240">
        <f t="shared" si="65"/>
        <v>0</v>
      </c>
      <c r="CU223" s="240">
        <f t="shared" si="66"/>
        <v>0</v>
      </c>
      <c r="CV223" s="238"/>
      <c r="CW223" s="465"/>
    </row>
    <row r="224" spans="1:101" ht="18" customHeight="1" x14ac:dyDescent="0.25">
      <c r="B224" s="2" t="s">
        <v>333</v>
      </c>
      <c r="K224" s="218" t="str">
        <f t="shared" si="13"/>
        <v/>
      </c>
      <c r="L224" s="184"/>
      <c r="M224" s="215" t="s">
        <v>270</v>
      </c>
      <c r="N224" s="207" t="s">
        <v>259</v>
      </c>
      <c r="O224" s="208" t="s">
        <v>260</v>
      </c>
      <c r="P224" s="185"/>
      <c r="Q224" s="185"/>
      <c r="R224" s="185"/>
      <c r="S224" s="168" t="str">
        <f t="shared" si="14"/>
        <v/>
      </c>
      <c r="T224" s="127"/>
      <c r="U224" s="162" t="s">
        <v>270</v>
      </c>
      <c r="V224" s="156" t="s">
        <v>259</v>
      </c>
      <c r="W224" s="157" t="s">
        <v>260</v>
      </c>
      <c r="X224" s="126"/>
      <c r="Y224" s="126"/>
      <c r="Z224" s="171"/>
      <c r="AA224" s="171"/>
      <c r="AB224" s="516" t="str">
        <f t="shared" si="15"/>
        <v/>
      </c>
      <c r="AC224" s="456" t="str">
        <f t="shared" si="34"/>
        <v/>
      </c>
      <c r="AD224" s="518" t="s">
        <v>270</v>
      </c>
      <c r="AE224" s="499" t="s">
        <v>259</v>
      </c>
      <c r="AF224" s="500" t="s">
        <v>260</v>
      </c>
      <c r="AG224" s="125"/>
      <c r="AH224" s="125"/>
      <c r="AI224" s="125"/>
      <c r="AJ224" s="125"/>
      <c r="AK224" s="125"/>
      <c r="AL224" s="456">
        <f t="shared" si="16"/>
        <v>2432.2567079708033</v>
      </c>
      <c r="AM224" s="456">
        <f t="shared" si="17"/>
        <v>24547.447478139802</v>
      </c>
      <c r="AN224" s="456">
        <f t="shared" si="18"/>
        <v>4776.5067027624309</v>
      </c>
      <c r="AO224" s="456">
        <f t="shared" si="35"/>
        <v>-1947410.1170115166</v>
      </c>
      <c r="AP224" s="456">
        <f t="shared" si="36"/>
        <v>1045948881.7012216</v>
      </c>
      <c r="AQ224" s="456">
        <f t="shared" si="37"/>
        <v>1611.3804090536853</v>
      </c>
      <c r="AR224" s="456">
        <f t="shared" si="38"/>
        <v>1.043708858152663</v>
      </c>
      <c r="AS224" s="456">
        <f t="shared" si="39"/>
        <v>-0.19848587667399897</v>
      </c>
      <c r="AT224" s="456">
        <f t="shared" si="19"/>
        <v>-2422.1228390152146</v>
      </c>
      <c r="AU224" s="456">
        <f t="shared" si="40"/>
        <v>-9.935383078915379</v>
      </c>
      <c r="AV224" s="456">
        <f t="shared" si="41"/>
        <v>999999</v>
      </c>
      <c r="AW224" s="456">
        <f t="shared" si="42"/>
        <v>999999</v>
      </c>
      <c r="AX224" s="456">
        <f t="shared" si="43"/>
        <v>999999</v>
      </c>
      <c r="AY224" s="509">
        <f t="shared" si="44"/>
        <v>999999</v>
      </c>
      <c r="AZ224" s="456">
        <f t="shared" si="45"/>
        <v>-29961301306944</v>
      </c>
      <c r="BA224" s="456" t="e">
        <f t="shared" si="46"/>
        <v>#NUM!</v>
      </c>
      <c r="BB224" s="456" t="e">
        <f t="shared" si="47"/>
        <v>#NUM!</v>
      </c>
      <c r="BC224" s="456" t="e">
        <f t="shared" si="48"/>
        <v>#NUM!</v>
      </c>
      <c r="BD224" s="125"/>
      <c r="BE224" s="656" t="str">
        <f t="shared" si="20"/>
        <v/>
      </c>
      <c r="BF224" s="655" t="str">
        <f t="shared" si="49"/>
        <v/>
      </c>
      <c r="BG224" s="283" t="s">
        <v>270</v>
      </c>
      <c r="BH224" s="262" t="s">
        <v>259</v>
      </c>
      <c r="BI224" s="263" t="s">
        <v>260</v>
      </c>
      <c r="BJ224" s="238"/>
      <c r="BK224" s="238"/>
      <c r="BL224" s="238"/>
      <c r="BM224" s="238"/>
      <c r="BN224" s="238"/>
      <c r="BO224" s="238"/>
      <c r="BP224" s="238"/>
      <c r="BQ224" s="238"/>
      <c r="BR224" s="240">
        <f t="shared" si="21"/>
        <v>-17.894488448782099</v>
      </c>
      <c r="BS224" s="240">
        <f t="shared" si="22"/>
        <v>359.02403518259086</v>
      </c>
      <c r="BT224" s="240">
        <f t="shared" si="23"/>
        <v>2397.5035457707181</v>
      </c>
      <c r="BU224" s="240">
        <f t="shared" si="24"/>
        <v>569.54805983040126</v>
      </c>
      <c r="BV224" s="240">
        <f t="shared" si="50"/>
        <v>-359.02403518259086</v>
      </c>
      <c r="BW224" s="240">
        <f t="shared" si="51"/>
        <v>-45180.291745029848</v>
      </c>
      <c r="BX224" s="240">
        <f t="shared" si="52"/>
        <v>-5112474.0129115526</v>
      </c>
      <c r="BY224" s="240">
        <f t="shared" si="53"/>
        <v>-88146.377691293252</v>
      </c>
      <c r="BZ224" s="240">
        <f t="shared" si="54"/>
        <v>-13947379.242238322</v>
      </c>
      <c r="CA224" s="240">
        <f t="shared" si="55"/>
        <v>23266483737719.844</v>
      </c>
      <c r="CB224" s="240">
        <f t="shared" si="56"/>
        <v>342.82430425567992</v>
      </c>
      <c r="CC224" s="240" t="e">
        <f t="shared" si="57"/>
        <v>#NUM!</v>
      </c>
      <c r="CD224" s="240" t="e">
        <f t="shared" si="58"/>
        <v>#NUM!</v>
      </c>
      <c r="CE224" s="240" t="e">
        <f t="shared" si="59"/>
        <v>#NUM!</v>
      </c>
      <c r="CF224" s="240" t="e">
        <f t="shared" si="60"/>
        <v>#NUM!</v>
      </c>
      <c r="CG224" s="240">
        <f t="shared" si="25"/>
        <v>227.64595702626457</v>
      </c>
      <c r="CH224" s="240">
        <f t="shared" si="26"/>
        <v>129.06939477825995</v>
      </c>
      <c r="CI224" s="240">
        <f t="shared" si="61"/>
        <v>476.39003019872149</v>
      </c>
      <c r="CJ224" s="240">
        <f t="shared" si="27"/>
        <v>14.050593376332175</v>
      </c>
      <c r="CK224" s="251" t="e">
        <f t="shared" si="28"/>
        <v>#NUM!</v>
      </c>
      <c r="CL224" s="251">
        <f t="shared" si="29"/>
        <v>4.6097625608574813</v>
      </c>
      <c r="CM224" s="240" t="e">
        <f t="shared" si="30"/>
        <v>#NUM!</v>
      </c>
      <c r="CN224" s="240" t="e">
        <f t="shared" si="31"/>
        <v>#NUM!</v>
      </c>
      <c r="CO224" s="240">
        <f t="shared" si="32"/>
        <v>-0.24679329554182239</v>
      </c>
      <c r="CP224" s="240">
        <f t="shared" si="33"/>
        <v>-4.8565558563993037</v>
      </c>
      <c r="CQ224" s="240">
        <f t="shared" si="62"/>
        <v>0</v>
      </c>
      <c r="CR224" s="240">
        <f t="shared" si="63"/>
        <v>0</v>
      </c>
      <c r="CS224" s="240">
        <f t="shared" si="64"/>
        <v>0</v>
      </c>
      <c r="CT224" s="240">
        <f t="shared" si="65"/>
        <v>0</v>
      </c>
      <c r="CU224" s="240">
        <f t="shared" si="66"/>
        <v>0</v>
      </c>
      <c r="CV224" s="238"/>
      <c r="CW224" s="465"/>
    </row>
    <row r="225" spans="2:101" ht="18" customHeight="1" x14ac:dyDescent="0.25">
      <c r="K225" s="218" t="str">
        <f t="shared" si="13"/>
        <v/>
      </c>
      <c r="L225" s="184"/>
      <c r="M225" s="209">
        <f>K182</f>
        <v>2.9348750084464941</v>
      </c>
      <c r="N225" s="210">
        <f>(N223-$K$27)/$K$28</f>
        <v>2.4630778138679008</v>
      </c>
      <c r="O225" s="211">
        <f>(O223-$K$27)/$K$28</f>
        <v>3.4066722030250878</v>
      </c>
      <c r="P225" s="185"/>
      <c r="Q225" s="185"/>
      <c r="R225" s="185"/>
      <c r="S225" s="168" t="str">
        <f t="shared" si="14"/>
        <v/>
      </c>
      <c r="T225" s="127"/>
      <c r="U225" s="137">
        <f>S182</f>
        <v>3.2466476357265583</v>
      </c>
      <c r="V225" s="138">
        <f>(-$U$31+SQRT($U$31^2-4*$U$32*($U$30-V223)))/(2*$U$32)</f>
        <v>3.2289426411486799</v>
      </c>
      <c r="W225" s="140">
        <f>2*U225-V225</f>
        <v>3.2643526303044368</v>
      </c>
      <c r="X225" s="126"/>
      <c r="Y225" s="126"/>
      <c r="Z225" s="171"/>
      <c r="AA225" s="171"/>
      <c r="AB225" s="516" t="str">
        <f t="shared" si="15"/>
        <v/>
      </c>
      <c r="AC225" s="456" t="str">
        <f t="shared" si="34"/>
        <v/>
      </c>
      <c r="AD225" s="476">
        <f>AB183</f>
        <v>3.2462788434650065</v>
      </c>
      <c r="AE225" s="488">
        <f>AD225+(AE223-AD223)/AG223</f>
        <v>3.2272642234473117</v>
      </c>
      <c r="AF225" s="477">
        <f>AD225+(AF223-AD223)/AG223</f>
        <v>3.2652934634827013</v>
      </c>
      <c r="AG225" s="125"/>
      <c r="AH225" s="125"/>
      <c r="AI225" s="125"/>
      <c r="AJ225" s="125"/>
      <c r="AK225" s="125"/>
      <c r="AL225" s="456">
        <f t="shared" si="16"/>
        <v>2432.2567079708033</v>
      </c>
      <c r="AM225" s="456">
        <f t="shared" si="17"/>
        <v>24547.447478139802</v>
      </c>
      <c r="AN225" s="456">
        <f t="shared" si="18"/>
        <v>4776.5067027624309</v>
      </c>
      <c r="AO225" s="456">
        <f t="shared" si="35"/>
        <v>-1947410.1170115166</v>
      </c>
      <c r="AP225" s="456">
        <f t="shared" si="36"/>
        <v>1045948881.7012216</v>
      </c>
      <c r="AQ225" s="456">
        <f t="shared" si="37"/>
        <v>1611.3804090536853</v>
      </c>
      <c r="AR225" s="456">
        <f t="shared" si="38"/>
        <v>1.043708858152663</v>
      </c>
      <c r="AS225" s="456">
        <f t="shared" si="39"/>
        <v>-0.19848587667399897</v>
      </c>
      <c r="AT225" s="456">
        <f t="shared" si="19"/>
        <v>-2422.1228390152146</v>
      </c>
      <c r="AU225" s="456">
        <f t="shared" si="40"/>
        <v>-9.935383078915379</v>
      </c>
      <c r="AV225" s="456">
        <f t="shared" si="41"/>
        <v>999999</v>
      </c>
      <c r="AW225" s="456">
        <f t="shared" si="42"/>
        <v>999999</v>
      </c>
      <c r="AX225" s="456">
        <f t="shared" si="43"/>
        <v>999999</v>
      </c>
      <c r="AY225" s="509">
        <f t="shared" si="44"/>
        <v>999999</v>
      </c>
      <c r="AZ225" s="456">
        <f t="shared" si="45"/>
        <v>-29961301306944</v>
      </c>
      <c r="BA225" s="456" t="e">
        <f t="shared" si="46"/>
        <v>#NUM!</v>
      </c>
      <c r="BB225" s="456" t="e">
        <f t="shared" si="47"/>
        <v>#NUM!</v>
      </c>
      <c r="BC225" s="456" t="e">
        <f t="shared" si="48"/>
        <v>#NUM!</v>
      </c>
      <c r="BD225" s="125"/>
      <c r="BE225" s="656" t="str">
        <f t="shared" si="20"/>
        <v/>
      </c>
      <c r="BF225" s="655" t="str">
        <f t="shared" si="49"/>
        <v/>
      </c>
      <c r="BG225" s="662">
        <f>BE183</f>
        <v>3.2428205602423184</v>
      </c>
      <c r="BH225" s="663">
        <f>BG225+(BH223-BG223)/BJ223</f>
        <v>3.2284227735417046</v>
      </c>
      <c r="BI225" s="660">
        <f>BG225+(BI223-BG223)/BJ223</f>
        <v>3.2572183469429321</v>
      </c>
      <c r="BJ225" s="238"/>
      <c r="BK225" s="238"/>
      <c r="BL225" s="238"/>
      <c r="BM225" s="238"/>
      <c r="BN225" s="238"/>
      <c r="BO225" s="238"/>
      <c r="BP225" s="238"/>
      <c r="BQ225" s="238"/>
      <c r="BR225" s="240">
        <f t="shared" si="21"/>
        <v>-17.894488448782099</v>
      </c>
      <c r="BS225" s="240">
        <f t="shared" si="22"/>
        <v>359.02403518259086</v>
      </c>
      <c r="BT225" s="240">
        <f t="shared" si="23"/>
        <v>2397.5035457707181</v>
      </c>
      <c r="BU225" s="240">
        <f t="shared" si="24"/>
        <v>569.54805983040126</v>
      </c>
      <c r="BV225" s="240">
        <f t="shared" si="50"/>
        <v>-359.02403518259086</v>
      </c>
      <c r="BW225" s="240">
        <f t="shared" si="51"/>
        <v>-45180.291745029848</v>
      </c>
      <c r="BX225" s="240">
        <f t="shared" si="52"/>
        <v>-5112474.0129115526</v>
      </c>
      <c r="BY225" s="240">
        <f t="shared" si="53"/>
        <v>-88146.377691293252</v>
      </c>
      <c r="BZ225" s="240">
        <f t="shared" si="54"/>
        <v>-13947379.242238322</v>
      </c>
      <c r="CA225" s="240">
        <f t="shared" si="55"/>
        <v>23266483737719.844</v>
      </c>
      <c r="CB225" s="240">
        <f t="shared" si="56"/>
        <v>342.82430425567992</v>
      </c>
      <c r="CC225" s="240" t="e">
        <f t="shared" si="57"/>
        <v>#NUM!</v>
      </c>
      <c r="CD225" s="240" t="e">
        <f t="shared" si="58"/>
        <v>#NUM!</v>
      </c>
      <c r="CE225" s="240" t="e">
        <f t="shared" si="59"/>
        <v>#NUM!</v>
      </c>
      <c r="CF225" s="240" t="e">
        <f t="shared" si="60"/>
        <v>#NUM!</v>
      </c>
      <c r="CG225" s="240">
        <f t="shared" si="25"/>
        <v>227.64595702626457</v>
      </c>
      <c r="CH225" s="240">
        <f t="shared" si="26"/>
        <v>129.06939477825995</v>
      </c>
      <c r="CI225" s="240">
        <f t="shared" si="61"/>
        <v>476.39003019872149</v>
      </c>
      <c r="CJ225" s="240">
        <f t="shared" si="27"/>
        <v>14.050593376332175</v>
      </c>
      <c r="CK225" s="251" t="e">
        <f t="shared" si="28"/>
        <v>#NUM!</v>
      </c>
      <c r="CL225" s="251">
        <f t="shared" si="29"/>
        <v>4.6097625608574813</v>
      </c>
      <c r="CM225" s="240" t="e">
        <f t="shared" si="30"/>
        <v>#NUM!</v>
      </c>
      <c r="CN225" s="240" t="e">
        <f t="shared" si="31"/>
        <v>#NUM!</v>
      </c>
      <c r="CO225" s="240">
        <f t="shared" si="32"/>
        <v>-0.24679329554182239</v>
      </c>
      <c r="CP225" s="240">
        <f t="shared" si="33"/>
        <v>-4.8565558563993037</v>
      </c>
      <c r="CQ225" s="240">
        <f t="shared" si="62"/>
        <v>0</v>
      </c>
      <c r="CR225" s="240">
        <f t="shared" si="63"/>
        <v>0</v>
      </c>
      <c r="CS225" s="240">
        <f t="shared" si="64"/>
        <v>0</v>
      </c>
      <c r="CT225" s="240">
        <f t="shared" si="65"/>
        <v>0</v>
      </c>
      <c r="CU225" s="240">
        <f t="shared" si="66"/>
        <v>0</v>
      </c>
      <c r="CV225" s="238"/>
      <c r="CW225" s="465"/>
    </row>
    <row r="226" spans="2:101" ht="18" customHeight="1" thickBot="1" x14ac:dyDescent="0.3">
      <c r="B226" s="42" t="s">
        <v>334</v>
      </c>
      <c r="D226" s="42" t="s">
        <v>335</v>
      </c>
      <c r="K226" s="219" t="str">
        <f t="shared" si="13"/>
        <v/>
      </c>
      <c r="L226" s="184"/>
      <c r="M226" s="190"/>
      <c r="N226" s="216">
        <f>(N225-M225)/M225</f>
        <v>-0.16075546427727694</v>
      </c>
      <c r="O226" s="191">
        <f>(O225-M225)/M225</f>
        <v>0.1607554642772771</v>
      </c>
      <c r="P226" s="185"/>
      <c r="Q226" s="185"/>
      <c r="R226" s="185"/>
      <c r="S226" s="172" t="str">
        <f t="shared" si="14"/>
        <v/>
      </c>
      <c r="T226" s="127"/>
      <c r="U226" s="141"/>
      <c r="V226" s="142">
        <f>(V225-U225)/U225</f>
        <v>-5.4533157165102359E-3</v>
      </c>
      <c r="W226" s="143">
        <f>(W225-U225)/U225</f>
        <v>5.4533157165102359E-3</v>
      </c>
      <c r="X226" s="126"/>
      <c r="Y226" s="126"/>
      <c r="Z226" s="171"/>
      <c r="AA226" s="171"/>
      <c r="AB226" s="519" t="str">
        <f t="shared" si="15"/>
        <v/>
      </c>
      <c r="AC226" s="456" t="str">
        <f t="shared" si="34"/>
        <v/>
      </c>
      <c r="AD226" s="479"/>
      <c r="AE226" s="480">
        <f>(AE225-AD225)/AD225</f>
        <v>-5.8573588205377454E-3</v>
      </c>
      <c r="AF226" s="481">
        <f>(AF225-AD225)/AD225</f>
        <v>5.8573588205377454E-3</v>
      </c>
      <c r="AG226" s="125"/>
      <c r="AH226" s="125"/>
      <c r="AI226" s="125"/>
      <c r="AJ226" s="125"/>
      <c r="AK226" s="125"/>
      <c r="AL226" s="456">
        <f t="shared" si="16"/>
        <v>2432.2567079708033</v>
      </c>
      <c r="AM226" s="456">
        <f t="shared" si="17"/>
        <v>24547.447478139802</v>
      </c>
      <c r="AN226" s="456">
        <f t="shared" si="18"/>
        <v>4776.5067027624309</v>
      </c>
      <c r="AO226" s="456">
        <f t="shared" si="35"/>
        <v>-1947410.1170115166</v>
      </c>
      <c r="AP226" s="456">
        <f t="shared" si="36"/>
        <v>1045948881.7012216</v>
      </c>
      <c r="AQ226" s="456">
        <f t="shared" si="37"/>
        <v>1611.3804090536853</v>
      </c>
      <c r="AR226" s="456">
        <f t="shared" si="38"/>
        <v>1.043708858152663</v>
      </c>
      <c r="AS226" s="456">
        <f t="shared" si="39"/>
        <v>-0.19848587667399897</v>
      </c>
      <c r="AT226" s="456">
        <f t="shared" si="19"/>
        <v>-2422.1228390152146</v>
      </c>
      <c r="AU226" s="456">
        <f t="shared" si="40"/>
        <v>-9.935383078915379</v>
      </c>
      <c r="AV226" s="456">
        <f t="shared" si="41"/>
        <v>999999</v>
      </c>
      <c r="AW226" s="456">
        <f t="shared" si="42"/>
        <v>999999</v>
      </c>
      <c r="AX226" s="456">
        <f t="shared" si="43"/>
        <v>999999</v>
      </c>
      <c r="AY226" s="509">
        <f t="shared" si="44"/>
        <v>999999</v>
      </c>
      <c r="AZ226" s="456">
        <f t="shared" si="45"/>
        <v>-29961301306944</v>
      </c>
      <c r="BA226" s="456" t="e">
        <f t="shared" si="46"/>
        <v>#NUM!</v>
      </c>
      <c r="BB226" s="456" t="e">
        <f t="shared" si="47"/>
        <v>#NUM!</v>
      </c>
      <c r="BC226" s="456" t="e">
        <f t="shared" si="48"/>
        <v>#NUM!</v>
      </c>
      <c r="BD226" s="125"/>
      <c r="BE226" s="657" t="str">
        <f t="shared" si="20"/>
        <v/>
      </c>
      <c r="BF226" s="655" t="str">
        <f t="shared" si="49"/>
        <v/>
      </c>
      <c r="BG226" s="273"/>
      <c r="BH226" s="274">
        <f>(BH225-BG225)/BG225</f>
        <v>-4.4398962055235917E-3</v>
      </c>
      <c r="BI226" s="275">
        <f>(BI225-BG225)/BG225</f>
        <v>4.4398962055235917E-3</v>
      </c>
      <c r="BJ226" s="238"/>
      <c r="BK226" s="238"/>
      <c r="BL226" s="238"/>
      <c r="BM226" s="238"/>
      <c r="BN226" s="238"/>
      <c r="BO226" s="238"/>
      <c r="BP226" s="238"/>
      <c r="BQ226" s="238"/>
      <c r="BR226" s="240">
        <f t="shared" si="21"/>
        <v>-17.894488448782099</v>
      </c>
      <c r="BS226" s="240">
        <f t="shared" si="22"/>
        <v>359.02403518259086</v>
      </c>
      <c r="BT226" s="240">
        <f t="shared" si="23"/>
        <v>2397.5035457707181</v>
      </c>
      <c r="BU226" s="240">
        <f t="shared" si="24"/>
        <v>569.54805983040126</v>
      </c>
      <c r="BV226" s="240">
        <f t="shared" si="50"/>
        <v>-359.02403518259086</v>
      </c>
      <c r="BW226" s="240">
        <f t="shared" si="51"/>
        <v>-45180.291745029848</v>
      </c>
      <c r="BX226" s="240">
        <f t="shared" si="52"/>
        <v>-5112474.0129115526</v>
      </c>
      <c r="BY226" s="240">
        <f t="shared" si="53"/>
        <v>-88146.377691293252</v>
      </c>
      <c r="BZ226" s="240">
        <f t="shared" si="54"/>
        <v>-13947379.242238322</v>
      </c>
      <c r="CA226" s="240">
        <f t="shared" si="55"/>
        <v>23266483737719.844</v>
      </c>
      <c r="CB226" s="240">
        <f t="shared" si="56"/>
        <v>342.82430425567992</v>
      </c>
      <c r="CC226" s="240" t="e">
        <f t="shared" si="57"/>
        <v>#NUM!</v>
      </c>
      <c r="CD226" s="240" t="e">
        <f t="shared" si="58"/>
        <v>#NUM!</v>
      </c>
      <c r="CE226" s="240" t="e">
        <f t="shared" si="59"/>
        <v>#NUM!</v>
      </c>
      <c r="CF226" s="240" t="e">
        <f t="shared" si="60"/>
        <v>#NUM!</v>
      </c>
      <c r="CG226" s="240">
        <f t="shared" si="25"/>
        <v>227.64595702626457</v>
      </c>
      <c r="CH226" s="240">
        <f t="shared" si="26"/>
        <v>129.06939477825995</v>
      </c>
      <c r="CI226" s="240">
        <f t="shared" si="61"/>
        <v>476.39003019872149</v>
      </c>
      <c r="CJ226" s="240">
        <f t="shared" si="27"/>
        <v>14.050593376332175</v>
      </c>
      <c r="CK226" s="251" t="e">
        <f t="shared" si="28"/>
        <v>#NUM!</v>
      </c>
      <c r="CL226" s="251">
        <f t="shared" si="29"/>
        <v>4.6097625608574813</v>
      </c>
      <c r="CM226" s="240" t="e">
        <f t="shared" si="30"/>
        <v>#NUM!</v>
      </c>
      <c r="CN226" s="240" t="e">
        <f t="shared" si="31"/>
        <v>#NUM!</v>
      </c>
      <c r="CO226" s="240">
        <f t="shared" si="32"/>
        <v>-0.24679329554182239</v>
      </c>
      <c r="CP226" s="240">
        <f t="shared" si="33"/>
        <v>-4.8565558563993037</v>
      </c>
      <c r="CQ226" s="240">
        <f t="shared" si="62"/>
        <v>0</v>
      </c>
      <c r="CR226" s="240">
        <f t="shared" si="63"/>
        <v>0</v>
      </c>
      <c r="CS226" s="240">
        <f t="shared" si="64"/>
        <v>0</v>
      </c>
      <c r="CT226" s="240">
        <f t="shared" si="65"/>
        <v>0</v>
      </c>
      <c r="CU226" s="240">
        <f t="shared" si="66"/>
        <v>0</v>
      </c>
      <c r="CV226" s="238"/>
      <c r="CW226" s="465"/>
    </row>
    <row r="227" spans="2:101" ht="18" customHeight="1" thickTop="1" thickBot="1" x14ac:dyDescent="0.25">
      <c r="B227" s="43" t="s">
        <v>336</v>
      </c>
      <c r="C227" s="38" t="s">
        <v>318</v>
      </c>
      <c r="D227" s="43" t="s">
        <v>270</v>
      </c>
      <c r="K227" s="220" t="s">
        <v>322</v>
      </c>
      <c r="L227" s="187">
        <f>AVERAGE(K217:K226)</f>
        <v>2.9348750084464945</v>
      </c>
      <c r="M227" s="184"/>
      <c r="N227" s="185"/>
      <c r="O227" s="185"/>
      <c r="P227" s="185"/>
      <c r="Q227" s="185"/>
      <c r="R227" s="185"/>
      <c r="S227" s="173" t="s">
        <v>322</v>
      </c>
      <c r="T227" s="129">
        <f>AVERAGE(S217:S226)</f>
        <v>3.2466476208953856</v>
      </c>
      <c r="U227" s="127"/>
      <c r="V227" s="127"/>
      <c r="W227" s="127"/>
      <c r="X227" s="126"/>
      <c r="Y227" s="126"/>
      <c r="Z227" s="126"/>
      <c r="AA227" s="126"/>
      <c r="AB227" s="510" t="s">
        <v>322</v>
      </c>
      <c r="AC227" s="456">
        <f>AVERAGE(AB217:AB226)</f>
        <v>3.2462788286450177</v>
      </c>
      <c r="AD227" s="469"/>
      <c r="AE227" s="469"/>
      <c r="AF227" s="469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280" t="s">
        <v>322</v>
      </c>
      <c r="BF227" s="655">
        <f>AVERAGE(BE217:BE226)</f>
        <v>3.2428205463541158</v>
      </c>
      <c r="BG227" s="239"/>
      <c r="BH227" s="239"/>
      <c r="BI227" s="239"/>
      <c r="BJ227" s="238"/>
      <c r="BK227" s="238"/>
      <c r="BL227" s="238"/>
      <c r="BM227" s="238"/>
      <c r="BN227" s="238"/>
      <c r="BO227" s="238"/>
      <c r="BP227" s="238"/>
      <c r="BQ227" s="238"/>
      <c r="BR227" s="238"/>
      <c r="BS227" s="238"/>
      <c r="BT227" s="238"/>
      <c r="BU227" s="238"/>
      <c r="BV227" s="238"/>
      <c r="BW227" s="238"/>
      <c r="BX227" s="238"/>
      <c r="BY227" s="238"/>
      <c r="BZ227" s="238"/>
      <c r="CA227" s="238"/>
      <c r="CB227" s="238"/>
      <c r="CC227" s="238"/>
      <c r="CD227" s="238"/>
      <c r="CE227" s="238"/>
      <c r="CF227" s="238"/>
      <c r="CG227" s="238"/>
      <c r="CH227" s="238"/>
      <c r="CI227" s="238"/>
      <c r="CJ227" s="238"/>
      <c r="CK227" s="238"/>
      <c r="CL227" s="238"/>
      <c r="CM227" s="238"/>
      <c r="CN227" s="238"/>
      <c r="CO227" s="238"/>
      <c r="CP227" s="238"/>
      <c r="CQ227" s="238"/>
      <c r="CR227" s="238"/>
      <c r="CS227" s="238"/>
      <c r="CT227" s="238"/>
      <c r="CU227" s="238"/>
      <c r="CV227" s="238"/>
      <c r="CW227" s="465"/>
    </row>
    <row r="228" spans="2:101" ht="18" customHeight="1" thickTop="1" x14ac:dyDescent="0.2">
      <c r="B228" s="42">
        <v>1</v>
      </c>
      <c r="C228" s="608">
        <v>4.5</v>
      </c>
      <c r="D228" s="647">
        <f t="shared" ref="D228:D237" si="67">IF(p="Q",S217,K217)</f>
        <v>3.2466476357265583</v>
      </c>
      <c r="F228" s="2" t="s">
        <v>337</v>
      </c>
      <c r="K228" s="220" t="s">
        <v>338</v>
      </c>
      <c r="L228" s="187">
        <f>STDEV(K217:K226)</f>
        <v>5.261752817256049E-4</v>
      </c>
      <c r="M228" s="184"/>
      <c r="N228" s="185"/>
      <c r="O228" s="185"/>
      <c r="P228" s="185"/>
      <c r="Q228" s="185"/>
      <c r="R228" s="185"/>
      <c r="S228" s="173" t="s">
        <v>338</v>
      </c>
      <c r="T228" s="129">
        <f>STDEV(S217:S226)</f>
        <v>6.0606079125701288E-4</v>
      </c>
      <c r="U228" s="127"/>
      <c r="V228" s="127"/>
      <c r="W228" s="127"/>
      <c r="X228" s="126"/>
      <c r="Y228" s="126"/>
      <c r="Z228" s="126"/>
      <c r="AA228" s="126"/>
      <c r="AB228" s="510" t="s">
        <v>338</v>
      </c>
      <c r="AC228" s="456">
        <f>STDEV(AB217:AB226)</f>
        <v>6.062190045889853E-4</v>
      </c>
      <c r="AD228" s="469"/>
      <c r="AE228" s="469"/>
      <c r="AF228" s="469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280" t="s">
        <v>338</v>
      </c>
      <c r="BF228" s="240">
        <f>STDEV(BE217:BE226)</f>
        <v>6.0081503474278069E-4</v>
      </c>
      <c r="BG228" s="239"/>
      <c r="BH228" s="239"/>
      <c r="BI228" s="239"/>
      <c r="BJ228" s="238"/>
      <c r="BK228" s="238"/>
      <c r="BL228" s="238"/>
      <c r="BM228" s="238"/>
      <c r="BN228" s="238"/>
      <c r="BO228" s="238"/>
      <c r="BP228" s="238"/>
      <c r="BQ228" s="238"/>
      <c r="BR228" s="238"/>
      <c r="BS228" s="238"/>
      <c r="BT228" s="238"/>
      <c r="BU228" s="238"/>
      <c r="BV228" s="238"/>
      <c r="BW228" s="238"/>
      <c r="BX228" s="238"/>
      <c r="BY228" s="238"/>
      <c r="BZ228" s="238"/>
      <c r="CA228" s="238"/>
      <c r="CB228" s="238"/>
      <c r="CC228" s="238"/>
      <c r="CD228" s="238"/>
      <c r="CE228" s="238"/>
      <c r="CF228" s="238"/>
      <c r="CG228" s="238"/>
      <c r="CH228" s="238"/>
      <c r="CI228" s="238"/>
      <c r="CJ228" s="238"/>
      <c r="CK228" s="238"/>
      <c r="CL228" s="238"/>
      <c r="CM228" s="238"/>
      <c r="CN228" s="238"/>
      <c r="CO228" s="238"/>
      <c r="CP228" s="238"/>
      <c r="CQ228" s="238"/>
      <c r="CR228" s="238"/>
      <c r="CS228" s="238"/>
      <c r="CT228" s="238"/>
      <c r="CU228" s="238"/>
      <c r="CV228" s="238"/>
      <c r="CW228" s="465"/>
    </row>
    <row r="229" spans="2:101" ht="18" customHeight="1" x14ac:dyDescent="0.2">
      <c r="B229" s="45">
        <v>2</v>
      </c>
      <c r="C229" s="608">
        <v>4.5010000000000003</v>
      </c>
      <c r="D229" s="644">
        <f t="shared" si="67"/>
        <v>3.2472536742709202</v>
      </c>
      <c r="F229" s="1" t="s">
        <v>339</v>
      </c>
      <c r="K229" s="220" t="s">
        <v>202</v>
      </c>
      <c r="L229" s="187">
        <f>COUNT(K217:K226)-1</f>
        <v>2</v>
      </c>
      <c r="M229" s="184"/>
      <c r="N229" s="185"/>
      <c r="O229" s="185"/>
      <c r="P229" s="185"/>
      <c r="Q229" s="185"/>
      <c r="R229" s="185"/>
      <c r="S229" s="173" t="s">
        <v>202</v>
      </c>
      <c r="T229" s="129">
        <f>COUNT(S217:S226)-1</f>
        <v>2</v>
      </c>
      <c r="U229" s="127"/>
      <c r="V229" s="127"/>
      <c r="W229" s="127"/>
      <c r="X229" s="126"/>
      <c r="Y229" s="126"/>
      <c r="Z229" s="126"/>
      <c r="AA229" s="126"/>
      <c r="AB229" s="510" t="s">
        <v>202</v>
      </c>
      <c r="AC229" s="456">
        <f>COUNT(AB217:AB226)-1</f>
        <v>2</v>
      </c>
      <c r="AD229" s="469"/>
      <c r="AE229" s="469"/>
      <c r="AF229" s="469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280" t="s">
        <v>202</v>
      </c>
      <c r="BF229" s="240">
        <f>COUNT(BE217:BE226)-1</f>
        <v>2</v>
      </c>
      <c r="BG229" s="239"/>
      <c r="BH229" s="239"/>
      <c r="BI229" s="239"/>
      <c r="BJ229" s="238"/>
      <c r="BK229" s="238"/>
      <c r="BL229" s="238"/>
      <c r="BM229" s="238"/>
      <c r="BN229" s="238"/>
      <c r="BO229" s="238"/>
      <c r="BP229" s="238"/>
      <c r="BQ229" s="238"/>
      <c r="BR229" s="238"/>
      <c r="BS229" s="238"/>
      <c r="BT229" s="238"/>
      <c r="BU229" s="238"/>
      <c r="BV229" s="238"/>
      <c r="BW229" s="238"/>
      <c r="BX229" s="238"/>
      <c r="BY229" s="238"/>
      <c r="BZ229" s="238"/>
      <c r="CA229" s="238"/>
      <c r="CB229" s="238"/>
      <c r="CC229" s="238"/>
      <c r="CD229" s="238"/>
      <c r="CE229" s="238"/>
      <c r="CF229" s="238"/>
      <c r="CG229" s="238"/>
      <c r="CH229" s="238"/>
      <c r="CI229" s="238"/>
      <c r="CJ229" s="238"/>
      <c r="CK229" s="238"/>
      <c r="CL229" s="238"/>
      <c r="CM229" s="238"/>
      <c r="CN229" s="238"/>
      <c r="CO229" s="238"/>
      <c r="CP229" s="238"/>
      <c r="CQ229" s="238"/>
      <c r="CR229" s="238"/>
      <c r="CS229" s="238"/>
      <c r="CT229" s="238"/>
      <c r="CU229" s="238"/>
      <c r="CV229" s="238"/>
      <c r="CW229" s="465"/>
    </row>
    <row r="230" spans="2:101" ht="18" customHeight="1" x14ac:dyDescent="0.2">
      <c r="B230" s="45">
        <v>3</v>
      </c>
      <c r="C230" s="608">
        <v>4.4989999999999997</v>
      </c>
      <c r="D230" s="644">
        <f t="shared" si="67"/>
        <v>3.2460415526886783</v>
      </c>
      <c r="F230" s="2" t="s">
        <v>340</v>
      </c>
      <c r="K230" s="220" t="s">
        <v>245</v>
      </c>
      <c r="L230" s="187">
        <f>L228^2/K49</f>
        <v>5.553200060630751E-7</v>
      </c>
      <c r="M230" s="184"/>
      <c r="N230" s="185"/>
      <c r="O230" s="185"/>
      <c r="P230" s="185"/>
      <c r="Q230" s="185"/>
      <c r="R230" s="185"/>
      <c r="S230" s="173" t="s">
        <v>245</v>
      </c>
      <c r="T230" s="129">
        <f>T228^2/U47</f>
        <v>7.5645923492995539E-4</v>
      </c>
      <c r="U230" s="127"/>
      <c r="V230" s="127"/>
      <c r="W230" s="127"/>
      <c r="X230" s="126"/>
      <c r="Y230" s="126"/>
      <c r="Z230" s="126"/>
      <c r="AA230" s="126"/>
      <c r="AB230" s="510" t="s">
        <v>245</v>
      </c>
      <c r="AC230" s="456">
        <f>AC228^2/AD47</f>
        <v>7.1028298194676957E-4</v>
      </c>
      <c r="AD230" s="469"/>
      <c r="AE230" s="469"/>
      <c r="AF230" s="469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280" t="s">
        <v>245</v>
      </c>
      <c r="BF230" s="240">
        <f>BF228^2/BG47</f>
        <v>1.3223575315919609E-3</v>
      </c>
      <c r="BG230" s="239"/>
      <c r="BH230" s="239"/>
      <c r="BI230" s="239"/>
      <c r="BJ230" s="238"/>
      <c r="BK230" s="238"/>
      <c r="BL230" s="238"/>
      <c r="BM230" s="238"/>
      <c r="BN230" s="238"/>
      <c r="BO230" s="238"/>
      <c r="BP230" s="238"/>
      <c r="BQ230" s="238"/>
      <c r="BR230" s="238"/>
      <c r="BS230" s="238"/>
      <c r="BT230" s="238"/>
      <c r="BU230" s="238"/>
      <c r="BV230" s="238"/>
      <c r="BW230" s="238"/>
      <c r="BX230" s="238"/>
      <c r="BY230" s="238"/>
      <c r="BZ230" s="238"/>
      <c r="CA230" s="238"/>
      <c r="CB230" s="238"/>
      <c r="CC230" s="238"/>
      <c r="CD230" s="238"/>
      <c r="CE230" s="238"/>
      <c r="CF230" s="238"/>
      <c r="CG230" s="238"/>
      <c r="CH230" s="238"/>
      <c r="CI230" s="238"/>
      <c r="CJ230" s="238"/>
      <c r="CK230" s="238"/>
      <c r="CL230" s="238"/>
      <c r="CM230" s="238"/>
      <c r="CN230" s="238"/>
      <c r="CO230" s="238"/>
      <c r="CP230" s="238"/>
      <c r="CQ230" s="238"/>
      <c r="CR230" s="238"/>
      <c r="CS230" s="238"/>
      <c r="CT230" s="238"/>
      <c r="CU230" s="238"/>
      <c r="CV230" s="238"/>
      <c r="CW230" s="465"/>
    </row>
    <row r="231" spans="2:101" ht="18" customHeight="1" x14ac:dyDescent="0.2">
      <c r="B231" s="45">
        <v>4</v>
      </c>
      <c r="C231" s="40"/>
      <c r="D231" s="644" t="str">
        <f t="shared" si="67"/>
        <v/>
      </c>
      <c r="F231" s="2" t="s">
        <v>341</v>
      </c>
      <c r="K231" s="221" t="s">
        <v>342</v>
      </c>
      <c r="L231" s="222" t="b">
        <f>L230&gt;FINV(0.05,L229,df)</f>
        <v>0</v>
      </c>
      <c r="M231" s="221"/>
      <c r="N231" s="185"/>
      <c r="O231" s="185"/>
      <c r="P231" s="185"/>
      <c r="Q231" s="185"/>
      <c r="R231" s="185"/>
      <c r="S231" s="174" t="s">
        <v>342</v>
      </c>
      <c r="T231" s="175" t="b">
        <f>T230&gt;FINV(0.05,T229,df-1)</f>
        <v>0</v>
      </c>
      <c r="U231" s="127"/>
      <c r="V231" s="127"/>
      <c r="W231" s="127"/>
      <c r="X231" s="126"/>
      <c r="Y231" s="126"/>
      <c r="Z231" s="126"/>
      <c r="AA231" s="126"/>
      <c r="AB231" s="520" t="s">
        <v>342</v>
      </c>
      <c r="AC231" s="521" t="b">
        <f>AC230&gt;FINV(0.05,AC229,df-2)</f>
        <v>0</v>
      </c>
      <c r="AD231" s="469"/>
      <c r="AE231" s="469"/>
      <c r="AF231" s="469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284" t="s">
        <v>342</v>
      </c>
      <c r="BF231" s="285" t="b">
        <f>BF230&gt;FINV(0.05,BF229,df-3)</f>
        <v>0</v>
      </c>
      <c r="BG231" s="239"/>
      <c r="BH231" s="239"/>
      <c r="BI231" s="239"/>
      <c r="BJ231" s="238"/>
      <c r="BK231" s="238"/>
      <c r="BL231" s="238"/>
      <c r="BM231" s="238"/>
      <c r="BN231" s="238"/>
      <c r="BO231" s="238"/>
      <c r="BP231" s="238"/>
      <c r="BQ231" s="238"/>
      <c r="BR231" s="238"/>
      <c r="BS231" s="238"/>
      <c r="BT231" s="238"/>
      <c r="BU231" s="238"/>
      <c r="BV231" s="238"/>
      <c r="BW231" s="238"/>
      <c r="BX231" s="238"/>
      <c r="BY231" s="238"/>
      <c r="BZ231" s="238"/>
      <c r="CA231" s="238"/>
      <c r="CB231" s="238"/>
      <c r="CC231" s="238"/>
      <c r="CD231" s="238"/>
      <c r="CE231" s="238"/>
      <c r="CF231" s="238"/>
      <c r="CG231" s="238"/>
      <c r="CH231" s="238"/>
      <c r="CI231" s="238"/>
      <c r="CJ231" s="238"/>
      <c r="CK231" s="238"/>
      <c r="CL231" s="238"/>
      <c r="CM231" s="238"/>
      <c r="CN231" s="238"/>
      <c r="CO231" s="238"/>
      <c r="CP231" s="238"/>
      <c r="CQ231" s="238"/>
      <c r="CR231" s="238"/>
      <c r="CS231" s="238"/>
      <c r="CT231" s="238"/>
      <c r="CU231" s="238"/>
      <c r="CV231" s="238"/>
      <c r="CW231" s="465"/>
    </row>
    <row r="232" spans="2:101" ht="18" customHeight="1" x14ac:dyDescent="0.2">
      <c r="B232" s="45">
        <v>5</v>
      </c>
      <c r="C232" s="40"/>
      <c r="D232" s="644" t="str">
        <f t="shared" si="67"/>
        <v/>
      </c>
      <c r="F232" s="2" t="s">
        <v>343</v>
      </c>
      <c r="K232" s="220" t="s">
        <v>344</v>
      </c>
      <c r="L232" s="187">
        <f>FDIST(L230,L229,df)</f>
        <v>0.99999944468016633</v>
      </c>
      <c r="M232" s="184"/>
      <c r="N232" s="185"/>
      <c r="O232" s="185"/>
      <c r="P232" s="185"/>
      <c r="Q232" s="185"/>
      <c r="R232" s="185"/>
      <c r="S232" s="173" t="s">
        <v>344</v>
      </c>
      <c r="T232" s="129">
        <f>FDIST(T230,T229,df-1)</f>
        <v>0.99924386254334063</v>
      </c>
      <c r="U232" s="127"/>
      <c r="V232" s="127"/>
      <c r="W232" s="127"/>
      <c r="X232" s="126"/>
      <c r="Y232" s="126"/>
      <c r="Z232" s="126"/>
      <c r="AA232" s="126"/>
      <c r="AB232" s="510" t="s">
        <v>344</v>
      </c>
      <c r="AC232" s="456">
        <f>FDIST(AC230,AC229,df-2)</f>
        <v>0.99929000281675684</v>
      </c>
      <c r="AD232" s="469"/>
      <c r="AE232" s="469"/>
      <c r="AF232" s="469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280" t="s">
        <v>344</v>
      </c>
      <c r="BF232" s="240">
        <f>FDIST(BF230,BF229,df-3)</f>
        <v>0.99867864111921811</v>
      </c>
      <c r="BG232" s="239"/>
      <c r="BH232" s="239"/>
      <c r="BI232" s="239"/>
      <c r="BJ232" s="238"/>
      <c r="BK232" s="238"/>
      <c r="BL232" s="238"/>
      <c r="BM232" s="238"/>
      <c r="BN232" s="238"/>
      <c r="BO232" s="238"/>
      <c r="BP232" s="238"/>
      <c r="BQ232" s="238"/>
      <c r="BR232" s="238"/>
      <c r="BS232" s="238"/>
      <c r="BT232" s="238"/>
      <c r="BU232" s="238"/>
      <c r="BV232" s="238"/>
      <c r="BW232" s="238"/>
      <c r="BX232" s="238"/>
      <c r="BY232" s="238"/>
      <c r="BZ232" s="238"/>
      <c r="CA232" s="238"/>
      <c r="CB232" s="238"/>
      <c r="CC232" s="238"/>
      <c r="CD232" s="238"/>
      <c r="CE232" s="238"/>
      <c r="CF232" s="238"/>
      <c r="CG232" s="238"/>
      <c r="CH232" s="238"/>
      <c r="CI232" s="238"/>
      <c r="CJ232" s="238"/>
      <c r="CK232" s="238"/>
      <c r="CL232" s="238"/>
      <c r="CM232" s="238"/>
      <c r="CN232" s="238"/>
      <c r="CO232" s="238"/>
      <c r="CP232" s="238"/>
      <c r="CQ232" s="238"/>
      <c r="CR232" s="238"/>
      <c r="CS232" s="238"/>
      <c r="CT232" s="238"/>
      <c r="CU232" s="238"/>
      <c r="CV232" s="238"/>
      <c r="CW232" s="465"/>
    </row>
    <row r="233" spans="2:101" ht="18" customHeight="1" x14ac:dyDescent="0.2">
      <c r="B233" s="45">
        <v>6</v>
      </c>
      <c r="C233" s="40"/>
      <c r="D233" s="644" t="str">
        <f t="shared" si="67"/>
        <v/>
      </c>
      <c r="K233" s="220" t="s">
        <v>345</v>
      </c>
      <c r="L233" s="223">
        <f>ABS(N226)</f>
        <v>0.16075546427727694</v>
      </c>
      <c r="M233" s="184"/>
      <c r="N233" s="185"/>
      <c r="O233" s="185"/>
      <c r="P233" s="185"/>
      <c r="Q233" s="185"/>
      <c r="R233" s="185"/>
      <c r="S233" s="173" t="s">
        <v>345</v>
      </c>
      <c r="T233" s="176">
        <f>AVERAGE(-V226,W226)</f>
        <v>5.4533157165102359E-3</v>
      </c>
      <c r="U233" s="127"/>
      <c r="V233" s="127"/>
      <c r="W233" s="127"/>
      <c r="X233" s="126"/>
      <c r="Y233" s="126"/>
      <c r="Z233" s="126"/>
      <c r="AA233" s="126"/>
      <c r="AB233" s="510" t="s">
        <v>345</v>
      </c>
      <c r="AC233" s="522">
        <f>AVERAGE(-AE226,AF226)</f>
        <v>5.8573588205377454E-3</v>
      </c>
      <c r="AD233" s="469"/>
      <c r="AE233" s="469"/>
      <c r="AF233" s="469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280" t="s">
        <v>345</v>
      </c>
      <c r="BF233" s="286">
        <f>AVERAGE(-BH226,BI226)</f>
        <v>4.4398962055235917E-3</v>
      </c>
      <c r="BG233" s="239"/>
      <c r="BH233" s="239"/>
      <c r="BI233" s="239"/>
      <c r="BJ233" s="238"/>
      <c r="BK233" s="238"/>
      <c r="BL233" s="238"/>
      <c r="BM233" s="238"/>
      <c r="BN233" s="238"/>
      <c r="BO233" s="238"/>
      <c r="BP233" s="238"/>
      <c r="BQ233" s="238"/>
      <c r="BR233" s="238"/>
      <c r="BS233" s="238"/>
      <c r="BT233" s="238"/>
      <c r="BU233" s="238"/>
      <c r="BV233" s="238"/>
      <c r="BW233" s="238"/>
      <c r="BX233" s="238"/>
      <c r="BY233" s="238"/>
      <c r="BZ233" s="238"/>
      <c r="CA233" s="238"/>
      <c r="CB233" s="238"/>
      <c r="CC233" s="238"/>
      <c r="CD233" s="238"/>
      <c r="CE233" s="238"/>
      <c r="CF233" s="238"/>
      <c r="CG233" s="238"/>
      <c r="CH233" s="238"/>
      <c r="CI233" s="238"/>
      <c r="CJ233" s="238"/>
      <c r="CK233" s="238"/>
      <c r="CL233" s="238"/>
      <c r="CM233" s="238"/>
      <c r="CN233" s="238"/>
      <c r="CO233" s="238"/>
      <c r="CP233" s="238"/>
      <c r="CQ233" s="238"/>
      <c r="CR233" s="238"/>
      <c r="CS233" s="238"/>
      <c r="CT233" s="238"/>
      <c r="CU233" s="238"/>
      <c r="CV233" s="238"/>
      <c r="CW233" s="465"/>
    </row>
    <row r="234" spans="2:101" ht="18" customHeight="1" x14ac:dyDescent="0.2">
      <c r="B234" s="45">
        <v>7</v>
      </c>
      <c r="C234" s="40"/>
      <c r="D234" s="644" t="str">
        <f t="shared" si="67"/>
        <v/>
      </c>
      <c r="K234" s="187">
        <f>(N219-M219)^2/(N223-M223)^2</f>
        <v>0.17318855878446934</v>
      </c>
      <c r="L234" s="194" t="s">
        <v>346</v>
      </c>
      <c r="M234" s="184"/>
      <c r="N234" s="184"/>
      <c r="O234" s="184"/>
      <c r="P234" s="184"/>
      <c r="Q234" s="184"/>
      <c r="R234" s="184"/>
      <c r="S234" s="129">
        <f>(V219-U219)^2/(V223-U223)^2</f>
        <v>0.23974675915005567</v>
      </c>
      <c r="T234" s="150" t="s">
        <v>346</v>
      </c>
      <c r="U234" s="126"/>
      <c r="V234" s="126"/>
      <c r="W234" s="126"/>
      <c r="X234" s="126"/>
      <c r="Y234" s="126"/>
      <c r="Z234" s="126"/>
      <c r="AA234" s="126"/>
      <c r="AB234" s="456">
        <f>(AE219-AD219)^2/(AE223-AD223)^2</f>
        <v>0.29878660430372045</v>
      </c>
      <c r="AC234" s="492" t="s">
        <v>346</v>
      </c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606">
        <f>(BH219-BG219)^2/(BH223-BG223)^2</f>
        <v>0.32395527590100337</v>
      </c>
      <c r="BF234" s="255" t="s">
        <v>346</v>
      </c>
      <c r="BG234" s="238"/>
      <c r="BH234" s="238"/>
      <c r="BI234" s="238"/>
      <c r="BJ234" s="238"/>
      <c r="BK234" s="238"/>
      <c r="BL234" s="238"/>
      <c r="BM234" s="238"/>
      <c r="BN234" s="238"/>
      <c r="BO234" s="238"/>
      <c r="BP234" s="238"/>
      <c r="BQ234" s="238"/>
      <c r="BR234" s="238"/>
      <c r="BS234" s="238"/>
      <c r="BT234" s="238"/>
      <c r="BU234" s="238"/>
      <c r="BV234" s="238"/>
      <c r="BW234" s="238"/>
      <c r="BX234" s="238"/>
      <c r="BY234" s="238"/>
      <c r="BZ234" s="238"/>
      <c r="CA234" s="238"/>
      <c r="CB234" s="238"/>
      <c r="CC234" s="238"/>
      <c r="CD234" s="238"/>
      <c r="CE234" s="238"/>
      <c r="CF234" s="238"/>
      <c r="CG234" s="238"/>
      <c r="CH234" s="238"/>
      <c r="CI234" s="238"/>
      <c r="CJ234" s="238"/>
      <c r="CK234" s="238"/>
      <c r="CL234" s="238"/>
      <c r="CM234" s="238"/>
      <c r="CN234" s="238"/>
      <c r="CO234" s="238"/>
      <c r="CP234" s="238"/>
      <c r="CQ234" s="238"/>
      <c r="CR234" s="238"/>
      <c r="CS234" s="238"/>
      <c r="CT234" s="238"/>
      <c r="CU234" s="238"/>
      <c r="CV234" s="238"/>
      <c r="CW234" s="465"/>
    </row>
    <row r="235" spans="2:101" ht="18" customHeight="1" thickBot="1" x14ac:dyDescent="0.3">
      <c r="B235" s="45">
        <v>8</v>
      </c>
      <c r="C235" s="40"/>
      <c r="D235" s="644" t="str">
        <f t="shared" si="67"/>
        <v/>
      </c>
      <c r="K235" s="186"/>
      <c r="L235" s="184"/>
      <c r="M235" s="184"/>
      <c r="N235" s="184"/>
      <c r="O235" s="184"/>
      <c r="P235" s="184"/>
      <c r="Q235" s="184"/>
      <c r="R235" s="184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238"/>
      <c r="BF235" s="238"/>
      <c r="BG235" s="238"/>
      <c r="BH235" s="238"/>
      <c r="BI235" s="238"/>
      <c r="BJ235" s="238"/>
      <c r="BK235" s="238"/>
      <c r="BL235" s="238"/>
      <c r="BM235" s="238"/>
      <c r="BN235" s="238"/>
      <c r="BO235" s="238"/>
      <c r="BP235" s="238"/>
      <c r="BQ235" s="238"/>
      <c r="BR235" s="238"/>
      <c r="BS235" s="238"/>
      <c r="BT235" s="238"/>
      <c r="BU235" s="238"/>
      <c r="BV235" s="238"/>
      <c r="BW235" s="238"/>
      <c r="BX235" s="238"/>
      <c r="BY235" s="238"/>
      <c r="BZ235" s="238"/>
      <c r="CA235" s="238"/>
      <c r="CB235" s="238"/>
      <c r="CC235" s="238"/>
      <c r="CD235" s="238"/>
      <c r="CE235" s="238"/>
      <c r="CF235" s="238"/>
      <c r="CG235" s="238"/>
      <c r="CH235" s="238"/>
      <c r="CI235" s="238"/>
      <c r="CJ235" s="238"/>
      <c r="CK235" s="238"/>
      <c r="CL235" s="238"/>
      <c r="CM235" s="238"/>
      <c r="CN235" s="238"/>
      <c r="CO235" s="238"/>
      <c r="CP235" s="238"/>
      <c r="CQ235" s="238"/>
      <c r="CR235" s="238"/>
      <c r="CS235" s="238"/>
      <c r="CT235" s="238"/>
      <c r="CU235" s="238"/>
      <c r="CV235" s="238"/>
      <c r="CW235" s="465"/>
    </row>
    <row r="236" spans="2:101" ht="18" customHeight="1" thickTop="1" thickBot="1" x14ac:dyDescent="0.3">
      <c r="B236" s="45">
        <v>9</v>
      </c>
      <c r="C236" s="40"/>
      <c r="D236" s="644" t="str">
        <f t="shared" si="67"/>
        <v/>
      </c>
      <c r="K236" s="186"/>
      <c r="L236" s="184"/>
      <c r="M236" s="184"/>
      <c r="N236" s="184"/>
      <c r="O236" s="184"/>
      <c r="P236" s="184"/>
      <c r="Q236" s="184"/>
      <c r="R236" s="184"/>
      <c r="S236" s="126"/>
      <c r="T236" s="126"/>
      <c r="U236" s="126"/>
      <c r="V236" s="126"/>
      <c r="W236" s="126"/>
      <c r="X236" s="126"/>
      <c r="Y236" s="126"/>
      <c r="Z236" s="126"/>
      <c r="AA236" s="126"/>
      <c r="AB236" s="81" t="s">
        <v>119</v>
      </c>
      <c r="AC236" s="494"/>
      <c r="AD236" s="494" t="s">
        <v>120</v>
      </c>
      <c r="AE236" s="494"/>
      <c r="AF236" s="494"/>
      <c r="AG236" s="494"/>
      <c r="AH236" s="494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81" t="s">
        <v>119</v>
      </c>
      <c r="BF236" s="455"/>
      <c r="BG236" s="455" t="s">
        <v>120</v>
      </c>
      <c r="BH236" s="455"/>
      <c r="BI236" s="455"/>
      <c r="BJ236" s="455"/>
      <c r="BK236" s="455"/>
      <c r="BL236" s="238"/>
      <c r="BM236" s="238"/>
      <c r="BN236" s="238"/>
      <c r="BO236" s="238"/>
      <c r="BP236" s="238"/>
      <c r="BQ236" s="238"/>
      <c r="BR236" s="238"/>
      <c r="BS236" s="238"/>
      <c r="BT236" s="238"/>
      <c r="BU236" s="238"/>
      <c r="BV236" s="238"/>
      <c r="BW236" s="238"/>
      <c r="BX236" s="238"/>
      <c r="BY236" s="238"/>
      <c r="BZ236" s="238"/>
      <c r="CA236" s="238"/>
      <c r="CB236" s="238"/>
      <c r="CC236" s="238"/>
      <c r="CD236" s="238"/>
      <c r="CE236" s="238"/>
      <c r="CF236" s="238"/>
      <c r="CG236" s="238"/>
      <c r="CH236" s="238"/>
      <c r="CI236" s="238"/>
      <c r="CJ236" s="238"/>
      <c r="CK236" s="238"/>
      <c r="CL236" s="238"/>
      <c r="CM236" s="238"/>
      <c r="CN236" s="238"/>
      <c r="CO236" s="238"/>
      <c r="CP236" s="238"/>
      <c r="CQ236" s="238"/>
      <c r="CR236" s="238"/>
      <c r="CS236" s="238"/>
      <c r="CT236" s="238"/>
      <c r="CU236" s="238"/>
      <c r="CV236" s="238"/>
      <c r="CW236" s="465"/>
    </row>
    <row r="237" spans="2:101" ht="18" customHeight="1" thickTop="1" thickBot="1" x14ac:dyDescent="0.3">
      <c r="B237" s="43">
        <v>10</v>
      </c>
      <c r="C237" s="41"/>
      <c r="D237" s="642" t="str">
        <f t="shared" si="67"/>
        <v/>
      </c>
      <c r="K237" s="186"/>
      <c r="L237" s="184"/>
      <c r="M237" s="184"/>
      <c r="N237" s="184"/>
      <c r="O237" s="184"/>
      <c r="P237" s="184"/>
      <c r="Q237" s="184"/>
      <c r="R237" s="184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5"/>
      <c r="AC237" s="494"/>
      <c r="AD237" s="494" t="s">
        <v>121</v>
      </c>
      <c r="AE237" s="494"/>
      <c r="AF237" s="494"/>
      <c r="AG237" s="494"/>
      <c r="AH237" s="494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238"/>
      <c r="BF237" s="455"/>
      <c r="BG237" s="455" t="s">
        <v>121</v>
      </c>
      <c r="BH237" s="455"/>
      <c r="BI237" s="455"/>
      <c r="BJ237" s="455"/>
      <c r="BK237" s="455"/>
      <c r="BL237" s="238"/>
      <c r="BM237" s="238"/>
      <c r="BN237" s="238"/>
      <c r="BO237" s="238"/>
      <c r="BP237" s="238"/>
      <c r="BQ237" s="238"/>
      <c r="BR237" s="238"/>
      <c r="BS237" s="238"/>
      <c r="BT237" s="238"/>
      <c r="BU237" s="238"/>
      <c r="BV237" s="238"/>
      <c r="BW237" s="238"/>
      <c r="BX237" s="238"/>
      <c r="BY237" s="238"/>
      <c r="BZ237" s="238"/>
      <c r="CA237" s="238"/>
      <c r="CB237" s="238"/>
      <c r="CC237" s="238"/>
      <c r="CD237" s="238"/>
      <c r="CE237" s="238"/>
      <c r="CF237" s="238"/>
      <c r="CG237" s="238"/>
      <c r="CH237" s="238"/>
      <c r="CI237" s="238"/>
      <c r="CJ237" s="238"/>
      <c r="CK237" s="238"/>
      <c r="CL237" s="238"/>
      <c r="CM237" s="238"/>
      <c r="CN237" s="238"/>
      <c r="CO237" s="238"/>
      <c r="CP237" s="238"/>
      <c r="CQ237" s="238"/>
      <c r="CR237" s="238"/>
      <c r="CS237" s="238"/>
      <c r="CT237" s="238"/>
      <c r="CU237" s="238"/>
      <c r="CV237" s="238"/>
      <c r="CW237" s="465"/>
    </row>
    <row r="238" spans="2:101" ht="18" customHeight="1" thickTop="1" x14ac:dyDescent="0.25">
      <c r="B238"/>
      <c r="C238" s="5" t="s">
        <v>322</v>
      </c>
      <c r="D238" s="648">
        <f t="shared" ref="D238:D244" si="68">IF(p="Q",T227,L227)</f>
        <v>3.2466476208953856</v>
      </c>
      <c r="K238" s="186"/>
      <c r="L238" s="184"/>
      <c r="M238" s="184"/>
      <c r="N238" s="184"/>
      <c r="O238" s="184"/>
      <c r="P238" s="184"/>
      <c r="Q238" s="184"/>
      <c r="R238" s="184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5"/>
      <c r="AC238" s="494"/>
      <c r="AD238" s="494"/>
      <c r="AE238" s="494"/>
      <c r="AF238" s="494"/>
      <c r="AG238" s="494"/>
      <c r="AH238" s="494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238"/>
      <c r="BF238" s="455"/>
      <c r="BG238" s="455"/>
      <c r="BH238" s="455"/>
      <c r="BI238" s="455"/>
      <c r="BJ238" s="455"/>
      <c r="BK238" s="455"/>
      <c r="BL238" s="238"/>
      <c r="BM238" s="238"/>
      <c r="BN238" s="238"/>
      <c r="BO238" s="238"/>
      <c r="BP238" s="238"/>
      <c r="BQ238" s="238"/>
      <c r="BR238" s="238"/>
      <c r="BS238" s="238"/>
      <c r="BT238" s="238"/>
      <c r="BU238" s="238"/>
      <c r="BV238" s="238"/>
      <c r="BW238" s="238"/>
      <c r="BX238" s="238"/>
      <c r="BY238" s="238"/>
      <c r="BZ238" s="238"/>
      <c r="CA238" s="238"/>
      <c r="CB238" s="238"/>
      <c r="CC238" s="238"/>
      <c r="CD238" s="238"/>
      <c r="CE238" s="238"/>
      <c r="CF238" s="238"/>
      <c r="CG238" s="238"/>
      <c r="CH238" s="238"/>
      <c r="CI238" s="238"/>
      <c r="CJ238" s="238"/>
      <c r="CK238" s="238"/>
      <c r="CL238" s="238"/>
      <c r="CM238" s="238"/>
      <c r="CN238" s="238"/>
      <c r="CO238" s="238"/>
      <c r="CP238" s="238"/>
      <c r="CQ238" s="238"/>
      <c r="CR238" s="238"/>
      <c r="CS238" s="238"/>
      <c r="CT238" s="238"/>
      <c r="CU238" s="238"/>
      <c r="CV238" s="238"/>
      <c r="CW238" s="465"/>
    </row>
    <row r="239" spans="2:101" ht="18" customHeight="1" x14ac:dyDescent="0.25">
      <c r="B239"/>
      <c r="C239" s="6" t="s">
        <v>347</v>
      </c>
      <c r="D239" s="44">
        <f t="shared" si="68"/>
        <v>6.0606079125701288E-4</v>
      </c>
      <c r="K239" s="186"/>
      <c r="L239" s="184"/>
      <c r="M239" s="184"/>
      <c r="N239" s="184"/>
      <c r="O239" s="184"/>
      <c r="P239" s="184"/>
      <c r="Q239" s="184"/>
      <c r="R239" s="184"/>
      <c r="S239" s="128"/>
      <c r="T239" s="126"/>
      <c r="U239" s="126"/>
      <c r="V239" s="126"/>
      <c r="W239" s="126"/>
      <c r="X239" s="126"/>
      <c r="Y239" s="126"/>
      <c r="Z239" s="126"/>
      <c r="AA239" s="126"/>
      <c r="AB239" s="125"/>
      <c r="AC239" s="494" t="s">
        <v>348</v>
      </c>
      <c r="AD239" s="494"/>
      <c r="AE239" s="494"/>
      <c r="AF239" s="494"/>
      <c r="AG239" s="494"/>
      <c r="AH239" s="494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238"/>
      <c r="BF239" s="455" t="s">
        <v>348</v>
      </c>
      <c r="BG239" s="455"/>
      <c r="BH239" s="455"/>
      <c r="BI239" s="455"/>
      <c r="BJ239" s="455"/>
      <c r="BK239" s="455"/>
      <c r="BL239" s="238"/>
      <c r="BM239" s="238"/>
      <c r="BN239" s="238"/>
      <c r="BO239" s="238"/>
      <c r="BP239" s="238"/>
      <c r="BQ239" s="238"/>
      <c r="BR239" s="238"/>
      <c r="BS239" s="238"/>
      <c r="BT239" s="238"/>
      <c r="BU239" s="238"/>
      <c r="BV239" s="238"/>
      <c r="BW239" s="238"/>
      <c r="BX239" s="238"/>
      <c r="BY239" s="238"/>
      <c r="BZ239" s="238"/>
      <c r="CA239" s="238"/>
      <c r="CB239" s="238"/>
      <c r="CC239" s="238"/>
      <c r="CD239" s="238"/>
      <c r="CE239" s="238"/>
      <c r="CF239" s="238"/>
      <c r="CG239" s="238"/>
      <c r="CH239" s="238"/>
      <c r="CI239" s="238"/>
      <c r="CJ239" s="238"/>
      <c r="CK239" s="238"/>
      <c r="CL239" s="238"/>
      <c r="CM239" s="238"/>
      <c r="CN239" s="238"/>
      <c r="CO239" s="238"/>
      <c r="CP239" s="238"/>
      <c r="CQ239" s="238"/>
      <c r="CR239" s="238"/>
      <c r="CS239" s="238"/>
      <c r="CT239" s="238"/>
      <c r="CU239" s="238"/>
      <c r="CV239" s="238"/>
      <c r="CW239" s="465"/>
    </row>
    <row r="240" spans="2:101" ht="18" customHeight="1" x14ac:dyDescent="0.25">
      <c r="B240"/>
      <c r="C240" s="5" t="s">
        <v>202</v>
      </c>
      <c r="D240" s="44">
        <f t="shared" si="68"/>
        <v>2</v>
      </c>
      <c r="K240" s="186"/>
      <c r="L240" s="184"/>
      <c r="M240" s="184"/>
      <c r="N240" s="184"/>
      <c r="O240" s="184"/>
      <c r="P240" s="184"/>
      <c r="Q240" s="184"/>
      <c r="R240" s="184"/>
      <c r="S240" s="128"/>
      <c r="T240" s="126"/>
      <c r="U240" s="126"/>
      <c r="V240" s="126"/>
      <c r="W240" s="126"/>
      <c r="X240" s="126"/>
      <c r="Y240" s="126"/>
      <c r="Z240" s="126"/>
      <c r="AA240" s="126"/>
      <c r="AB240" s="125"/>
      <c r="AC240" s="125"/>
      <c r="AD240" s="125"/>
      <c r="AE240" s="125" t="s">
        <v>349</v>
      </c>
      <c r="AF240" s="125"/>
      <c r="AG240" s="125" t="s">
        <v>350</v>
      </c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238"/>
      <c r="BF240" s="238"/>
      <c r="BG240" s="238"/>
      <c r="BH240" s="238" t="s">
        <v>349</v>
      </c>
      <c r="BI240" s="238"/>
      <c r="BJ240" s="238" t="s">
        <v>350</v>
      </c>
      <c r="BK240" s="238"/>
      <c r="BL240" s="238"/>
      <c r="BM240" s="238"/>
      <c r="BN240" s="238"/>
      <c r="BO240" s="238"/>
      <c r="BP240" s="238"/>
      <c r="BQ240" s="238"/>
      <c r="BR240" s="238"/>
      <c r="BS240" s="238"/>
      <c r="BT240" s="238"/>
      <c r="BU240" s="238"/>
      <c r="BV240" s="238"/>
      <c r="BW240" s="238"/>
      <c r="BX240" s="238"/>
      <c r="BY240" s="238"/>
      <c r="BZ240" s="238"/>
      <c r="CA240" s="238"/>
      <c r="CB240" s="238"/>
      <c r="CC240" s="238"/>
      <c r="CD240" s="238"/>
      <c r="CE240" s="238"/>
      <c r="CF240" s="238"/>
      <c r="CG240" s="238"/>
      <c r="CH240" s="238"/>
      <c r="CI240" s="238"/>
      <c r="CJ240" s="238"/>
      <c r="CK240" s="238"/>
      <c r="CL240" s="238"/>
      <c r="CM240" s="238"/>
      <c r="CN240" s="238"/>
      <c r="CO240" s="238"/>
      <c r="CP240" s="238"/>
      <c r="CQ240" s="238"/>
      <c r="CR240" s="238"/>
      <c r="CS240" s="238"/>
      <c r="CT240" s="238"/>
      <c r="CU240" s="238"/>
      <c r="CV240" s="238"/>
      <c r="CW240" s="465"/>
    </row>
    <row r="241" spans="2:101" ht="18" customHeight="1" x14ac:dyDescent="0.25">
      <c r="B241"/>
      <c r="C241" s="5" t="s">
        <v>245</v>
      </c>
      <c r="D241" s="44">
        <f t="shared" si="68"/>
        <v>7.5645923492995539E-4</v>
      </c>
      <c r="K241" s="186"/>
      <c r="L241" s="184"/>
      <c r="M241" s="184"/>
      <c r="N241" s="184"/>
      <c r="O241" s="184"/>
      <c r="P241" s="184"/>
      <c r="Q241" s="184"/>
      <c r="R241" s="184"/>
      <c r="S241" s="128"/>
      <c r="T241" s="126"/>
      <c r="U241" s="126"/>
      <c r="V241" s="126"/>
      <c r="W241" s="126"/>
      <c r="X241" s="126"/>
      <c r="Y241" s="126"/>
      <c r="Z241" s="126"/>
      <c r="AA241" s="126"/>
      <c r="AB241" s="125"/>
      <c r="AC241" s="469" t="s">
        <v>351</v>
      </c>
      <c r="AD241" s="125"/>
      <c r="AE241" s="664">
        <f>$AD$30+$AD$31*0+$AD$32*0^2+$AD$33*0^3</f>
        <v>0.19517101845531215</v>
      </c>
      <c r="AF241" s="664"/>
      <c r="AG241" s="664">
        <f>$AD$30+$AD$31*E264+$AD$32*E264^2+$AD$33*E264^3</f>
        <v>17.302238004098154</v>
      </c>
      <c r="AH241" s="456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238"/>
      <c r="BF241" s="239" t="s">
        <v>351</v>
      </c>
      <c r="BG241" s="238"/>
      <c r="BH241" s="655">
        <f>$BI$26+$BI$27*0+$BI$28*0^2+$BI$29*0^3+$BI$30*0^4</f>
        <v>0.22056434366470512</v>
      </c>
      <c r="BI241" s="655"/>
      <c r="BJ241" s="655">
        <f>$BI$26+$BI$27*E264+$BI$28*E264^2+$BI$29*E264^3+$BI$30*E264^4</f>
        <v>17.327631329329499</v>
      </c>
      <c r="BK241" s="240"/>
      <c r="BL241" s="238"/>
      <c r="BM241" s="238"/>
      <c r="BN241" s="238"/>
      <c r="BO241" s="238"/>
      <c r="BP241" s="238"/>
      <c r="BQ241" s="238"/>
      <c r="BR241" s="238"/>
      <c r="BS241" s="238"/>
      <c r="BT241" s="238"/>
      <c r="BU241" s="238"/>
      <c r="BV241" s="238"/>
      <c r="BW241" s="238"/>
      <c r="BX241" s="238"/>
      <c r="BY241" s="238"/>
      <c r="BZ241" s="238"/>
      <c r="CA241" s="238"/>
      <c r="CB241" s="238"/>
      <c r="CC241" s="238"/>
      <c r="CD241" s="238"/>
      <c r="CE241" s="238"/>
      <c r="CF241" s="238"/>
      <c r="CG241" s="238"/>
      <c r="CH241" s="238"/>
      <c r="CI241" s="238"/>
      <c r="CJ241" s="238"/>
      <c r="CK241" s="238"/>
      <c r="CL241" s="238"/>
      <c r="CM241" s="238"/>
      <c r="CN241" s="238"/>
      <c r="CO241" s="238"/>
      <c r="CP241" s="238"/>
      <c r="CQ241" s="238"/>
      <c r="CR241" s="238"/>
      <c r="CS241" s="238"/>
      <c r="CT241" s="238"/>
      <c r="CU241" s="238"/>
      <c r="CV241" s="238"/>
      <c r="CW241" s="465"/>
    </row>
    <row r="242" spans="2:101" ht="18" customHeight="1" x14ac:dyDescent="0.25">
      <c r="B242"/>
      <c r="C242" s="6" t="s">
        <v>342</v>
      </c>
      <c r="D242" s="44" t="b">
        <f t="shared" si="68"/>
        <v>0</v>
      </c>
      <c r="E242" s="94" t="str">
        <f>IF(D243&lt;0.05,"  (The uncertainty is greater than expected.)","  (The uncertainty is acceptable.)")</f>
        <v xml:space="preserve">  (The uncertainty is acceptable.)</v>
      </c>
      <c r="F242" s="6"/>
      <c r="G242" s="6"/>
      <c r="H242" s="6"/>
      <c r="I242" s="6"/>
      <c r="K242" s="186"/>
      <c r="L242" s="184"/>
      <c r="M242" s="184"/>
      <c r="N242" s="184"/>
      <c r="O242" s="184"/>
      <c r="P242" s="184"/>
      <c r="Q242" s="184"/>
      <c r="R242" s="184"/>
      <c r="S242" s="128"/>
      <c r="T242" s="126"/>
      <c r="U242" s="126"/>
      <c r="V242" s="126"/>
      <c r="W242" s="126"/>
      <c r="X242" s="126"/>
      <c r="Y242" s="126"/>
      <c r="Z242" s="126"/>
      <c r="AA242" s="126"/>
      <c r="AB242" s="125"/>
      <c r="AC242" s="125"/>
      <c r="AD242" s="125"/>
      <c r="AE242" s="456"/>
      <c r="AF242" s="456"/>
      <c r="AG242" s="456"/>
      <c r="AH242" s="456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238"/>
      <c r="BF242" s="238"/>
      <c r="BG242" s="238"/>
      <c r="BH242" s="240"/>
      <c r="BI242" s="240"/>
      <c r="BJ242" s="240"/>
      <c r="BK242" s="240"/>
      <c r="BL242" s="238"/>
      <c r="BM242" s="238"/>
      <c r="BN242" s="238"/>
      <c r="BO242" s="238"/>
      <c r="BP242" s="238"/>
      <c r="BQ242" s="238"/>
      <c r="BR242" s="238"/>
      <c r="BS242" s="238"/>
      <c r="BT242" s="238"/>
      <c r="BU242" s="238"/>
      <c r="BV242" s="238"/>
      <c r="BW242" s="238"/>
      <c r="BX242" s="238"/>
      <c r="BY242" s="238"/>
      <c r="BZ242" s="238"/>
      <c r="CA242" s="238"/>
      <c r="CB242" s="238"/>
      <c r="CC242" s="238"/>
      <c r="CD242" s="238"/>
      <c r="CE242" s="238"/>
      <c r="CF242" s="238"/>
      <c r="CG242" s="238"/>
      <c r="CH242" s="238"/>
      <c r="CI242" s="238"/>
      <c r="CJ242" s="238"/>
      <c r="CK242" s="238"/>
      <c r="CL242" s="238"/>
      <c r="CM242" s="238"/>
      <c r="CN242" s="238"/>
      <c r="CO242" s="238"/>
      <c r="CP242" s="238"/>
      <c r="CQ242" s="238"/>
      <c r="CR242" s="238"/>
      <c r="CS242" s="238"/>
      <c r="CT242" s="238"/>
      <c r="CU242" s="238"/>
      <c r="CV242" s="238"/>
      <c r="CW242" s="465"/>
    </row>
    <row r="243" spans="2:101" ht="18" customHeight="1" x14ac:dyDescent="0.25">
      <c r="C243" s="5" t="s">
        <v>344</v>
      </c>
      <c r="D243" s="44">
        <f t="shared" si="68"/>
        <v>0.99924386254334063</v>
      </c>
      <c r="K243" s="186"/>
      <c r="L243" s="184"/>
      <c r="M243" s="184"/>
      <c r="N243" s="184"/>
      <c r="O243" s="184"/>
      <c r="P243" s="184"/>
      <c r="Q243" s="184"/>
      <c r="R243" s="184"/>
      <c r="S243" s="128"/>
      <c r="T243" s="126"/>
      <c r="U243" s="126"/>
      <c r="V243" s="126"/>
      <c r="W243" s="126"/>
      <c r="X243" s="126"/>
      <c r="Y243" s="126"/>
      <c r="Z243" s="126"/>
      <c r="AA243" s="126"/>
      <c r="AB243" s="125"/>
      <c r="AC243" s="125" t="s">
        <v>352</v>
      </c>
      <c r="AD243" s="125"/>
      <c r="AE243" s="609">
        <f>(AE241-$C$275)/AG241</f>
        <v>1.1280102516742895E-2</v>
      </c>
      <c r="AF243" s="609"/>
      <c r="AG243" s="609">
        <f>($F$275-AG241)/AG241</f>
        <v>-7.5264136569483456E-2</v>
      </c>
      <c r="AH243" s="456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238"/>
      <c r="BF243" s="238" t="s">
        <v>352</v>
      </c>
      <c r="BG243" s="238"/>
      <c r="BH243" s="606">
        <f>(BH241-$C$275)/BJ241</f>
        <v>1.2729053352570375E-2</v>
      </c>
      <c r="BI243" s="606"/>
      <c r="BJ243" s="606">
        <f>($F$275-BJ241)/BJ241</f>
        <v>-7.661931998069979E-2</v>
      </c>
      <c r="BK243" s="240"/>
      <c r="BL243" s="238"/>
      <c r="BM243" s="238"/>
      <c r="BN243" s="238"/>
      <c r="BO243" s="238"/>
      <c r="BP243" s="238"/>
      <c r="BQ243" s="238"/>
      <c r="BR243" s="238"/>
      <c r="BS243" s="238"/>
      <c r="BT243" s="238"/>
      <c r="BU243" s="238"/>
      <c r="BV243" s="238"/>
      <c r="BW243" s="238"/>
      <c r="BX243" s="238"/>
      <c r="BY243" s="238"/>
      <c r="BZ243" s="238"/>
      <c r="CA243" s="238"/>
      <c r="CB243" s="238"/>
      <c r="CC243" s="238"/>
      <c r="CD243" s="238"/>
      <c r="CE243" s="238"/>
      <c r="CF243" s="238"/>
      <c r="CG243" s="238"/>
      <c r="CH243" s="238"/>
      <c r="CI243" s="238"/>
      <c r="CJ243" s="238"/>
      <c r="CK243" s="238"/>
      <c r="CL243" s="238"/>
      <c r="CM243" s="238"/>
      <c r="CN243" s="238"/>
      <c r="CO243" s="238"/>
      <c r="CP243" s="238"/>
      <c r="CQ243" s="238"/>
      <c r="CR243" s="238"/>
      <c r="CS243" s="238"/>
      <c r="CT243" s="238"/>
      <c r="CU243" s="238"/>
      <c r="CV243" s="238"/>
      <c r="CW243" s="465"/>
    </row>
    <row r="244" spans="2:101" ht="18" customHeight="1" x14ac:dyDescent="0.25">
      <c r="C244" s="5" t="s">
        <v>353</v>
      </c>
      <c r="D244" s="92">
        <f t="shared" si="68"/>
        <v>5.4533157165102359E-3</v>
      </c>
      <c r="E244" s="2" t="s">
        <v>354</v>
      </c>
      <c r="K244" s="186"/>
      <c r="L244" s="184"/>
      <c r="M244" s="184"/>
      <c r="N244" s="184"/>
      <c r="O244" s="184"/>
      <c r="P244" s="184"/>
      <c r="Q244" s="184"/>
      <c r="R244" s="184"/>
      <c r="S244" s="128"/>
      <c r="T244" s="126"/>
      <c r="U244" s="126"/>
      <c r="V244" s="126"/>
      <c r="W244" s="126"/>
      <c r="X244" s="126"/>
      <c r="Y244" s="126"/>
      <c r="Z244" s="126"/>
      <c r="AA244" s="126"/>
      <c r="AB244" s="125"/>
      <c r="AC244" s="125"/>
      <c r="AD244" s="125"/>
      <c r="AE244" s="521" t="str">
        <f>IF(ABS(AE243)&lt;0.05,"RD is okay.","RD is excessive.")</f>
        <v>RD is okay.</v>
      </c>
      <c r="AF244" s="521"/>
      <c r="AG244" s="521" t="str">
        <f>IF(ABS(AG243)&lt;0.05,"RD is okay.","RD is excessive.")</f>
        <v>RD is excessive.</v>
      </c>
      <c r="AH244" s="456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238"/>
      <c r="BF244" s="238"/>
      <c r="BG244" s="238"/>
      <c r="BH244" s="285" t="str">
        <f>IF(ABS(BH243)&lt;0.05,"RD is okay.","RD is excessive.")</f>
        <v>RD is okay.</v>
      </c>
      <c r="BI244" s="285"/>
      <c r="BJ244" s="285" t="str">
        <f>IF(ABS(BJ243)&lt;0.05,"RD is okay.","RD is excessive.")</f>
        <v>RD is excessive.</v>
      </c>
      <c r="BK244" s="240"/>
      <c r="BL244" s="238"/>
      <c r="BM244" s="238"/>
      <c r="BN244" s="238"/>
      <c r="BO244" s="238"/>
      <c r="BP244" s="238"/>
      <c r="BQ244" s="238"/>
      <c r="BR244" s="238"/>
      <c r="BS244" s="238"/>
      <c r="BT244" s="238"/>
      <c r="BU244" s="238"/>
      <c r="BV244" s="238"/>
      <c r="BW244" s="238"/>
      <c r="BX244" s="238"/>
      <c r="BY244" s="238"/>
      <c r="BZ244" s="238"/>
      <c r="CA244" s="238"/>
      <c r="CB244" s="238"/>
      <c r="CC244" s="238"/>
      <c r="CD244" s="238"/>
      <c r="CE244" s="238"/>
      <c r="CF244" s="238"/>
      <c r="CG244" s="238"/>
      <c r="CH244" s="238"/>
      <c r="CI244" s="238"/>
      <c r="CJ244" s="238"/>
      <c r="CK244" s="238"/>
      <c r="CL244" s="238"/>
      <c r="CM244" s="238"/>
      <c r="CN244" s="238"/>
      <c r="CO244" s="238"/>
      <c r="CP244" s="238"/>
      <c r="CQ244" s="238"/>
      <c r="CR244" s="238"/>
      <c r="CS244" s="238"/>
      <c r="CT244" s="238"/>
      <c r="CU244" s="238"/>
      <c r="CV244" s="238"/>
      <c r="CW244" s="465"/>
    </row>
    <row r="245" spans="2:101" ht="18" customHeight="1" x14ac:dyDescent="0.25">
      <c r="C245" s="91">
        <f>IF(p="Q",+S234,+K234)</f>
        <v>0.23974675915005567</v>
      </c>
      <c r="D245" s="1" t="s">
        <v>355</v>
      </c>
      <c r="J245" s="6"/>
      <c r="K245" s="186"/>
      <c r="L245" s="184"/>
      <c r="M245" s="184"/>
      <c r="N245" s="184"/>
      <c r="O245" s="184"/>
      <c r="P245" s="184"/>
      <c r="Q245" s="184"/>
      <c r="R245" s="184"/>
      <c r="S245" s="128"/>
      <c r="T245" s="126"/>
      <c r="U245" s="126"/>
      <c r="V245" s="126"/>
      <c r="W245" s="126"/>
      <c r="X245" s="126"/>
      <c r="Y245" s="126"/>
      <c r="Z245" s="126"/>
      <c r="AA245" s="126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238"/>
      <c r="BF245" s="238"/>
      <c r="BG245" s="238"/>
      <c r="BH245" s="238"/>
      <c r="BI245" s="238"/>
      <c r="BJ245" s="238"/>
      <c r="BK245" s="238"/>
      <c r="BL245" s="238"/>
      <c r="BM245" s="238"/>
      <c r="BN245" s="238"/>
      <c r="BO245" s="238"/>
      <c r="BP245" s="238"/>
      <c r="BQ245" s="238"/>
      <c r="BR245" s="238"/>
      <c r="BS245" s="238"/>
      <c r="BT245" s="238"/>
      <c r="BU245" s="238"/>
      <c r="BV245" s="238"/>
      <c r="BW245" s="238"/>
      <c r="BX245" s="238"/>
      <c r="BY245" s="238"/>
      <c r="BZ245" s="238"/>
      <c r="CA245" s="238"/>
      <c r="CB245" s="238"/>
      <c r="CC245" s="238"/>
      <c r="CD245" s="238"/>
      <c r="CE245" s="238"/>
      <c r="CF245" s="238"/>
      <c r="CG245" s="238"/>
      <c r="CH245" s="238"/>
      <c r="CI245" s="238"/>
      <c r="CJ245" s="238"/>
      <c r="CK245" s="238"/>
      <c r="CL245" s="238"/>
      <c r="CM245" s="238"/>
      <c r="CN245" s="238"/>
      <c r="CO245" s="238"/>
      <c r="CP245" s="238"/>
      <c r="CQ245" s="238"/>
      <c r="CR245" s="238"/>
      <c r="CS245" s="238"/>
      <c r="CT245" s="238"/>
      <c r="CU245" s="238"/>
      <c r="CV245" s="238"/>
      <c r="CW245" s="465"/>
    </row>
    <row r="246" spans="2:101" ht="18" customHeight="1" thickBot="1" x14ac:dyDescent="0.3">
      <c r="B246"/>
      <c r="C246"/>
      <c r="D246"/>
      <c r="E246"/>
      <c r="F246"/>
      <c r="G246"/>
      <c r="J246"/>
      <c r="K246" s="186"/>
      <c r="L246" s="184"/>
      <c r="M246" s="184"/>
      <c r="N246" s="184"/>
      <c r="O246" s="184"/>
      <c r="P246" s="184"/>
      <c r="Q246" s="184"/>
      <c r="R246" s="184"/>
      <c r="S246" s="128"/>
      <c r="T246" s="126"/>
      <c r="U246" s="126"/>
      <c r="V246" s="126"/>
      <c r="W246" s="126"/>
      <c r="X246" s="126"/>
      <c r="Y246" s="126"/>
      <c r="Z246" s="126"/>
      <c r="AA246" s="126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238"/>
      <c r="BF246" s="238"/>
      <c r="BG246" s="238"/>
      <c r="BH246" s="238"/>
      <c r="BI246" s="238"/>
      <c r="BJ246" s="238"/>
      <c r="BK246" s="238"/>
      <c r="BL246" s="238"/>
      <c r="BM246" s="238"/>
      <c r="BN246" s="238"/>
      <c r="BO246" s="238"/>
      <c r="BP246" s="238"/>
      <c r="BQ246" s="238"/>
      <c r="BR246" s="238"/>
      <c r="BS246" s="238"/>
      <c r="BT246" s="238"/>
      <c r="BU246" s="238"/>
      <c r="BV246" s="238"/>
      <c r="BW246" s="238"/>
      <c r="BX246" s="238"/>
      <c r="BY246" s="238"/>
      <c r="BZ246" s="238"/>
      <c r="CA246" s="238"/>
      <c r="CB246" s="238"/>
      <c r="CC246" s="238"/>
      <c r="CD246" s="238"/>
      <c r="CE246" s="238"/>
      <c r="CF246" s="238"/>
      <c r="CG246" s="238"/>
      <c r="CH246" s="238"/>
      <c r="CI246" s="238"/>
      <c r="CJ246" s="238"/>
      <c r="CK246" s="238"/>
      <c r="CL246" s="238"/>
      <c r="CM246" s="238"/>
      <c r="CN246" s="238"/>
      <c r="CO246" s="238"/>
      <c r="CP246" s="238"/>
      <c r="CQ246" s="238"/>
      <c r="CR246" s="238"/>
      <c r="CS246" s="238"/>
      <c r="CT246" s="238"/>
      <c r="CU246" s="238"/>
      <c r="CV246" s="238"/>
      <c r="CW246" s="465"/>
    </row>
    <row r="247" spans="2:101" ht="18" customHeight="1" thickTop="1" thickBot="1" x14ac:dyDescent="0.3">
      <c r="B247" s="2" t="s">
        <v>422</v>
      </c>
      <c r="K247" s="81" t="s">
        <v>119</v>
      </c>
      <c r="L247" s="185"/>
      <c r="M247" s="454" t="s">
        <v>120</v>
      </c>
      <c r="N247" s="184"/>
      <c r="O247" s="184"/>
      <c r="P247" s="184"/>
      <c r="Q247" s="184"/>
      <c r="R247" s="184"/>
      <c r="S247" s="81" t="s">
        <v>119</v>
      </c>
      <c r="T247" s="126"/>
      <c r="U247" s="457" t="s">
        <v>120</v>
      </c>
      <c r="V247" s="126"/>
      <c r="W247" s="126"/>
      <c r="X247" s="126"/>
      <c r="Y247" s="127"/>
      <c r="Z247" s="127"/>
      <c r="AA247" s="127"/>
      <c r="AB247" s="81" t="s">
        <v>119</v>
      </c>
      <c r="AC247" s="125"/>
      <c r="AD247" s="494" t="s">
        <v>120</v>
      </c>
      <c r="AE247" s="125"/>
      <c r="AF247" s="125"/>
      <c r="AG247" s="125"/>
      <c r="AH247" s="469"/>
      <c r="AI247" s="469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81" t="s">
        <v>119</v>
      </c>
      <c r="BF247" s="238"/>
      <c r="BG247" s="455" t="s">
        <v>120</v>
      </c>
      <c r="BH247" s="238"/>
      <c r="BI247" s="238"/>
      <c r="BJ247" s="238"/>
      <c r="BK247" s="239"/>
      <c r="BL247" s="239"/>
      <c r="BM247" s="238"/>
      <c r="BN247" s="238"/>
      <c r="BO247" s="238"/>
      <c r="BP247" s="238"/>
      <c r="BQ247" s="238"/>
      <c r="BR247" s="238"/>
      <c r="BS247" s="238"/>
      <c r="BT247" s="238"/>
      <c r="BU247" s="238"/>
      <c r="BV247" s="238"/>
      <c r="BW247" s="238"/>
      <c r="BX247" s="238"/>
      <c r="BY247" s="238"/>
      <c r="BZ247" s="238"/>
      <c r="CA247" s="238"/>
      <c r="CB247" s="238"/>
      <c r="CC247" s="238"/>
      <c r="CD247" s="238"/>
      <c r="CE247" s="238"/>
      <c r="CF247" s="238"/>
      <c r="CG247" s="238"/>
      <c r="CH247" s="238"/>
      <c r="CI247" s="238"/>
      <c r="CJ247" s="238"/>
      <c r="CK247" s="238"/>
      <c r="CL247" s="238"/>
      <c r="CM247" s="238"/>
      <c r="CN247" s="238"/>
      <c r="CO247" s="238"/>
      <c r="CP247" s="238"/>
      <c r="CQ247" s="238"/>
      <c r="CR247" s="238"/>
      <c r="CS247" s="238"/>
      <c r="CT247" s="238"/>
      <c r="CU247" s="238"/>
      <c r="CV247" s="238"/>
      <c r="CW247" s="465"/>
    </row>
    <row r="248" spans="2:101" ht="18" customHeight="1" thickTop="1" x14ac:dyDescent="0.25">
      <c r="B248" s="640">
        <f>D238</f>
        <v>3.2466476208953856</v>
      </c>
      <c r="K248" s="458"/>
      <c r="L248" s="184"/>
      <c r="M248" s="454" t="s">
        <v>121</v>
      </c>
      <c r="N248" s="185"/>
      <c r="O248" s="185"/>
      <c r="P248" s="185"/>
      <c r="Q248" s="185"/>
      <c r="R248" s="185"/>
      <c r="S248" s="459"/>
      <c r="T248" s="127"/>
      <c r="U248" s="457" t="s">
        <v>121</v>
      </c>
      <c r="V248" s="126"/>
      <c r="W248" s="126"/>
      <c r="X248" s="126"/>
      <c r="Y248" s="127"/>
      <c r="Z248" s="127"/>
      <c r="AA248" s="127"/>
      <c r="AB248" s="523"/>
      <c r="AC248" s="469"/>
      <c r="AD248" s="524" t="s">
        <v>121</v>
      </c>
      <c r="AE248" s="125"/>
      <c r="AF248" s="125"/>
      <c r="AG248" s="125"/>
      <c r="AH248" s="469"/>
      <c r="AI248" s="469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460"/>
      <c r="BF248" s="239"/>
      <c r="BG248" s="463" t="s">
        <v>121</v>
      </c>
      <c r="BH248" s="238"/>
      <c r="BI248" s="238"/>
      <c r="BJ248" s="238"/>
      <c r="BK248" s="239"/>
      <c r="BL248" s="239"/>
      <c r="BM248" s="238"/>
      <c r="BN248" s="238"/>
      <c r="BO248" s="238"/>
      <c r="BP248" s="238"/>
      <c r="BQ248" s="238"/>
      <c r="BR248" s="238"/>
      <c r="BS248" s="238"/>
      <c r="BT248" s="238"/>
      <c r="BU248" s="238"/>
      <c r="BV248" s="238"/>
      <c r="BW248" s="238"/>
      <c r="BX248" s="238"/>
      <c r="BY248" s="238"/>
      <c r="BZ248" s="238"/>
      <c r="CA248" s="238"/>
      <c r="CB248" s="238"/>
      <c r="CC248" s="238"/>
      <c r="CD248" s="238"/>
      <c r="CE248" s="238"/>
      <c r="CF248" s="238"/>
      <c r="CG248" s="238"/>
      <c r="CH248" s="238"/>
      <c r="CI248" s="238"/>
      <c r="CJ248" s="238"/>
      <c r="CK248" s="238"/>
      <c r="CL248" s="238"/>
      <c r="CM248" s="238"/>
      <c r="CN248" s="238"/>
      <c r="CO248" s="238"/>
      <c r="CP248" s="238"/>
      <c r="CQ248" s="238"/>
      <c r="CR248" s="238"/>
      <c r="CS248" s="238"/>
      <c r="CT248" s="238"/>
      <c r="CU248" s="238"/>
      <c r="CV248" s="238"/>
      <c r="CW248" s="465"/>
    </row>
    <row r="249" spans="2:101" ht="18" customHeight="1" x14ac:dyDescent="0.2">
      <c r="J249" s="575"/>
      <c r="K249" s="184" t="s">
        <v>160</v>
      </c>
      <c r="L249" s="184"/>
      <c r="M249" s="184"/>
      <c r="N249" s="184"/>
      <c r="O249" s="184"/>
      <c r="P249" s="184"/>
      <c r="Q249" s="184"/>
      <c r="R249" s="184"/>
      <c r="S249" s="127" t="s">
        <v>160</v>
      </c>
      <c r="T249" s="127"/>
      <c r="U249" s="127"/>
      <c r="V249" s="127"/>
      <c r="W249" s="127"/>
      <c r="X249" s="127"/>
      <c r="Y249" s="127"/>
      <c r="Z249" s="127"/>
      <c r="AA249" s="127"/>
      <c r="AB249" s="469" t="s">
        <v>160</v>
      </c>
      <c r="AC249" s="469"/>
      <c r="AD249" s="469"/>
      <c r="AE249" s="469"/>
      <c r="AF249" s="469"/>
      <c r="AG249" s="469"/>
      <c r="AH249" s="469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239" t="s">
        <v>160</v>
      </c>
      <c r="BF249" s="239"/>
      <c r="BG249" s="239"/>
      <c r="BH249" s="239"/>
      <c r="BI249" s="239"/>
      <c r="BJ249" s="239"/>
      <c r="BK249" s="239"/>
      <c r="BL249" s="238"/>
      <c r="BM249" s="238"/>
      <c r="BN249" s="238"/>
      <c r="BO249" s="238"/>
      <c r="BP249" s="238"/>
      <c r="BQ249" s="238"/>
      <c r="BR249" s="238"/>
      <c r="BS249" s="238"/>
      <c r="BT249" s="238"/>
      <c r="BU249" s="238"/>
      <c r="BV249" s="238"/>
      <c r="BW249" s="238"/>
      <c r="BX249" s="238"/>
      <c r="BY249" s="238"/>
      <c r="BZ249" s="238"/>
      <c r="CA249" s="238"/>
      <c r="CB249" s="238"/>
      <c r="CC249" s="238"/>
      <c r="CD249" s="238"/>
      <c r="CE249" s="238"/>
      <c r="CF249" s="238"/>
      <c r="CG249" s="238"/>
      <c r="CH249" s="238"/>
      <c r="CI249" s="238"/>
      <c r="CJ249" s="238"/>
      <c r="CK249" s="238"/>
      <c r="CL249" s="238"/>
      <c r="CM249" s="238"/>
      <c r="CN249" s="238"/>
      <c r="CO249" s="238"/>
      <c r="CP249" s="238"/>
      <c r="CQ249" s="238"/>
      <c r="CR249" s="238"/>
      <c r="CS249" s="238"/>
      <c r="CT249" s="238"/>
      <c r="CU249" s="238"/>
      <c r="CV249" s="238"/>
      <c r="CW249" s="465"/>
    </row>
    <row r="250" spans="2:101" ht="18" customHeight="1" x14ac:dyDescent="0.2">
      <c r="B250" s="3" t="s">
        <v>423</v>
      </c>
      <c r="D250" s="1" t="s">
        <v>424</v>
      </c>
      <c r="J250" s="575"/>
      <c r="K250" s="188">
        <f>K12</f>
        <v>19</v>
      </c>
      <c r="L250" s="224">
        <f>L12</f>
        <v>85.5</v>
      </c>
      <c r="M250" s="224">
        <v>0</v>
      </c>
      <c r="N250" s="189">
        <v>0</v>
      </c>
      <c r="O250" s="184"/>
      <c r="P250" s="184"/>
      <c r="Q250" s="184"/>
      <c r="R250" s="184"/>
      <c r="S250" s="132">
        <f t="shared" ref="S250:U252" si="69">U12</f>
        <v>19</v>
      </c>
      <c r="T250" s="133">
        <f t="shared" si="69"/>
        <v>85.5</v>
      </c>
      <c r="U250" s="133">
        <f t="shared" si="69"/>
        <v>527.25</v>
      </c>
      <c r="V250" s="133">
        <v>0</v>
      </c>
      <c r="W250" s="133">
        <v>0</v>
      </c>
      <c r="X250" s="134">
        <v>0</v>
      </c>
      <c r="Y250" s="127"/>
      <c r="Z250" s="127"/>
      <c r="AA250" s="127"/>
      <c r="AB250" s="472">
        <f t="shared" ref="AB250:AE253" si="70">AD12</f>
        <v>19</v>
      </c>
      <c r="AC250" s="473">
        <f t="shared" si="70"/>
        <v>85.5</v>
      </c>
      <c r="AD250" s="473">
        <f t="shared" si="70"/>
        <v>527.25</v>
      </c>
      <c r="AE250" s="473">
        <f t="shared" si="70"/>
        <v>3655.125</v>
      </c>
      <c r="AF250" s="473">
        <v>0</v>
      </c>
      <c r="AG250" s="473">
        <v>0</v>
      </c>
      <c r="AH250" s="473">
        <v>0</v>
      </c>
      <c r="AI250" s="474">
        <v>0</v>
      </c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287">
        <f t="shared" ref="BE250:BI254" si="71">BG12</f>
        <v>19</v>
      </c>
      <c r="BF250" s="288">
        <f t="shared" si="71"/>
        <v>85.5</v>
      </c>
      <c r="BG250" s="288">
        <f t="shared" si="71"/>
        <v>527.25</v>
      </c>
      <c r="BH250" s="288">
        <f t="shared" si="71"/>
        <v>3655.125</v>
      </c>
      <c r="BI250" s="288">
        <f t="shared" si="71"/>
        <v>27021.5625</v>
      </c>
      <c r="BJ250" s="288">
        <v>0</v>
      </c>
      <c r="BK250" s="288">
        <v>0</v>
      </c>
      <c r="BL250" s="288">
        <v>0</v>
      </c>
      <c r="BM250" s="288">
        <v>0</v>
      </c>
      <c r="BN250" s="260">
        <v>0</v>
      </c>
      <c r="BO250" s="238"/>
      <c r="BP250" s="238"/>
      <c r="BQ250" s="238"/>
      <c r="BR250" s="238"/>
      <c r="BS250" s="238"/>
      <c r="BT250" s="238"/>
      <c r="BU250" s="238"/>
      <c r="BV250" s="238"/>
      <c r="BW250" s="238"/>
      <c r="BX250" s="238"/>
      <c r="BY250" s="238"/>
      <c r="BZ250" s="238"/>
      <c r="CA250" s="238"/>
      <c r="CB250" s="238"/>
      <c r="CC250" s="238"/>
      <c r="CD250" s="238"/>
      <c r="CE250" s="238"/>
      <c r="CF250" s="238"/>
      <c r="CG250" s="238"/>
      <c r="CH250" s="238"/>
      <c r="CI250" s="238"/>
      <c r="CJ250" s="238"/>
      <c r="CK250" s="238"/>
      <c r="CL250" s="238"/>
      <c r="CM250" s="238"/>
      <c r="CN250" s="238"/>
      <c r="CO250" s="238"/>
      <c r="CP250" s="238"/>
      <c r="CQ250" s="238"/>
      <c r="CR250" s="238"/>
      <c r="CS250" s="238"/>
      <c r="CT250" s="238"/>
      <c r="CU250" s="238"/>
      <c r="CV250" s="238"/>
      <c r="CW250" s="465"/>
    </row>
    <row r="251" spans="2:101" ht="18" customHeight="1" x14ac:dyDescent="0.2">
      <c r="B251" s="64">
        <f>D244</f>
        <v>5.4533157165102359E-3</v>
      </c>
      <c r="D251" s="64">
        <f>C245</f>
        <v>0.23974675915005567</v>
      </c>
      <c r="K251" s="209">
        <f>K13</f>
        <v>85.5</v>
      </c>
      <c r="L251" s="210">
        <f>L13</f>
        <v>527.25</v>
      </c>
      <c r="M251" s="210">
        <v>0</v>
      </c>
      <c r="N251" s="211">
        <v>0</v>
      </c>
      <c r="O251" s="184"/>
      <c r="P251" s="184"/>
      <c r="Q251" s="184"/>
      <c r="R251" s="184"/>
      <c r="S251" s="137">
        <f t="shared" si="69"/>
        <v>85.5</v>
      </c>
      <c r="T251" s="138">
        <f t="shared" si="69"/>
        <v>527.25</v>
      </c>
      <c r="U251" s="138">
        <f t="shared" si="69"/>
        <v>3655.125</v>
      </c>
      <c r="V251" s="138">
        <v>0</v>
      </c>
      <c r="W251" s="138">
        <v>0</v>
      </c>
      <c r="X251" s="140">
        <v>0</v>
      </c>
      <c r="Y251" s="127"/>
      <c r="Z251" s="127"/>
      <c r="AA251" s="127"/>
      <c r="AB251" s="476">
        <f t="shared" si="70"/>
        <v>85.5</v>
      </c>
      <c r="AC251" s="403">
        <f t="shared" si="70"/>
        <v>527.25</v>
      </c>
      <c r="AD251" s="403">
        <f t="shared" si="70"/>
        <v>3655.125</v>
      </c>
      <c r="AE251" s="403">
        <f t="shared" si="70"/>
        <v>27021.5625</v>
      </c>
      <c r="AF251" s="403">
        <v>0</v>
      </c>
      <c r="AG251" s="403">
        <v>0</v>
      </c>
      <c r="AH251" s="403">
        <v>0</v>
      </c>
      <c r="AI251" s="477">
        <v>0</v>
      </c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264">
        <f t="shared" si="71"/>
        <v>85.5</v>
      </c>
      <c r="BF251" s="244">
        <f t="shared" si="71"/>
        <v>527.25</v>
      </c>
      <c r="BG251" s="244">
        <f t="shared" si="71"/>
        <v>3655.125</v>
      </c>
      <c r="BH251" s="244">
        <f t="shared" si="71"/>
        <v>27021.5625</v>
      </c>
      <c r="BI251" s="244">
        <f t="shared" si="71"/>
        <v>208037.53125</v>
      </c>
      <c r="BJ251" s="244">
        <v>0</v>
      </c>
      <c r="BK251" s="244">
        <v>0</v>
      </c>
      <c r="BL251" s="244">
        <v>0</v>
      </c>
      <c r="BM251" s="244">
        <v>0</v>
      </c>
      <c r="BN251" s="265">
        <v>0</v>
      </c>
      <c r="BO251" s="238"/>
      <c r="BP251" s="238"/>
      <c r="BQ251" s="238"/>
      <c r="BR251" s="238"/>
      <c r="BS251" s="238"/>
      <c r="BT251" s="238"/>
      <c r="BU251" s="238"/>
      <c r="BV251" s="238"/>
      <c r="BW251" s="238"/>
      <c r="BX251" s="238"/>
      <c r="BY251" s="238"/>
      <c r="BZ251" s="238"/>
      <c r="CA251" s="238"/>
      <c r="CB251" s="238"/>
      <c r="CC251" s="238"/>
      <c r="CD251" s="238"/>
      <c r="CE251" s="238"/>
      <c r="CF251" s="238"/>
      <c r="CG251" s="238"/>
      <c r="CH251" s="238"/>
      <c r="CI251" s="238"/>
      <c r="CJ251" s="238"/>
      <c r="CK251" s="238"/>
      <c r="CL251" s="238"/>
      <c r="CM251" s="238"/>
      <c r="CN251" s="238"/>
      <c r="CO251" s="238"/>
      <c r="CP251" s="238"/>
      <c r="CQ251" s="238"/>
      <c r="CR251" s="238"/>
      <c r="CS251" s="238"/>
      <c r="CT251" s="238"/>
      <c r="CU251" s="238"/>
      <c r="CV251" s="238"/>
      <c r="CW251" s="465"/>
    </row>
    <row r="252" spans="2:101" ht="18" customHeight="1" thickBot="1" x14ac:dyDescent="0.25">
      <c r="K252" s="209">
        <v>0</v>
      </c>
      <c r="L252" s="210">
        <v>0</v>
      </c>
      <c r="M252" s="210">
        <f>COUNT(B307:B326)</f>
        <v>9</v>
      </c>
      <c r="N252" s="211">
        <f>SUM(xx)</f>
        <v>40.5</v>
      </c>
      <c r="O252" s="184"/>
      <c r="P252" s="184"/>
      <c r="Q252" s="184"/>
      <c r="R252" s="184"/>
      <c r="S252" s="137">
        <f t="shared" si="69"/>
        <v>527.25</v>
      </c>
      <c r="T252" s="138">
        <f t="shared" si="69"/>
        <v>3655.125</v>
      </c>
      <c r="U252" s="138">
        <f t="shared" si="69"/>
        <v>27021.5625</v>
      </c>
      <c r="V252" s="138">
        <v>0</v>
      </c>
      <c r="W252" s="138">
        <v>0</v>
      </c>
      <c r="X252" s="140">
        <v>0</v>
      </c>
      <c r="Y252" s="127"/>
      <c r="Z252" s="127"/>
      <c r="AA252" s="127"/>
      <c r="AB252" s="476">
        <f t="shared" si="70"/>
        <v>527.25</v>
      </c>
      <c r="AC252" s="403">
        <f t="shared" si="70"/>
        <v>3655.125</v>
      </c>
      <c r="AD252" s="403">
        <f t="shared" si="70"/>
        <v>27021.5625</v>
      </c>
      <c r="AE252" s="403">
        <f t="shared" si="70"/>
        <v>208037.53125</v>
      </c>
      <c r="AF252" s="403">
        <v>0</v>
      </c>
      <c r="AG252" s="403">
        <v>0</v>
      </c>
      <c r="AH252" s="403">
        <v>0</v>
      </c>
      <c r="AI252" s="477">
        <v>0</v>
      </c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264">
        <f t="shared" si="71"/>
        <v>527.25</v>
      </c>
      <c r="BF252" s="244">
        <f t="shared" si="71"/>
        <v>3655.125</v>
      </c>
      <c r="BG252" s="244">
        <f t="shared" si="71"/>
        <v>27021.5625</v>
      </c>
      <c r="BH252" s="244">
        <f t="shared" si="71"/>
        <v>208037.53125</v>
      </c>
      <c r="BI252" s="244">
        <f t="shared" si="71"/>
        <v>1647030.140625</v>
      </c>
      <c r="BJ252" s="244">
        <v>0</v>
      </c>
      <c r="BK252" s="244">
        <v>0</v>
      </c>
      <c r="BL252" s="244">
        <v>0</v>
      </c>
      <c r="BM252" s="244">
        <v>0</v>
      </c>
      <c r="BN252" s="265">
        <v>0</v>
      </c>
      <c r="BO252" s="238"/>
      <c r="BP252" s="238"/>
      <c r="BQ252" s="238"/>
      <c r="BR252" s="238"/>
      <c r="BS252" s="238"/>
      <c r="BT252" s="238"/>
      <c r="BU252" s="238"/>
      <c r="BV252" s="238"/>
      <c r="BW252" s="238"/>
      <c r="BX252" s="238"/>
      <c r="BY252" s="238"/>
      <c r="BZ252" s="238"/>
      <c r="CA252" s="238"/>
      <c r="CB252" s="238"/>
      <c r="CC252" s="238"/>
      <c r="CD252" s="238"/>
      <c r="CE252" s="238"/>
      <c r="CF252" s="238"/>
      <c r="CG252" s="238"/>
      <c r="CH252" s="238"/>
      <c r="CI252" s="238"/>
      <c r="CJ252" s="238"/>
      <c r="CK252" s="238"/>
      <c r="CL252" s="238"/>
      <c r="CM252" s="238"/>
      <c r="CN252" s="238"/>
      <c r="CO252" s="238"/>
      <c r="CP252" s="238"/>
      <c r="CQ252" s="238"/>
      <c r="CR252" s="238"/>
      <c r="CS252" s="238"/>
      <c r="CT252" s="238"/>
      <c r="CU252" s="238"/>
      <c r="CV252" s="238"/>
      <c r="CW252" s="465"/>
    </row>
    <row r="253" spans="2:101" ht="18" customHeight="1" thickTop="1" thickBot="1" x14ac:dyDescent="0.3">
      <c r="B253" s="81" t="s">
        <v>119</v>
      </c>
      <c r="C253"/>
      <c r="D253" s="82" t="s">
        <v>120</v>
      </c>
      <c r="K253" s="190">
        <v>0</v>
      </c>
      <c r="L253" s="216">
        <v>0</v>
      </c>
      <c r="M253" s="216">
        <f>N252</f>
        <v>40.5</v>
      </c>
      <c r="N253" s="191">
        <f>SUMPRODUCT(xx,xx)</f>
        <v>303.75</v>
      </c>
      <c r="O253" s="184"/>
      <c r="P253" s="184"/>
      <c r="Q253" s="184"/>
      <c r="R253" s="184"/>
      <c r="S253" s="137">
        <v>0</v>
      </c>
      <c r="T253" s="138">
        <v>0</v>
      </c>
      <c r="U253" s="138">
        <v>0</v>
      </c>
      <c r="V253" s="138">
        <f>nn</f>
        <v>9</v>
      </c>
      <c r="W253" s="138">
        <f>V254</f>
        <v>40.5</v>
      </c>
      <c r="X253" s="140">
        <f>V255</f>
        <v>303.75</v>
      </c>
      <c r="Y253" s="127"/>
      <c r="Z253" s="127"/>
      <c r="AA253" s="127"/>
      <c r="AB253" s="476">
        <f t="shared" si="70"/>
        <v>3655.125</v>
      </c>
      <c r="AC253" s="403">
        <f t="shared" si="70"/>
        <v>27021.5625</v>
      </c>
      <c r="AD253" s="403">
        <f t="shared" si="70"/>
        <v>208037.53125</v>
      </c>
      <c r="AE253" s="403">
        <f t="shared" si="70"/>
        <v>1647030.140625</v>
      </c>
      <c r="AF253" s="403">
        <v>0</v>
      </c>
      <c r="AG253" s="403">
        <v>0</v>
      </c>
      <c r="AH253" s="403">
        <v>0</v>
      </c>
      <c r="AI253" s="477">
        <v>0</v>
      </c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264">
        <f t="shared" si="71"/>
        <v>3655.125</v>
      </c>
      <c r="BF253" s="244">
        <f t="shared" si="71"/>
        <v>27021.5625</v>
      </c>
      <c r="BG253" s="244">
        <f t="shared" si="71"/>
        <v>208037.53125</v>
      </c>
      <c r="BH253" s="244">
        <f t="shared" si="71"/>
        <v>1647030.140625</v>
      </c>
      <c r="BI253" s="244">
        <f t="shared" si="71"/>
        <v>13307929.3828125</v>
      </c>
      <c r="BJ253" s="244">
        <v>0</v>
      </c>
      <c r="BK253" s="244">
        <v>0</v>
      </c>
      <c r="BL253" s="244">
        <v>0</v>
      </c>
      <c r="BM253" s="244">
        <v>0</v>
      </c>
      <c r="BN253" s="265">
        <v>0</v>
      </c>
      <c r="BO253" s="238"/>
      <c r="BP253" s="238"/>
      <c r="BQ253" s="238"/>
      <c r="BR253" s="238"/>
      <c r="BS253" s="238"/>
      <c r="BT253" s="238"/>
      <c r="BU253" s="238"/>
      <c r="BV253" s="238"/>
      <c r="BW253" s="238"/>
      <c r="BX253" s="238"/>
      <c r="BY253" s="238"/>
      <c r="BZ253" s="238"/>
      <c r="CA253" s="238"/>
      <c r="CB253" s="238"/>
      <c r="CC253" s="238"/>
      <c r="CD253" s="238"/>
      <c r="CE253" s="238"/>
      <c r="CF253" s="238"/>
      <c r="CG253" s="238"/>
      <c r="CH253" s="238"/>
      <c r="CI253" s="238"/>
      <c r="CJ253" s="238"/>
      <c r="CK253" s="238"/>
      <c r="CL253" s="238"/>
      <c r="CM253" s="238"/>
      <c r="CN253" s="238"/>
      <c r="CO253" s="238"/>
      <c r="CP253" s="238"/>
      <c r="CQ253" s="238"/>
      <c r="CR253" s="238"/>
      <c r="CS253" s="238"/>
      <c r="CT253" s="238"/>
      <c r="CU253" s="238"/>
      <c r="CV253" s="238"/>
      <c r="CW253" s="465"/>
    </row>
    <row r="254" spans="2:101" ht="18" customHeight="1" thickTop="1" x14ac:dyDescent="0.25">
      <c r="B254" s="78"/>
      <c r="D254" s="82" t="s">
        <v>457</v>
      </c>
      <c r="K254" s="184"/>
      <c r="L254" s="184"/>
      <c r="M254" s="184"/>
      <c r="N254" s="184"/>
      <c r="O254" s="184"/>
      <c r="P254" s="184"/>
      <c r="Q254" s="184"/>
      <c r="R254" s="184"/>
      <c r="S254" s="137">
        <v>0</v>
      </c>
      <c r="T254" s="138">
        <v>0</v>
      </c>
      <c r="U254" s="138">
        <v>0</v>
      </c>
      <c r="V254" s="138">
        <f>SUM(xx)</f>
        <v>40.5</v>
      </c>
      <c r="W254" s="138">
        <f>SUMPRODUCT(xx,xx)</f>
        <v>303.75</v>
      </c>
      <c r="X254" s="140">
        <f>W255</f>
        <v>2460.375</v>
      </c>
      <c r="Y254" s="127"/>
      <c r="Z254" s="127"/>
      <c r="AA254" s="127"/>
      <c r="AB254" s="476">
        <v>0</v>
      </c>
      <c r="AC254" s="403">
        <v>0</v>
      </c>
      <c r="AD254" s="403">
        <v>0</v>
      </c>
      <c r="AE254" s="403">
        <v>0</v>
      </c>
      <c r="AF254" s="403">
        <f>COUNT(xx)</f>
        <v>9</v>
      </c>
      <c r="AG254" s="403">
        <f>AF255</f>
        <v>40.5</v>
      </c>
      <c r="AH254" s="403">
        <f>AG255</f>
        <v>303.75</v>
      </c>
      <c r="AI254" s="477">
        <f>AH255</f>
        <v>2460.375</v>
      </c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264">
        <f t="shared" si="71"/>
        <v>27021.5625</v>
      </c>
      <c r="BF254" s="244">
        <f t="shared" si="71"/>
        <v>208037.53125</v>
      </c>
      <c r="BG254" s="244">
        <f t="shared" si="71"/>
        <v>1647030.140625</v>
      </c>
      <c r="BH254" s="244">
        <f t="shared" si="71"/>
        <v>13307929.3828125</v>
      </c>
      <c r="BI254" s="244">
        <f t="shared" si="71"/>
        <v>109207686.03515625</v>
      </c>
      <c r="BJ254" s="244">
        <v>0</v>
      </c>
      <c r="BK254" s="244">
        <v>0</v>
      </c>
      <c r="BL254" s="244">
        <v>0</v>
      </c>
      <c r="BM254" s="244">
        <v>0</v>
      </c>
      <c r="BN254" s="265">
        <v>0</v>
      </c>
      <c r="BO254" s="238"/>
      <c r="BP254" s="238"/>
      <c r="BQ254" s="238"/>
      <c r="BR254" s="238"/>
      <c r="BS254" s="238"/>
      <c r="BT254" s="238"/>
      <c r="BU254" s="238"/>
      <c r="BV254" s="238"/>
      <c r="BW254" s="238"/>
      <c r="BX254" s="238"/>
      <c r="BY254" s="238"/>
      <c r="BZ254" s="238"/>
      <c r="CA254" s="238"/>
      <c r="CB254" s="238"/>
      <c r="CC254" s="238"/>
      <c r="CD254" s="238"/>
      <c r="CE254" s="238"/>
      <c r="CF254" s="238"/>
      <c r="CG254" s="238"/>
      <c r="CH254" s="238"/>
      <c r="CI254" s="238"/>
      <c r="CJ254" s="238"/>
      <c r="CK254" s="238"/>
      <c r="CL254" s="238"/>
      <c r="CM254" s="238"/>
      <c r="CN254" s="238"/>
      <c r="CO254" s="238"/>
      <c r="CP254" s="238"/>
      <c r="CQ254" s="238"/>
      <c r="CR254" s="238"/>
      <c r="CS254" s="238"/>
      <c r="CT254" s="238"/>
      <c r="CU254" s="238"/>
      <c r="CV254" s="238"/>
      <c r="CW254" s="465"/>
    </row>
    <row r="255" spans="2:101" ht="18" customHeight="1" x14ac:dyDescent="0.2">
      <c r="K255" s="220" t="s">
        <v>166</v>
      </c>
      <c r="L255" s="221" t="s">
        <v>361</v>
      </c>
      <c r="M255" s="221" t="s">
        <v>362</v>
      </c>
      <c r="N255" s="184"/>
      <c r="O255" s="184"/>
      <c r="P255" s="184"/>
      <c r="Q255" s="184"/>
      <c r="R255" s="184"/>
      <c r="S255" s="141">
        <v>0</v>
      </c>
      <c r="T255" s="142">
        <v>0</v>
      </c>
      <c r="U255" s="142">
        <v>0</v>
      </c>
      <c r="V255" s="142">
        <f>SUM(D307:D326)</f>
        <v>303.75</v>
      </c>
      <c r="W255" s="142">
        <f>SUMPRODUCT(xx,D307:D326)</f>
        <v>2460.375</v>
      </c>
      <c r="X255" s="143">
        <f>SUMPRODUCT(D307:D326,D307:D326)</f>
        <v>20913.1875</v>
      </c>
      <c r="Y255" s="127"/>
      <c r="Z255" s="127"/>
      <c r="AA255" s="127"/>
      <c r="AB255" s="476">
        <v>0</v>
      </c>
      <c r="AC255" s="403">
        <v>0</v>
      </c>
      <c r="AD255" s="403">
        <v>0</v>
      </c>
      <c r="AE255" s="403">
        <v>0</v>
      </c>
      <c r="AF255" s="403">
        <f>SUM(xx)</f>
        <v>40.5</v>
      </c>
      <c r="AG255" s="403">
        <f>SUMPRODUCT(xx,xx)</f>
        <v>303.75</v>
      </c>
      <c r="AH255" s="403">
        <f>AG256</f>
        <v>2460.375</v>
      </c>
      <c r="AI255" s="477">
        <f>AH256</f>
        <v>20913.1875</v>
      </c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264">
        <v>0</v>
      </c>
      <c r="BF255" s="244">
        <v>0</v>
      </c>
      <c r="BG255" s="244">
        <v>0</v>
      </c>
      <c r="BH255" s="244">
        <v>0</v>
      </c>
      <c r="BI255" s="244">
        <v>0</v>
      </c>
      <c r="BJ255" s="244">
        <f t="shared" ref="BJ255:BM258" si="72">AF254</f>
        <v>9</v>
      </c>
      <c r="BK255" s="244">
        <f t="shared" si="72"/>
        <v>40.5</v>
      </c>
      <c r="BL255" s="244">
        <f t="shared" si="72"/>
        <v>303.75</v>
      </c>
      <c r="BM255" s="244">
        <f t="shared" si="72"/>
        <v>2460.375</v>
      </c>
      <c r="BN255" s="265">
        <f>BM256</f>
        <v>20913.1875</v>
      </c>
      <c r="BO255" s="238"/>
      <c r="BP255" s="238"/>
      <c r="BQ255" s="238"/>
      <c r="BR255" s="238"/>
      <c r="BS255" s="238"/>
      <c r="BT255" s="238"/>
      <c r="BU255" s="238"/>
      <c r="BV255" s="238"/>
      <c r="BW255" s="238"/>
      <c r="BX255" s="238"/>
      <c r="BY255" s="238"/>
      <c r="BZ255" s="238"/>
      <c r="CA255" s="238"/>
      <c r="CB255" s="238"/>
      <c r="CC255" s="238"/>
      <c r="CD255" s="238"/>
      <c r="CE255" s="238"/>
      <c r="CF255" s="238"/>
      <c r="CG255" s="238"/>
      <c r="CH255" s="238"/>
      <c r="CI255" s="238"/>
      <c r="CJ255" s="238"/>
      <c r="CK255" s="238"/>
      <c r="CL255" s="238"/>
      <c r="CM255" s="238"/>
      <c r="CN255" s="238"/>
      <c r="CO255" s="238"/>
      <c r="CP255" s="238"/>
      <c r="CQ255" s="238"/>
      <c r="CR255" s="238"/>
      <c r="CS255" s="238"/>
      <c r="CT255" s="238"/>
      <c r="CU255" s="238"/>
      <c r="CV255" s="238"/>
      <c r="CW255" s="465"/>
    </row>
    <row r="256" spans="2:101" ht="18" customHeight="1" x14ac:dyDescent="0.2">
      <c r="B256" s="2" t="s">
        <v>356</v>
      </c>
      <c r="C256"/>
      <c r="D256"/>
      <c r="E256"/>
      <c r="F256"/>
      <c r="G256"/>
      <c r="H256"/>
      <c r="I256"/>
      <c r="K256" s="193">
        <f>MDETERM(K250:N253)</f>
        <v>2960651.2499999986</v>
      </c>
      <c r="L256" s="193">
        <f>MDETERM(K250:L251)</f>
        <v>2707.4999999999991</v>
      </c>
      <c r="M256" s="193">
        <f>MDETERM(M252:N253)</f>
        <v>1093.5</v>
      </c>
      <c r="N256" s="184"/>
      <c r="O256" s="184"/>
      <c r="P256" s="184"/>
      <c r="Q256" s="184"/>
      <c r="R256" s="184"/>
      <c r="S256" s="127"/>
      <c r="T256" s="127"/>
      <c r="U256" s="127"/>
      <c r="V256" s="127"/>
      <c r="W256" s="127"/>
      <c r="X256" s="127"/>
      <c r="Y256" s="127"/>
      <c r="Z256" s="127"/>
      <c r="AA256" s="127"/>
      <c r="AB256" s="476">
        <v>0</v>
      </c>
      <c r="AC256" s="403">
        <v>0</v>
      </c>
      <c r="AD256" s="403">
        <v>0</v>
      </c>
      <c r="AE256" s="403">
        <v>0</v>
      </c>
      <c r="AF256" s="403">
        <f>AG255</f>
        <v>303.75</v>
      </c>
      <c r="AG256" s="403">
        <f>AF257</f>
        <v>2460.375</v>
      </c>
      <c r="AH256" s="403">
        <f>AG257</f>
        <v>20913.1875</v>
      </c>
      <c r="AI256" s="477">
        <f>AH257</f>
        <v>182682.84375</v>
      </c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264">
        <v>0</v>
      </c>
      <c r="BF256" s="244">
        <v>0</v>
      </c>
      <c r="BG256" s="244">
        <v>0</v>
      </c>
      <c r="BH256" s="244">
        <v>0</v>
      </c>
      <c r="BI256" s="244">
        <v>0</v>
      </c>
      <c r="BJ256" s="244">
        <f t="shared" si="72"/>
        <v>40.5</v>
      </c>
      <c r="BK256" s="244">
        <f t="shared" si="72"/>
        <v>303.75</v>
      </c>
      <c r="BL256" s="244">
        <f t="shared" si="72"/>
        <v>2460.375</v>
      </c>
      <c r="BM256" s="244">
        <f t="shared" si="72"/>
        <v>20913.1875</v>
      </c>
      <c r="BN256" s="265">
        <f>BM257</f>
        <v>182682.84375</v>
      </c>
      <c r="BO256" s="238"/>
      <c r="BP256" s="238"/>
      <c r="BQ256" s="238"/>
      <c r="BR256" s="238"/>
      <c r="BS256" s="238"/>
      <c r="BT256" s="238"/>
      <c r="BU256" s="238"/>
      <c r="BV256" s="238"/>
      <c r="BW256" s="238"/>
      <c r="BX256" s="238"/>
      <c r="BY256" s="238"/>
      <c r="BZ256" s="238"/>
      <c r="CA256" s="238"/>
      <c r="CB256" s="238"/>
      <c r="CC256" s="238"/>
      <c r="CD256" s="238"/>
      <c r="CE256" s="238"/>
      <c r="CF256" s="238"/>
      <c r="CG256" s="238"/>
      <c r="CH256" s="238"/>
      <c r="CI256" s="238"/>
      <c r="CJ256" s="238"/>
      <c r="CK256" s="238"/>
      <c r="CL256" s="238"/>
      <c r="CM256" s="238"/>
      <c r="CN256" s="238"/>
      <c r="CO256" s="238"/>
      <c r="CP256" s="238"/>
      <c r="CQ256" s="238"/>
      <c r="CR256" s="238"/>
      <c r="CS256" s="238"/>
      <c r="CT256" s="238"/>
      <c r="CU256" s="238"/>
      <c r="CV256" s="238"/>
      <c r="CW256" s="465"/>
    </row>
    <row r="257" spans="2:101" ht="18" customHeight="1" x14ac:dyDescent="0.2">
      <c r="B257" s="1" t="s">
        <v>357</v>
      </c>
      <c r="C257"/>
      <c r="D257"/>
      <c r="E257"/>
      <c r="F257"/>
      <c r="G257"/>
      <c r="H257"/>
      <c r="I257"/>
      <c r="K257" s="184"/>
      <c r="L257" s="184"/>
      <c r="M257" s="184"/>
      <c r="N257" s="184"/>
      <c r="O257" s="184"/>
      <c r="P257" s="184"/>
      <c r="Q257" s="184"/>
      <c r="R257" s="184"/>
      <c r="S257" s="173" t="s">
        <v>166</v>
      </c>
      <c r="T257" s="174" t="s">
        <v>361</v>
      </c>
      <c r="U257" s="174" t="s">
        <v>362</v>
      </c>
      <c r="V257" s="127"/>
      <c r="W257" s="127"/>
      <c r="X257" s="127"/>
      <c r="Y257" s="127"/>
      <c r="Z257" s="127"/>
      <c r="AA257" s="127"/>
      <c r="AB257" s="479">
        <v>0</v>
      </c>
      <c r="AC257" s="480">
        <v>0</v>
      </c>
      <c r="AD257" s="480">
        <v>0</v>
      </c>
      <c r="AE257" s="480">
        <v>0</v>
      </c>
      <c r="AF257" s="480">
        <f>SUMPRODUCT(xx,D307:D326)</f>
        <v>2460.375</v>
      </c>
      <c r="AG257" s="480">
        <f>SUMPRODUCT(D307:D326,D307:D326)</f>
        <v>20913.1875</v>
      </c>
      <c r="AH257" s="480">
        <f>SUMPRODUCT(D307:D326,E307:E326)</f>
        <v>182682.84375</v>
      </c>
      <c r="AI257" s="481">
        <f>SUMPRODUCT(E307:E326,E307:E326)</f>
        <v>1619234.296875</v>
      </c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264">
        <v>0</v>
      </c>
      <c r="BF257" s="244">
        <v>0</v>
      </c>
      <c r="BG257" s="244">
        <v>0</v>
      </c>
      <c r="BH257" s="244">
        <v>0</v>
      </c>
      <c r="BI257" s="244">
        <v>0</v>
      </c>
      <c r="BJ257" s="244">
        <f t="shared" si="72"/>
        <v>303.75</v>
      </c>
      <c r="BK257" s="244">
        <f t="shared" si="72"/>
        <v>2460.375</v>
      </c>
      <c r="BL257" s="244">
        <f t="shared" si="72"/>
        <v>20913.1875</v>
      </c>
      <c r="BM257" s="244">
        <f t="shared" si="72"/>
        <v>182682.84375</v>
      </c>
      <c r="BN257" s="265">
        <f>BM258</f>
        <v>1619234.296875</v>
      </c>
      <c r="BO257" s="238"/>
      <c r="BP257" s="238"/>
      <c r="BQ257" s="238"/>
      <c r="BR257" s="238"/>
      <c r="BS257" s="238"/>
      <c r="BT257" s="238"/>
      <c r="BU257" s="238"/>
      <c r="BV257" s="238"/>
      <c r="BW257" s="238"/>
      <c r="BX257" s="238"/>
      <c r="BY257" s="238"/>
      <c r="BZ257" s="238"/>
      <c r="CA257" s="238"/>
      <c r="CB257" s="238"/>
      <c r="CC257" s="238"/>
      <c r="CD257" s="238"/>
      <c r="CE257" s="238"/>
      <c r="CF257" s="238"/>
      <c r="CG257" s="238"/>
      <c r="CH257" s="238"/>
      <c r="CI257" s="238"/>
      <c r="CJ257" s="238"/>
      <c r="CK257" s="238"/>
      <c r="CL257" s="238"/>
      <c r="CM257" s="238"/>
      <c r="CN257" s="238"/>
      <c r="CO257" s="238"/>
      <c r="CP257" s="238"/>
      <c r="CQ257" s="238"/>
      <c r="CR257" s="238"/>
      <c r="CS257" s="238"/>
      <c r="CT257" s="238"/>
      <c r="CU257" s="238"/>
      <c r="CV257" s="238"/>
      <c r="CW257" s="465"/>
    </row>
    <row r="258" spans="2:101" ht="18" customHeight="1" x14ac:dyDescent="0.2">
      <c r="B258" s="1" t="s">
        <v>358</v>
      </c>
      <c r="C258"/>
      <c r="D258"/>
      <c r="E258"/>
      <c r="F258"/>
      <c r="G258"/>
      <c r="H258"/>
      <c r="I258"/>
      <c r="K258" s="184" t="s">
        <v>168</v>
      </c>
      <c r="L258" s="184"/>
      <c r="M258" s="184"/>
      <c r="N258" s="184"/>
      <c r="O258" s="184"/>
      <c r="P258" s="184"/>
      <c r="Q258" s="184"/>
      <c r="R258" s="184"/>
      <c r="S258" s="145">
        <f>MDETERM(S250:X255)</f>
        <v>2058728769219.1941</v>
      </c>
      <c r="T258" s="145">
        <f>MDETERM(S250:U252)</f>
        <v>2295621.5624999902</v>
      </c>
      <c r="U258" s="145">
        <f>MDETERM(V253:X255)</f>
        <v>896806.68750000151</v>
      </c>
      <c r="V258" s="127"/>
      <c r="W258" s="127"/>
      <c r="X258" s="127"/>
      <c r="Y258" s="127"/>
      <c r="Z258" s="127"/>
      <c r="AA258" s="127"/>
      <c r="AB258" s="510"/>
      <c r="AC258" s="520"/>
      <c r="AD258" s="520"/>
      <c r="AE258" s="469"/>
      <c r="AF258" s="469"/>
      <c r="AG258" s="469"/>
      <c r="AH258" s="469"/>
      <c r="AI258" s="469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264">
        <v>0</v>
      </c>
      <c r="BF258" s="244">
        <v>0</v>
      </c>
      <c r="BG258" s="244">
        <v>0</v>
      </c>
      <c r="BH258" s="244">
        <v>0</v>
      </c>
      <c r="BI258" s="244">
        <v>0</v>
      </c>
      <c r="BJ258" s="244">
        <f t="shared" si="72"/>
        <v>2460.375</v>
      </c>
      <c r="BK258" s="244">
        <f t="shared" si="72"/>
        <v>20913.1875</v>
      </c>
      <c r="BL258" s="244">
        <f t="shared" si="72"/>
        <v>182682.84375</v>
      </c>
      <c r="BM258" s="244">
        <f t="shared" si="72"/>
        <v>1619234.296875</v>
      </c>
      <c r="BN258" s="265">
        <f>BM259</f>
        <v>14461007.8359375</v>
      </c>
      <c r="BO258" s="238"/>
      <c r="BP258" s="238"/>
      <c r="BQ258" s="238"/>
      <c r="BR258" s="238"/>
      <c r="BS258" s="238"/>
      <c r="BT258" s="238"/>
      <c r="BU258" s="238"/>
      <c r="BV258" s="238"/>
      <c r="BW258" s="238"/>
      <c r="BX258" s="238"/>
      <c r="BY258" s="238"/>
      <c r="BZ258" s="238"/>
      <c r="CA258" s="238"/>
      <c r="CB258" s="238"/>
      <c r="CC258" s="238"/>
      <c r="CD258" s="238"/>
      <c r="CE258" s="238"/>
      <c r="CF258" s="238"/>
      <c r="CG258" s="238"/>
      <c r="CH258" s="238"/>
      <c r="CI258" s="238"/>
      <c r="CJ258" s="238"/>
      <c r="CK258" s="238"/>
      <c r="CL258" s="238"/>
      <c r="CM258" s="238"/>
      <c r="CN258" s="238"/>
      <c r="CO258" s="238"/>
      <c r="CP258" s="238"/>
      <c r="CQ258" s="238"/>
      <c r="CR258" s="238"/>
      <c r="CS258" s="238"/>
      <c r="CT258" s="238"/>
      <c r="CU258" s="238"/>
      <c r="CV258" s="238"/>
      <c r="CW258" s="465"/>
    </row>
    <row r="259" spans="2:101" ht="18" customHeight="1" x14ac:dyDescent="0.2">
      <c r="B259" t="s">
        <v>359</v>
      </c>
      <c r="C259"/>
      <c r="D259"/>
      <c r="E259"/>
      <c r="F259"/>
      <c r="G259"/>
      <c r="H259"/>
      <c r="I259"/>
      <c r="J259"/>
      <c r="K259" s="188">
        <f>L251*M256/K256</f>
        <v>0.19473684210526326</v>
      </c>
      <c r="L259" s="224">
        <f>K260</f>
        <v>-3.1578947368421068E-2</v>
      </c>
      <c r="M259" s="224">
        <v>0</v>
      </c>
      <c r="N259" s="189">
        <v>0</v>
      </c>
      <c r="O259" s="184"/>
      <c r="P259" s="184"/>
      <c r="Q259" s="184"/>
      <c r="R259" s="184"/>
      <c r="S259" s="127"/>
      <c r="T259" s="127"/>
      <c r="U259" s="127"/>
      <c r="V259" s="127"/>
      <c r="W259" s="127"/>
      <c r="X259" s="127"/>
      <c r="Y259" s="127"/>
      <c r="Z259" s="127"/>
      <c r="AA259" s="127"/>
      <c r="AB259" s="469" t="s">
        <v>168</v>
      </c>
      <c r="AC259" s="469"/>
      <c r="AD259" s="469"/>
      <c r="AE259" s="469"/>
      <c r="AF259" s="469"/>
      <c r="AG259" s="469"/>
      <c r="AH259" s="469"/>
      <c r="AI259" s="469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273">
        <v>0</v>
      </c>
      <c r="BF259" s="274">
        <v>0</v>
      </c>
      <c r="BG259" s="274">
        <v>0</v>
      </c>
      <c r="BH259" s="274">
        <v>0</v>
      </c>
      <c r="BI259" s="274">
        <v>0</v>
      </c>
      <c r="BJ259" s="274">
        <f>BK258</f>
        <v>20913.1875</v>
      </c>
      <c r="BK259" s="274">
        <f>BL258</f>
        <v>182682.84375</v>
      </c>
      <c r="BL259" s="274">
        <f>BM258</f>
        <v>1619234.296875</v>
      </c>
      <c r="BM259" s="274">
        <f>SUMPRODUCT(F307:F326,E307:E326)</f>
        <v>14461007.8359375</v>
      </c>
      <c r="BN259" s="275">
        <f>SUMPRODUCT(F307:F326,F307:F326)</f>
        <v>129644616.76171875</v>
      </c>
      <c r="BO259" s="238"/>
      <c r="BP259" s="238"/>
      <c r="BQ259" s="238"/>
      <c r="BR259" s="238"/>
      <c r="BS259" s="238"/>
      <c r="BT259" s="238"/>
      <c r="BU259" s="238"/>
      <c r="BV259" s="238"/>
      <c r="BW259" s="238"/>
      <c r="BX259" s="238"/>
      <c r="BY259" s="238"/>
      <c r="BZ259" s="238"/>
      <c r="CA259" s="238"/>
      <c r="CB259" s="238"/>
      <c r="CC259" s="238"/>
      <c r="CD259" s="238"/>
      <c r="CE259" s="238"/>
      <c r="CF259" s="238"/>
      <c r="CG259" s="238"/>
      <c r="CH259" s="238"/>
      <c r="CI259" s="238"/>
      <c r="CJ259" s="238"/>
      <c r="CK259" s="238"/>
      <c r="CL259" s="238"/>
      <c r="CM259" s="238"/>
      <c r="CN259" s="238"/>
      <c r="CO259" s="238"/>
      <c r="CP259" s="238"/>
      <c r="CQ259" s="238"/>
      <c r="CR259" s="238"/>
      <c r="CS259" s="238"/>
      <c r="CT259" s="238"/>
      <c r="CU259" s="238"/>
      <c r="CV259" s="238"/>
      <c r="CW259" s="465"/>
    </row>
    <row r="260" spans="2:101" ht="18" customHeight="1" x14ac:dyDescent="0.2">
      <c r="B260" t="s">
        <v>360</v>
      </c>
      <c r="C260"/>
      <c r="D260"/>
      <c r="E260"/>
      <c r="F260"/>
      <c r="G260"/>
      <c r="H260"/>
      <c r="I260"/>
      <c r="J260"/>
      <c r="K260" s="209">
        <f>-L250*M256/K256</f>
        <v>-3.1578947368421068E-2</v>
      </c>
      <c r="L260" s="210">
        <f>K250*M256/K256</f>
        <v>7.0175438596491264E-3</v>
      </c>
      <c r="M260" s="210">
        <v>0</v>
      </c>
      <c r="N260" s="211">
        <v>0</v>
      </c>
      <c r="O260" s="184"/>
      <c r="P260" s="184"/>
      <c r="Q260" s="184"/>
      <c r="R260" s="184"/>
      <c r="S260" s="127" t="s">
        <v>168</v>
      </c>
      <c r="T260" s="127"/>
      <c r="U260" s="127"/>
      <c r="V260" s="127"/>
      <c r="W260" s="127"/>
      <c r="X260" s="127"/>
      <c r="Y260" s="127"/>
      <c r="Z260" s="127"/>
      <c r="AA260" s="127"/>
      <c r="AB260" s="472">
        <f t="shared" ref="AB260:AE263" si="73">AD20</f>
        <v>0.58168147641829382</v>
      </c>
      <c r="AC260" s="473">
        <f t="shared" si="73"/>
        <v>-0.46867167919796343</v>
      </c>
      <c r="AD260" s="473">
        <f t="shared" si="73"/>
        <v>0.10116199589882956</v>
      </c>
      <c r="AE260" s="473">
        <f t="shared" si="73"/>
        <v>-6.3795853269531713E-3</v>
      </c>
      <c r="AF260" s="473">
        <v>0</v>
      </c>
      <c r="AG260" s="473">
        <v>0</v>
      </c>
      <c r="AH260" s="473">
        <v>0</v>
      </c>
      <c r="AI260" s="474">
        <v>0</v>
      </c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238"/>
      <c r="BF260" s="238"/>
      <c r="BG260" s="238"/>
      <c r="BH260" s="238"/>
      <c r="BI260" s="238"/>
      <c r="BJ260" s="238"/>
      <c r="BK260" s="238"/>
      <c r="BL260" s="238"/>
      <c r="BM260" s="238"/>
      <c r="BN260" s="238"/>
      <c r="BO260" s="238"/>
      <c r="BP260" s="238"/>
      <c r="BQ260" s="238"/>
      <c r="BR260" s="238"/>
      <c r="BS260" s="238"/>
      <c r="BT260" s="238"/>
      <c r="BU260" s="238"/>
      <c r="BV260" s="238"/>
      <c r="BW260" s="238"/>
      <c r="BX260" s="238"/>
      <c r="BY260" s="238"/>
      <c r="BZ260" s="238"/>
      <c r="CA260" s="238"/>
      <c r="CB260" s="238"/>
      <c r="CC260" s="238"/>
      <c r="CD260" s="238"/>
      <c r="CE260" s="238"/>
      <c r="CF260" s="238"/>
      <c r="CG260" s="238"/>
      <c r="CH260" s="238"/>
      <c r="CI260" s="238"/>
      <c r="CJ260" s="238"/>
      <c r="CK260" s="238"/>
      <c r="CL260" s="238"/>
      <c r="CM260" s="238"/>
      <c r="CN260" s="238"/>
      <c r="CO260" s="238"/>
      <c r="CP260" s="238"/>
      <c r="CQ260" s="238"/>
      <c r="CR260" s="238"/>
      <c r="CS260" s="238"/>
      <c r="CT260" s="238"/>
      <c r="CU260" s="238"/>
      <c r="CV260" s="238"/>
      <c r="CW260" s="465"/>
    </row>
    <row r="261" spans="2:101" ht="18" customHeight="1" x14ac:dyDescent="0.2">
      <c r="B261"/>
      <c r="C261"/>
      <c r="D261"/>
      <c r="E261"/>
      <c r="F261"/>
      <c r="G261"/>
      <c r="H261"/>
      <c r="I261"/>
      <c r="J261"/>
      <c r="K261" s="209">
        <v>0</v>
      </c>
      <c r="L261" s="210">
        <v>0</v>
      </c>
      <c r="M261" s="210">
        <f>N253*L256/K256</f>
        <v>0.27777777777777785</v>
      </c>
      <c r="N261" s="211">
        <f>M262</f>
        <v>-3.7037037037037042E-2</v>
      </c>
      <c r="O261" s="184"/>
      <c r="P261" s="184"/>
      <c r="Q261" s="184"/>
      <c r="R261" s="184"/>
      <c r="S261" s="132">
        <f>(T251*U252-T252*U251)/T258</f>
        <v>0.38646616541353546</v>
      </c>
      <c r="T261" s="133">
        <f>S262</f>
        <v>-0.16691729323308341</v>
      </c>
      <c r="U261" s="133">
        <f>S263</f>
        <v>1.5037593984962469E-2</v>
      </c>
      <c r="V261" s="133">
        <v>0</v>
      </c>
      <c r="W261" s="133">
        <v>0</v>
      </c>
      <c r="X261" s="134">
        <v>0</v>
      </c>
      <c r="Y261" s="127"/>
      <c r="Z261" s="127"/>
      <c r="AA261" s="127"/>
      <c r="AB261" s="476">
        <f t="shared" si="73"/>
        <v>-0.46867167919797126</v>
      </c>
      <c r="AC261" s="403">
        <f t="shared" si="73"/>
        <v>0.56898782904971779</v>
      </c>
      <c r="AD261" s="403">
        <f t="shared" si="73"/>
        <v>-0.14374170720919138</v>
      </c>
      <c r="AE261" s="403">
        <f t="shared" si="73"/>
        <v>9.8612544432972165E-3</v>
      </c>
      <c r="AF261" s="403">
        <v>0</v>
      </c>
      <c r="AG261" s="403">
        <v>0</v>
      </c>
      <c r="AH261" s="403">
        <v>0</v>
      </c>
      <c r="AI261" s="477">
        <v>0</v>
      </c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239" t="s">
        <v>168</v>
      </c>
      <c r="BF261" s="239"/>
      <c r="BG261" s="239"/>
      <c r="BH261" s="239"/>
      <c r="BI261" s="239"/>
      <c r="BJ261" s="239">
        <v>1</v>
      </c>
      <c r="BK261" s="239">
        <v>2</v>
      </c>
      <c r="BL261" s="239">
        <v>3</v>
      </c>
      <c r="BM261" s="238">
        <v>4</v>
      </c>
      <c r="BN261" s="238">
        <v>5</v>
      </c>
      <c r="BO261" s="238"/>
      <c r="BP261" s="238"/>
      <c r="BQ261" s="238"/>
      <c r="BR261" s="238"/>
      <c r="BS261" s="238"/>
      <c r="BT261" s="238"/>
      <c r="BU261" s="238"/>
      <c r="BV261" s="238"/>
      <c r="BW261" s="238"/>
      <c r="BX261" s="238"/>
      <c r="BY261" s="238"/>
      <c r="BZ261" s="238"/>
      <c r="CA261" s="238"/>
      <c r="CB261" s="238"/>
      <c r="CC261" s="238"/>
      <c r="CD261" s="238"/>
      <c r="CE261" s="238"/>
      <c r="CF261" s="238"/>
      <c r="CG261" s="238"/>
      <c r="CH261" s="238"/>
      <c r="CI261" s="238"/>
      <c r="CJ261" s="238"/>
      <c r="CK261" s="238"/>
      <c r="CL261" s="238"/>
      <c r="CM261" s="238"/>
      <c r="CN261" s="238"/>
      <c r="CO261" s="238"/>
      <c r="CP261" s="238"/>
      <c r="CQ261" s="238"/>
      <c r="CR261" s="238"/>
      <c r="CS261" s="238"/>
      <c r="CT261" s="238"/>
      <c r="CU261" s="238"/>
      <c r="CV261" s="238"/>
      <c r="CW261" s="465"/>
    </row>
    <row r="262" spans="2:101" ht="18" customHeight="1" x14ac:dyDescent="0.2">
      <c r="B262"/>
      <c r="C262" s="97" t="s">
        <v>363</v>
      </c>
      <c r="D262"/>
      <c r="E262" s="98" t="s">
        <v>364</v>
      </c>
      <c r="F262" s="51" t="s">
        <v>318</v>
      </c>
      <c r="G262"/>
      <c r="H262"/>
      <c r="I262"/>
      <c r="J262"/>
      <c r="K262" s="190">
        <v>0</v>
      </c>
      <c r="L262" s="216">
        <v>0</v>
      </c>
      <c r="M262" s="216">
        <f>-N252*L256/K256</f>
        <v>-3.7037037037037042E-2</v>
      </c>
      <c r="N262" s="191">
        <f>M252*L256/K256</f>
        <v>8.23045267489712E-3</v>
      </c>
      <c r="O262" s="184"/>
      <c r="P262" s="184"/>
      <c r="Q262" s="184"/>
      <c r="R262" s="184"/>
      <c r="S262" s="137">
        <f>(T252*U250-T250*U252)/T258</f>
        <v>-0.16691729323308341</v>
      </c>
      <c r="T262" s="138">
        <f>(S250*U252-S252*U250)/T258</f>
        <v>0.10255049388176367</v>
      </c>
      <c r="U262" s="138">
        <f>T263</f>
        <v>-1.0614772224679391E-2</v>
      </c>
      <c r="V262" s="138">
        <v>0</v>
      </c>
      <c r="W262" s="138">
        <v>0</v>
      </c>
      <c r="X262" s="140">
        <v>0</v>
      </c>
      <c r="Y262" s="127"/>
      <c r="Z262" s="127"/>
      <c r="AA262" s="127"/>
      <c r="AB262" s="476">
        <f t="shared" si="73"/>
        <v>0.10116199589883261</v>
      </c>
      <c r="AC262" s="403">
        <f t="shared" si="73"/>
        <v>-0.14374170720919252</v>
      </c>
      <c r="AD262" s="403">
        <f t="shared" si="73"/>
        <v>3.9175478803959961E-2</v>
      </c>
      <c r="AE262" s="403">
        <f t="shared" si="73"/>
        <v>-2.8145229383618195E-3</v>
      </c>
      <c r="AF262" s="403">
        <v>0</v>
      </c>
      <c r="AG262" s="403">
        <v>0</v>
      </c>
      <c r="AH262" s="403">
        <v>0</v>
      </c>
      <c r="AI262" s="477">
        <v>0</v>
      </c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287">
        <f t="shared" ref="BE262:BI266" si="74">BG19</f>
        <v>0.74537133347188533</v>
      </c>
      <c r="BF262" s="288">
        <f t="shared" si="74"/>
        <v>-0.9493100339778906</v>
      </c>
      <c r="BG262" s="288">
        <f t="shared" si="74"/>
        <v>0.3567713750778384</v>
      </c>
      <c r="BH262" s="288">
        <f t="shared" si="74"/>
        <v>-5.1314055890685085E-2</v>
      </c>
      <c r="BI262" s="288">
        <f t="shared" si="74"/>
        <v>2.4963594757628628E-3</v>
      </c>
      <c r="BJ262" s="288">
        <v>0</v>
      </c>
      <c r="BK262" s="288">
        <v>0</v>
      </c>
      <c r="BL262" s="288">
        <v>0</v>
      </c>
      <c r="BM262" s="288">
        <v>0</v>
      </c>
      <c r="BN262" s="260">
        <v>0</v>
      </c>
      <c r="BO262" s="238"/>
      <c r="BP262" s="238"/>
      <c r="BQ262" s="238"/>
      <c r="BR262" s="238"/>
      <c r="BS262" s="238"/>
      <c r="BT262" s="238"/>
      <c r="BU262" s="238"/>
      <c r="BV262" s="238"/>
      <c r="BW262" s="238"/>
      <c r="BX262" s="238"/>
      <c r="BY262" s="238"/>
      <c r="BZ262" s="238"/>
      <c r="CA262" s="238"/>
      <c r="CB262" s="238"/>
      <c r="CC262" s="238"/>
      <c r="CD262" s="238"/>
      <c r="CE262" s="238"/>
      <c r="CF262" s="238"/>
      <c r="CG262" s="238"/>
      <c r="CH262" s="238"/>
      <c r="CI262" s="238"/>
      <c r="CJ262" s="238"/>
      <c r="CK262" s="238"/>
      <c r="CL262" s="238"/>
      <c r="CM262" s="238"/>
      <c r="CN262" s="238"/>
      <c r="CO262" s="238"/>
      <c r="CP262" s="238"/>
      <c r="CQ262" s="238"/>
      <c r="CR262" s="238"/>
      <c r="CS262" s="238"/>
      <c r="CT262" s="238"/>
      <c r="CU262" s="238"/>
      <c r="CV262" s="238"/>
      <c r="CW262" s="465"/>
    </row>
    <row r="263" spans="2:101" ht="18" customHeight="1" thickBot="1" x14ac:dyDescent="0.25">
      <c r="B263"/>
      <c r="C263" t="s">
        <v>365</v>
      </c>
      <c r="D263"/>
      <c r="E263" s="98" t="s">
        <v>270</v>
      </c>
      <c r="F263" s="51" t="s">
        <v>366</v>
      </c>
      <c r="G263"/>
      <c r="H263"/>
      <c r="I263"/>
      <c r="J263"/>
      <c r="K263" s="185"/>
      <c r="L263" s="185"/>
      <c r="M263" s="185"/>
      <c r="N263" s="185"/>
      <c r="O263" s="184"/>
      <c r="P263" s="201"/>
      <c r="Q263" s="184"/>
      <c r="R263" s="184"/>
      <c r="S263" s="137">
        <f>(T250*U251-T251*U250)/T258</f>
        <v>1.5037593984962469E-2</v>
      </c>
      <c r="T263" s="138">
        <f>(S251*U250-U251*S250)/T258</f>
        <v>-1.0614772224679391E-2</v>
      </c>
      <c r="U263" s="138">
        <f>(S250*T251-S251*T250)/T258</f>
        <v>1.1794191360754878E-3</v>
      </c>
      <c r="V263" s="138">
        <v>0</v>
      </c>
      <c r="W263" s="138">
        <v>0</v>
      </c>
      <c r="X263" s="140">
        <v>0</v>
      </c>
      <c r="Y263" s="127"/>
      <c r="Z263" s="127"/>
      <c r="AA263" s="127"/>
      <c r="AB263" s="476">
        <f t="shared" si="73"/>
        <v>-6.3795853269534002E-3</v>
      </c>
      <c r="AC263" s="403">
        <f t="shared" si="73"/>
        <v>9.8612544432973431E-3</v>
      </c>
      <c r="AD263" s="403">
        <f t="shared" si="73"/>
        <v>-2.8145229383618321E-3</v>
      </c>
      <c r="AE263" s="403">
        <f t="shared" si="73"/>
        <v>2.0848318061939539E-4</v>
      </c>
      <c r="AF263" s="403">
        <v>0</v>
      </c>
      <c r="AG263" s="403">
        <v>0</v>
      </c>
      <c r="AH263" s="403">
        <v>0</v>
      </c>
      <c r="AI263" s="477">
        <v>0</v>
      </c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264">
        <f t="shared" si="74"/>
        <v>-0.94931003397774971</v>
      </c>
      <c r="BF263" s="244">
        <f t="shared" si="74"/>
        <v>1.9802739786237895</v>
      </c>
      <c r="BG263" s="244">
        <f t="shared" si="74"/>
        <v>-0.89428101175918173</v>
      </c>
      <c r="BH263" s="244">
        <f t="shared" si="74"/>
        <v>0.14180119497109753</v>
      </c>
      <c r="BI263" s="244">
        <f t="shared" si="74"/>
        <v>-7.3299966959890165E-3</v>
      </c>
      <c r="BJ263" s="244">
        <v>0</v>
      </c>
      <c r="BK263" s="244">
        <v>0</v>
      </c>
      <c r="BL263" s="244">
        <v>0</v>
      </c>
      <c r="BM263" s="244">
        <v>0</v>
      </c>
      <c r="BN263" s="265">
        <v>0</v>
      </c>
      <c r="BO263" s="238"/>
      <c r="BP263" s="238"/>
      <c r="BQ263" s="238"/>
      <c r="BR263" s="238"/>
      <c r="BS263" s="238"/>
      <c r="BT263" s="238"/>
      <c r="BU263" s="238"/>
      <c r="BV263" s="238"/>
      <c r="BW263" s="238"/>
      <c r="BX263" s="238"/>
      <c r="BY263" s="238"/>
      <c r="BZ263" s="238"/>
      <c r="CA263" s="238"/>
      <c r="CB263" s="238"/>
      <c r="CC263" s="238"/>
      <c r="CD263" s="238"/>
      <c r="CE263" s="238"/>
      <c r="CF263" s="238"/>
      <c r="CG263" s="238"/>
      <c r="CH263" s="238"/>
      <c r="CI263" s="238"/>
      <c r="CJ263" s="238"/>
      <c r="CK263" s="238"/>
      <c r="CL263" s="238"/>
      <c r="CM263" s="238"/>
      <c r="CN263" s="238"/>
      <c r="CO263" s="238"/>
      <c r="CP263" s="238"/>
      <c r="CQ263" s="238"/>
      <c r="CR263" s="238"/>
      <c r="CS263" s="238"/>
      <c r="CT263" s="238"/>
      <c r="CU263" s="238"/>
      <c r="CV263" s="238"/>
      <c r="CW263" s="465"/>
    </row>
    <row r="264" spans="2:101" ht="18" customHeight="1" thickTop="1" x14ac:dyDescent="0.2">
      <c r="B264"/>
      <c r="C264" s="39">
        <v>0</v>
      </c>
      <c r="D264"/>
      <c r="E264" s="607">
        <v>9</v>
      </c>
      <c r="F264" s="607">
        <v>16.010000000000002</v>
      </c>
      <c r="G264"/>
      <c r="H264"/>
      <c r="I264"/>
      <c r="J264"/>
      <c r="K264" s="202" t="s">
        <v>169</v>
      </c>
      <c r="L264" s="202" t="s">
        <v>170</v>
      </c>
      <c r="M264" s="202" t="s">
        <v>172</v>
      </c>
      <c r="N264" s="202" t="s">
        <v>173</v>
      </c>
      <c r="O264" s="184"/>
      <c r="P264" s="184" t="s">
        <v>258</v>
      </c>
      <c r="Q264" s="184"/>
      <c r="R264" s="184"/>
      <c r="S264" s="137">
        <v>0</v>
      </c>
      <c r="T264" s="138">
        <v>0</v>
      </c>
      <c r="U264" s="138">
        <v>0</v>
      </c>
      <c r="V264" s="138">
        <f>(W254*X255-W255*X254)/U258</f>
        <v>0.33333333333333276</v>
      </c>
      <c r="W264" s="138">
        <f>V265</f>
        <v>-0.11111111111111092</v>
      </c>
      <c r="X264" s="140">
        <f>V266</f>
        <v>8.2304526748971062E-3</v>
      </c>
      <c r="Y264" s="127"/>
      <c r="Z264" s="127" t="s">
        <v>258</v>
      </c>
      <c r="AA264" s="127"/>
      <c r="AB264" s="476">
        <v>0</v>
      </c>
      <c r="AC264" s="403">
        <v>0</v>
      </c>
      <c r="AD264" s="403">
        <v>0</v>
      </c>
      <c r="AE264" s="403">
        <v>0</v>
      </c>
      <c r="AF264" s="403">
        <f>INDEX(MINVERSE($AF$254:$AI$257),1,1)</f>
        <v>0.33333333333333331</v>
      </c>
      <c r="AG264" s="403">
        <f>INDEX(MINVERSE($AF$254:$AI$257),1,2)</f>
        <v>0</v>
      </c>
      <c r="AH264" s="403">
        <f>INDEX(MINVERSE($AF$254:$AI$257),1,3)</f>
        <v>-0.8323934359599654</v>
      </c>
      <c r="AI264" s="477">
        <f>INDEX(MINVERSE($AF$254:$AI$257),1,4)</f>
        <v>5.2024589747497837E-2</v>
      </c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264">
        <f t="shared" si="74"/>
        <v>0.3567713750777402</v>
      </c>
      <c r="BF264" s="244">
        <f t="shared" si="74"/>
        <v>-0.89428101175910457</v>
      </c>
      <c r="BG264" s="244">
        <f t="shared" si="74"/>
        <v>0.43832149738023463</v>
      </c>
      <c r="BH264" s="244">
        <f t="shared" si="74"/>
        <v>-7.2981803497290415E-2</v>
      </c>
      <c r="BI264" s="244">
        <f t="shared" si="74"/>
        <v>3.8981822532738915E-3</v>
      </c>
      <c r="BJ264" s="244">
        <v>0</v>
      </c>
      <c r="BK264" s="244">
        <v>0</v>
      </c>
      <c r="BL264" s="244">
        <v>0</v>
      </c>
      <c r="BM264" s="244">
        <v>0</v>
      </c>
      <c r="BN264" s="265">
        <v>0</v>
      </c>
      <c r="BO264" s="238"/>
      <c r="BP264" s="238"/>
      <c r="BQ264" s="238"/>
      <c r="BR264" s="238" t="s">
        <v>290</v>
      </c>
      <c r="BS264" s="238"/>
      <c r="BT264" s="238"/>
      <c r="BU264" s="238"/>
      <c r="BV264" s="238" t="s">
        <v>291</v>
      </c>
      <c r="BW264" s="238"/>
      <c r="BX264" s="238"/>
      <c r="BY264" s="238"/>
      <c r="BZ264" s="238"/>
      <c r="CA264" s="238"/>
      <c r="CB264" s="238"/>
      <c r="CC264" s="238"/>
      <c r="CD264" s="238"/>
      <c r="CE264" s="238"/>
      <c r="CF264" s="238"/>
      <c r="CG264" s="238"/>
      <c r="CH264" s="238"/>
      <c r="CI264" s="238"/>
      <c r="CJ264" s="238"/>
      <c r="CK264" s="238"/>
      <c r="CL264" s="238"/>
      <c r="CM264" s="238"/>
      <c r="CN264" s="238"/>
      <c r="CO264" s="238"/>
      <c r="CP264" s="238"/>
      <c r="CQ264" s="238"/>
      <c r="CR264" s="238"/>
      <c r="CS264" s="238"/>
      <c r="CT264" s="238"/>
      <c r="CU264" s="238"/>
      <c r="CV264" s="238"/>
      <c r="CW264" s="465"/>
    </row>
    <row r="265" spans="2:101" ht="18" customHeight="1" x14ac:dyDescent="0.25">
      <c r="B265"/>
      <c r="C265" s="40">
        <v>1E-3</v>
      </c>
      <c r="D265"/>
      <c r="E265" s="608">
        <v>9</v>
      </c>
      <c r="F265" s="608">
        <v>16</v>
      </c>
      <c r="G265"/>
      <c r="H265"/>
      <c r="I265"/>
      <c r="J265"/>
      <c r="K265" s="195">
        <f>K23</f>
        <v>142.01609999999999</v>
      </c>
      <c r="L265" s="195">
        <f>SUMPRODUCT($K$265:$K$268,K259:K262)</f>
        <v>-1.0777515789473711</v>
      </c>
      <c r="M265" s="193">
        <f>SUMPRODUCT(yy,yy)+K31</f>
        <v>2621.3774247600004</v>
      </c>
      <c r="N265" s="193">
        <f>n+nn-4</f>
        <v>24</v>
      </c>
      <c r="O265" s="185"/>
      <c r="P265" s="195">
        <f t="shared" ref="P265:P274" si="75">IF(H307="","",(H307-$L$267)/$L$268)</f>
        <v>2.3525167030050795</v>
      </c>
      <c r="Q265" s="184"/>
      <c r="R265" s="184"/>
      <c r="S265" s="137">
        <v>0</v>
      </c>
      <c r="T265" s="138">
        <v>0</v>
      </c>
      <c r="U265" s="138">
        <v>0</v>
      </c>
      <c r="V265" s="138">
        <f>(W255*X253-X255*W253)/U258</f>
        <v>-0.11111111111111092</v>
      </c>
      <c r="W265" s="138">
        <f>(V253*X255-V255*X253)/U258</f>
        <v>0.10699588477366237</v>
      </c>
      <c r="X265" s="140">
        <f>W266</f>
        <v>-1.0973936899862808E-2</v>
      </c>
      <c r="Y265" s="127"/>
      <c r="Z265" s="131">
        <f t="shared" ref="Z265:Z274" si="76">IF(H307="","",(-$T$273+SQRT($T$273^2-4*$T$274*($T$272-H307)))/(2*$T$274))</f>
        <v>2.9400470973725992</v>
      </c>
      <c r="AA265" s="138"/>
      <c r="AB265" s="476">
        <v>0</v>
      </c>
      <c r="AC265" s="403">
        <v>0</v>
      </c>
      <c r="AD265" s="403">
        <v>0</v>
      </c>
      <c r="AE265" s="403">
        <v>0</v>
      </c>
      <c r="AF265" s="403">
        <f>INDEX(MINVERSE($AF$254:$AI$257),2,1)</f>
        <v>1.8888888888888888</v>
      </c>
      <c r="AG265" s="403">
        <f>INDEX(MINVERSE($AF$254:$AI$257),2,2)</f>
        <v>-712483534798848</v>
      </c>
      <c r="AH265" s="403">
        <f>INDEX(MINVERSE($AF$254:$AI$257),2,3)</f>
        <v>237494511599615.87</v>
      </c>
      <c r="AI265" s="477">
        <f>INDEX(MINVERSE($AF$254:$AI$257),2,4)</f>
        <v>-17592186044415.984</v>
      </c>
      <c r="AJ265" s="125"/>
      <c r="AK265" s="469" t="s">
        <v>258</v>
      </c>
      <c r="AL265" s="125" t="s">
        <v>277</v>
      </c>
      <c r="AM265" s="125" t="s">
        <v>278</v>
      </c>
      <c r="AN265" s="125" t="s">
        <v>279</v>
      </c>
      <c r="AO265" s="125" t="s">
        <v>280</v>
      </c>
      <c r="AP265" s="125" t="s">
        <v>170</v>
      </c>
      <c r="AQ265" s="125" t="s">
        <v>281</v>
      </c>
      <c r="AR265" s="125" t="s">
        <v>278</v>
      </c>
      <c r="AS265" s="125" t="s">
        <v>282</v>
      </c>
      <c r="AT265" s="125" t="s">
        <v>283</v>
      </c>
      <c r="AU265" s="125" t="s">
        <v>284</v>
      </c>
      <c r="AV265" s="125"/>
      <c r="AW265" s="125"/>
      <c r="AX265" s="125"/>
      <c r="AY265" s="125" t="s">
        <v>285</v>
      </c>
      <c r="AZ265" s="125" t="s">
        <v>286</v>
      </c>
      <c r="BA265" s="125" t="s">
        <v>287</v>
      </c>
      <c r="BB265" s="125" t="s">
        <v>288</v>
      </c>
      <c r="BC265" s="125" t="s">
        <v>289</v>
      </c>
      <c r="BD265" s="125"/>
      <c r="BE265" s="264">
        <f t="shared" si="74"/>
        <v>-5.1314055890665726E-2</v>
      </c>
      <c r="BF265" s="244">
        <f t="shared" si="74"/>
        <v>0.14180119497107649</v>
      </c>
      <c r="BG265" s="244">
        <f t="shared" si="74"/>
        <v>-7.2981803497286446E-2</v>
      </c>
      <c r="BH265" s="244">
        <f t="shared" si="74"/>
        <v>1.2543435884386105E-2</v>
      </c>
      <c r="BI265" s="244">
        <f t="shared" si="74"/>
        <v>-6.8527515020927747E-4</v>
      </c>
      <c r="BJ265" s="244">
        <v>0</v>
      </c>
      <c r="BK265" s="244">
        <v>0</v>
      </c>
      <c r="BL265" s="244">
        <v>0</v>
      </c>
      <c r="BM265" s="244">
        <v>0</v>
      </c>
      <c r="BN265" s="265">
        <v>0</v>
      </c>
      <c r="BO265" s="238"/>
      <c r="BP265" s="239" t="s">
        <v>258</v>
      </c>
      <c r="BQ265" s="238"/>
      <c r="BR265" s="238" t="s">
        <v>280</v>
      </c>
      <c r="BS265" s="238" t="s">
        <v>170</v>
      </c>
      <c r="BT265" s="238" t="s">
        <v>292</v>
      </c>
      <c r="BU265" s="238" t="s">
        <v>293</v>
      </c>
      <c r="BV265" s="238" t="s">
        <v>294</v>
      </c>
      <c r="BW265" s="238" t="s">
        <v>295</v>
      </c>
      <c r="BX265" s="238" t="s">
        <v>296</v>
      </c>
      <c r="BY265" s="238" t="s">
        <v>297</v>
      </c>
      <c r="BZ265" s="238" t="s">
        <v>298</v>
      </c>
      <c r="CA265" s="238" t="s">
        <v>286</v>
      </c>
      <c r="CB265" s="238" t="s">
        <v>299</v>
      </c>
      <c r="CC265" s="418" t="s">
        <v>278</v>
      </c>
      <c r="CD265" s="238" t="s">
        <v>300</v>
      </c>
      <c r="CE265" s="238" t="s">
        <v>301</v>
      </c>
      <c r="CF265" s="238" t="s">
        <v>302</v>
      </c>
      <c r="CG265" s="238" t="s">
        <v>288</v>
      </c>
      <c r="CH265" s="238" t="s">
        <v>289</v>
      </c>
      <c r="CI265" s="238" t="s">
        <v>327</v>
      </c>
      <c r="CJ265" s="238" t="s">
        <v>304</v>
      </c>
      <c r="CK265" s="238" t="s">
        <v>305</v>
      </c>
      <c r="CL265" s="238" t="s">
        <v>306</v>
      </c>
      <c r="CM265" s="238" t="s">
        <v>300</v>
      </c>
      <c r="CN265" s="238" t="s">
        <v>301</v>
      </c>
      <c r="CO265" s="238" t="s">
        <v>302</v>
      </c>
      <c r="CP265" s="238" t="s">
        <v>307</v>
      </c>
      <c r="CQ265" s="238" t="s">
        <v>308</v>
      </c>
      <c r="CR265" s="238"/>
      <c r="CS265" s="238"/>
      <c r="CT265" s="238"/>
      <c r="CU265" s="238" t="s">
        <v>309</v>
      </c>
      <c r="CV265" s="238"/>
      <c r="CW265" s="465"/>
    </row>
    <row r="266" spans="2:101" ht="18" customHeight="1" x14ac:dyDescent="0.3">
      <c r="B266"/>
      <c r="C266" s="40">
        <v>-1E-3</v>
      </c>
      <c r="D266"/>
      <c r="E266" s="608">
        <v>9</v>
      </c>
      <c r="F266" s="608">
        <v>15.99</v>
      </c>
      <c r="G266"/>
      <c r="H266"/>
      <c r="I266"/>
      <c r="J266"/>
      <c r="K266" s="225">
        <f>K24</f>
        <v>909.89475000000004</v>
      </c>
      <c r="L266" s="225">
        <f>SUMPRODUCT($K$265:$K$268,L259:L262)</f>
        <v>1.9005073684210547</v>
      </c>
      <c r="M266" s="187"/>
      <c r="N266" s="197"/>
      <c r="O266" s="185"/>
      <c r="P266" s="225">
        <f t="shared" si="75"/>
        <v>2.3472559140036355</v>
      </c>
      <c r="Q266" s="184"/>
      <c r="R266" s="184"/>
      <c r="S266" s="141">
        <v>0</v>
      </c>
      <c r="T266" s="142">
        <v>0</v>
      </c>
      <c r="U266" s="142">
        <v>0</v>
      </c>
      <c r="V266" s="142">
        <f>(W253*X254-W254*X253)/U258</f>
        <v>8.2304526748971062E-3</v>
      </c>
      <c r="W266" s="142">
        <f>(V254*X253-X254*V253)/U258</f>
        <v>-1.0973936899862808E-2</v>
      </c>
      <c r="X266" s="143">
        <f>(V253*W254-V254*W253)/U258</f>
        <v>1.2193263222069785E-3</v>
      </c>
      <c r="Y266" s="127"/>
      <c r="Z266" s="135">
        <f t="shared" si="76"/>
        <v>2.9337394028365988</v>
      </c>
      <c r="AA266" s="137"/>
      <c r="AB266" s="456">
        <v>0</v>
      </c>
      <c r="AC266" s="456">
        <v>0</v>
      </c>
      <c r="AD266" s="456">
        <v>0</v>
      </c>
      <c r="AE266" s="456">
        <v>0</v>
      </c>
      <c r="AF266" s="456">
        <f>INDEX(MINVERSE($AF$254:$AI$257),3,1)</f>
        <v>-0.65843621399176955</v>
      </c>
      <c r="AG266" s="456">
        <f>INDEX(MINVERSE($AF$254:$AI$257),3,2)</f>
        <v>237494511599616</v>
      </c>
      <c r="AH266" s="456">
        <f>INDEX(MINVERSE($AF$254:$AI$257),3,3)</f>
        <v>-79164837199871.922</v>
      </c>
      <c r="AI266" s="477">
        <f>INDEX(MINVERSE($AF$254:$AI$257),3,4)</f>
        <v>5864062014805.3242</v>
      </c>
      <c r="AJ266" s="125"/>
      <c r="AK266" s="471">
        <f t="shared" ref="AK266:AK275" si="77">IF(H307="","",+AY266)</f>
        <v>2.9837039772994345E-2</v>
      </c>
      <c r="AL266" s="456">
        <f t="shared" ref="AL266:AL275" si="78">$AC$276/$AC$277</f>
        <v>16</v>
      </c>
      <c r="AM266" s="456">
        <f t="shared" ref="AM266:AM275" si="79">$AC$275/$AC$277</f>
        <v>-64</v>
      </c>
      <c r="AN266" s="456">
        <f t="shared" ref="AN266:AN275" si="80">($AC$274-H307)/$AC$277</f>
        <v>1.8953000000001383</v>
      </c>
      <c r="AO266" s="456">
        <f>(3*AM266-AL266^2)/3</f>
        <v>-149.33333333333334</v>
      </c>
      <c r="AP266" s="456">
        <f>(2*AL266^3-9*AL266*AM266+27*AN266)/27</f>
        <v>646.6360407407409</v>
      </c>
      <c r="AQ266" s="456">
        <f>2*SQRT(-AO266/3)</f>
        <v>14.11067365901115</v>
      </c>
      <c r="AR266" s="456">
        <f>ACOS(3*AP266/(AO266*AQ266))/3</f>
        <v>0.91348045260045974</v>
      </c>
      <c r="AS266" s="456">
        <f>2*SQRT(-AO266/3)*COS(AR266)-AL266/3</f>
        <v>3.2882065345004188</v>
      </c>
      <c r="AT266" s="456">
        <f t="shared" ref="AT266:AT277" si="81">2*SQRT(-AO266/3)*COS(AR266+2*PI()/3)-AL266/3</f>
        <v>-19.318043574273414</v>
      </c>
      <c r="AU266" s="456">
        <f>2*SQRT(-AO266/3)*COS(AR266+4*PI()/3)-AL266/3</f>
        <v>2.9837039772994345E-2</v>
      </c>
      <c r="AV266" s="456">
        <f>IF(AS266&gt;0,+AS266,999999)</f>
        <v>3.2882065345004188</v>
      </c>
      <c r="AW266" s="456">
        <f>IF(AT266&gt;0,+AT266,999999)</f>
        <v>999999</v>
      </c>
      <c r="AX266" s="456">
        <f>IF(AU266&gt;0,+AU266,999999)</f>
        <v>2.9837039772994345E-2</v>
      </c>
      <c r="AY266" s="509">
        <f>IF(AZ266&lt;0,MIN(AV266:AX266),+BA266)</f>
        <v>2.9837039772994345E-2</v>
      </c>
      <c r="AZ266" s="456">
        <f>AP266^2/4+AO266^3/27</f>
        <v>-18806.1874705886</v>
      </c>
      <c r="BA266" s="456" t="e">
        <f>+BB266+BC266-AL266/3</f>
        <v>#NUM!</v>
      </c>
      <c r="BB266" s="456" t="e">
        <f>(-AP266/2+SQRT(AZ266))^(1/3)</f>
        <v>#NUM!</v>
      </c>
      <c r="BC266" s="456" t="e">
        <f>(-AP266/2-SQRT(AZ266))^(1/3)</f>
        <v>#NUM!</v>
      </c>
      <c r="BD266" s="456"/>
      <c r="BE266" s="264">
        <f t="shared" si="74"/>
        <v>2.496359475761727E-3</v>
      </c>
      <c r="BF266" s="244">
        <f t="shared" si="74"/>
        <v>-7.3299966959875897E-3</v>
      </c>
      <c r="BG266" s="244">
        <f t="shared" si="74"/>
        <v>3.8981822532735294E-3</v>
      </c>
      <c r="BH266" s="244">
        <f t="shared" si="74"/>
        <v>-6.8527515020925243E-4</v>
      </c>
      <c r="BI266" s="244">
        <f t="shared" si="74"/>
        <v>3.8070841678292743E-5</v>
      </c>
      <c r="BJ266" s="244">
        <v>0</v>
      </c>
      <c r="BK266" s="244">
        <v>0</v>
      </c>
      <c r="BL266" s="244">
        <v>0</v>
      </c>
      <c r="BM266" s="244">
        <v>0</v>
      </c>
      <c r="BN266" s="265">
        <v>0</v>
      </c>
      <c r="BO266" s="238"/>
      <c r="BP266" s="665">
        <f t="shared" ref="BP266:BP275" si="82">IF(H307="","",+CU266)</f>
        <v>2.9432079562336853</v>
      </c>
      <c r="BQ266" s="238"/>
      <c r="BR266" s="240">
        <f t="shared" ref="BR266:BR275" si="83">$BI$29/$BI$30</f>
        <v>-17.894488448782099</v>
      </c>
      <c r="BS266" s="240">
        <f t="shared" ref="BS266:BS275" si="84">$BI$28/$BI$30</f>
        <v>359.02403518259086</v>
      </c>
      <c r="BT266" s="240">
        <f t="shared" ref="BT266:BT275" si="85">$BI$27/$BI$30</f>
        <v>2397.5035457707181</v>
      </c>
      <c r="BU266" s="240">
        <f t="shared" ref="BU266:BU275" si="86">($BI$26-H307)/$BI$30</f>
        <v>-9785.1977797410309</v>
      </c>
      <c r="BV266" s="240">
        <f>-BS266</f>
        <v>-359.02403518259086</v>
      </c>
      <c r="BW266" s="240">
        <f>BR266*BT266-4*BU266</f>
        <v>-3761.3083867441164</v>
      </c>
      <c r="BX266" s="240">
        <f>BR266^2*-BU266+4*BS266*BU266-BT266^2</f>
        <v>-16667163.253849782</v>
      </c>
      <c r="BY266" s="240">
        <f>1/3*(3*BW266-BV266^2)</f>
        <v>-46727.394333007527</v>
      </c>
      <c r="BZ266" s="240">
        <f>1/27*(2*BV266^3-9*BV266*BW266+27*BX266)</f>
        <v>-20545264.970359113</v>
      </c>
      <c r="CA266" s="240">
        <f>BZ266^2/4+BY266^3/27</f>
        <v>101748204092630.44</v>
      </c>
      <c r="CB266" s="240">
        <f>2*SQRT(-BY266/3)</f>
        <v>249.6060745334737</v>
      </c>
      <c r="CC266" s="240" t="e">
        <f>ACOS(3*BZ266/(BY266*CB266))/3</f>
        <v>#NUM!</v>
      </c>
      <c r="CD266" s="240" t="e">
        <f>CB266*COS(CC266)-BV266/3</f>
        <v>#NUM!</v>
      </c>
      <c r="CE266" s="240" t="e">
        <f>CB266*COS(CC266+2*PI()/3)-BV266/3</f>
        <v>#NUM!</v>
      </c>
      <c r="CF266" s="240" t="e">
        <f>CB266*COS(CC266+4*PI()/3)-BV266/3</f>
        <v>#NUM!</v>
      </c>
      <c r="CG266" s="240">
        <f t="shared" ref="CG266:CG275" si="87">(-BZ266/2+SQRT(CA266))^(1/3)</f>
        <v>273.05923462461078</v>
      </c>
      <c r="CH266" s="240">
        <f t="shared" ref="CH266:CH275" si="88">(-BZ266/2-SQRT(CA266))^(1/3)</f>
        <v>57.041828790062169</v>
      </c>
      <c r="CI266" s="240">
        <f t="shared" ref="CI266:CI275" si="89">IF(CA266&gt;0,+CG266+CH266-BV266/3,MAX(CD266:CF266))</f>
        <v>449.7757418088699</v>
      </c>
      <c r="CJ266" s="240">
        <f t="shared" ref="CJ266:CJ275" si="90">SQRT(BR266^2/4-BS266+CI266)</f>
        <v>13.069234324824771</v>
      </c>
      <c r="CK266" s="251" t="e">
        <f t="shared" ref="CK266:CK275" si="91">SQRT(3*BR266^2/4-CJ266^2-2*BS266+(4*BR266*BS266-8*BT266-BR266^3)/(4*CJ266))</f>
        <v>#NUM!</v>
      </c>
      <c r="CL266" s="251">
        <f t="shared" ref="CL266:CL275" si="92">SQRT(3*BR266^2/4-CJ266^2-2*BS266-(4*BR266*BS266-8*BT266-BR266^3)/(4*CJ266))</f>
        <v>10.008406012901093</v>
      </c>
      <c r="CM266" s="240" t="e">
        <f t="shared" ref="CM266:CM275" si="93">-BR266/4+CJ266/2+CK266/2</f>
        <v>#NUM!</v>
      </c>
      <c r="CN266" s="240" t="e">
        <f t="shared" ref="CN266:CN275" si="94">-BR266/4+CJ266/2-CK266/2</f>
        <v>#NUM!</v>
      </c>
      <c r="CO266" s="240">
        <f t="shared" ref="CO266:CO275" si="95">-BR266/4-CJ266/2+CL266/2</f>
        <v>2.9432079562336853</v>
      </c>
      <c r="CP266" s="240">
        <f t="shared" ref="CP266:CP275" si="96">-BR266/4-CJ266/2-CL266/2</f>
        <v>-7.0651980566674073</v>
      </c>
      <c r="CQ266" s="240">
        <f>IF(ISERROR(CM266)=TRUE,0,(CM266&gt;MIN(X))*(CM266&lt;MAX(X))*CM266)</f>
        <v>0</v>
      </c>
      <c r="CR266" s="240">
        <f>IF(ISERROR(CN266)=TRUE,0,(CN266&gt;MIN(X))*(CN266&lt;MAX(X))*CN266)</f>
        <v>0</v>
      </c>
      <c r="CS266" s="240">
        <f>IF(ISERROR(CO266)=TRUE,0,(CO266&gt;MIN(X))*(CO266&lt;MAX(X))*CO266)</f>
        <v>2.9432079562336853</v>
      </c>
      <c r="CT266" s="240">
        <f>IF(ISERROR(CP266)=TRUE,0,(CP266&gt;MIN(X))*(CP266&lt;MAX(X))*CP266)</f>
        <v>0</v>
      </c>
      <c r="CU266" s="240">
        <f>IF(SUM(CQ266:CT266)=MAX(CQ266:CT266),+MAX(CQ266:CT266),"There is not a unique solution!")</f>
        <v>2.9432079562336853</v>
      </c>
      <c r="CV266" s="238"/>
      <c r="CW266" s="465"/>
    </row>
    <row r="267" spans="2:101" ht="18" customHeight="1" x14ac:dyDescent="0.25">
      <c r="B267"/>
      <c r="C267" s="40"/>
      <c r="D267"/>
      <c r="E267" s="40"/>
      <c r="F267" s="40"/>
      <c r="G267"/>
      <c r="H267"/>
      <c r="I267"/>
      <c r="J267"/>
      <c r="K267" s="225">
        <f>SUM(yy)</f>
        <v>72.828499999999991</v>
      </c>
      <c r="L267" s="225">
        <f>SUMPRODUCT($K$265:$K$268,M259:M262)</f>
        <v>-0.46179444444444684</v>
      </c>
      <c r="M267" s="202" t="s">
        <v>367</v>
      </c>
      <c r="N267" s="202" t="s">
        <v>368</v>
      </c>
      <c r="O267" s="184"/>
      <c r="P267" s="225">
        <f t="shared" si="75"/>
        <v>2.341995125002192</v>
      </c>
      <c r="Q267" s="184"/>
      <c r="R267" s="184"/>
      <c r="S267" s="127"/>
      <c r="T267" s="127"/>
      <c r="U267" s="127"/>
      <c r="V267" s="127"/>
      <c r="W267" s="127"/>
      <c r="X267" s="127"/>
      <c r="Y267" s="127"/>
      <c r="Z267" s="135">
        <f t="shared" si="76"/>
        <v>2.9274266368421467</v>
      </c>
      <c r="AA267" s="138"/>
      <c r="AB267" s="479">
        <v>0</v>
      </c>
      <c r="AC267" s="480">
        <v>0</v>
      </c>
      <c r="AD267" s="480">
        <v>0</v>
      </c>
      <c r="AE267" s="480">
        <v>0</v>
      </c>
      <c r="AF267" s="480">
        <f>INDEX(MINVERSE($AF$254:$AI$257),4,1)</f>
        <v>4.9382716049382713E-2</v>
      </c>
      <c r="AG267" s="480">
        <f>INDEX(MINVERSE($AF$254:$AI$257),4,2)</f>
        <v>-17592186044416</v>
      </c>
      <c r="AH267" s="480">
        <f>INDEX(MINVERSE($AF$254:$AI$257),4,3)</f>
        <v>5864062014805.3271</v>
      </c>
      <c r="AI267" s="481">
        <f>INDEX(MINVERSE($AF$254:$AI$257),4,4)</f>
        <v>-434374964059.65363</v>
      </c>
      <c r="AJ267" s="125"/>
      <c r="AK267" s="475">
        <f t="shared" si="77"/>
        <v>2.9757729858118864E-2</v>
      </c>
      <c r="AL267" s="456">
        <f t="shared" si="78"/>
        <v>16</v>
      </c>
      <c r="AM267" s="456">
        <f t="shared" si="79"/>
        <v>-64</v>
      </c>
      <c r="AN267" s="456">
        <f t="shared" si="80"/>
        <v>1.8903000000001384</v>
      </c>
      <c r="AO267" s="456">
        <f t="shared" ref="AO267:AO275" si="97">(3*AM267-AL267^2)/3</f>
        <v>-149.33333333333334</v>
      </c>
      <c r="AP267" s="456">
        <f t="shared" ref="AP267:AP275" si="98">(2*AL267^3-9*AL267*AM267+27*AN267)/27</f>
        <v>646.6310407407409</v>
      </c>
      <c r="AQ267" s="456">
        <f t="shared" ref="AQ267:AQ275" si="99">2*SQRT(-AO267/3)</f>
        <v>14.11067365901115</v>
      </c>
      <c r="AR267" s="456">
        <f t="shared" ref="AR267:AR275" si="100">ACOS(3*AP267/(AO267*AQ267))/3</f>
        <v>0.91347437602296733</v>
      </c>
      <c r="AS267" s="456">
        <f t="shared" ref="AS267:AS275" si="101">2*SQRT(-AO267/3)*COS(AR267)-AL267/3</f>
        <v>3.2882744127749204</v>
      </c>
      <c r="AT267" s="456">
        <f t="shared" si="81"/>
        <v>-19.318032142633044</v>
      </c>
      <c r="AU267" s="456">
        <f t="shared" ref="AU267:AU275" si="102">2*SQRT(-AO267/3)*COS(AR267+4*PI()/3)-AL267/3</f>
        <v>2.9757729858118864E-2</v>
      </c>
      <c r="AV267" s="456">
        <f t="shared" ref="AV267:AV275" si="103">IF(AS267&gt;0,+AS267,999999)</f>
        <v>3.2882744127749204</v>
      </c>
      <c r="AW267" s="456">
        <f t="shared" ref="AW267:AW275" si="104">IF(AT267&gt;0,+AT267,999999)</f>
        <v>999999</v>
      </c>
      <c r="AX267" s="456">
        <f t="shared" ref="AX267:AX275" si="105">IF(AU267&gt;0,+AU267,999999)</f>
        <v>2.9757729858118864E-2</v>
      </c>
      <c r="AY267" s="509">
        <f t="shared" ref="AY267:AY275" si="106">IF(AZ267&lt;0,MIN(AV267:AX267),+BA267)</f>
        <v>2.9757729858118864E-2</v>
      </c>
      <c r="AZ267" s="456">
        <f t="shared" ref="AZ267:AZ275" si="107">AP267^2/4+AO267^3/27</f>
        <v>-18807.80405444045</v>
      </c>
      <c r="BA267" s="456" t="e">
        <f t="shared" ref="BA267:BA275" si="108">+BB267+BC267-AL267/3</f>
        <v>#NUM!</v>
      </c>
      <c r="BB267" s="456" t="e">
        <f t="shared" ref="BB267:BB275" si="109">(-AP267/2+SQRT(AZ267))^(1/3)</f>
        <v>#NUM!</v>
      </c>
      <c r="BC267" s="456" t="e">
        <f t="shared" ref="BC267:BC275" si="110">(-AP267/2-SQRT(AZ267))^(1/3)</f>
        <v>#NUM!</v>
      </c>
      <c r="BD267" s="456"/>
      <c r="BE267" s="264">
        <v>0</v>
      </c>
      <c r="BF267" s="244">
        <v>0</v>
      </c>
      <c r="BG267" s="244">
        <v>0</v>
      </c>
      <c r="BH267" s="244">
        <v>0</v>
      </c>
      <c r="BI267" s="244">
        <v>0</v>
      </c>
      <c r="BJ267" s="244">
        <f t="shared" ref="BJ267:BN271" si="111">INDEX(MINVERSE($BJ$255:$BN$259),$BO267,BJ$261)</f>
        <v>0.33333333333333331</v>
      </c>
      <c r="BK267" s="244">
        <f t="shared" si="111"/>
        <v>0</v>
      </c>
      <c r="BL267" s="244">
        <f t="shared" si="111"/>
        <v>-0.14689295928705273</v>
      </c>
      <c r="BM267" s="244">
        <f t="shared" si="111"/>
        <v>0</v>
      </c>
      <c r="BN267" s="265">
        <f t="shared" si="111"/>
        <v>0</v>
      </c>
      <c r="BO267" s="367">
        <v>1</v>
      </c>
      <c r="BP267" s="666">
        <f t="shared" si="82"/>
        <v>2.936980074629421</v>
      </c>
      <c r="BQ267" s="238"/>
      <c r="BR267" s="240">
        <f t="shared" si="83"/>
        <v>-17.894488448782099</v>
      </c>
      <c r="BS267" s="240">
        <f t="shared" si="84"/>
        <v>359.02403518259086</v>
      </c>
      <c r="BT267" s="240">
        <f t="shared" si="85"/>
        <v>2397.5035457707181</v>
      </c>
      <c r="BU267" s="240">
        <f t="shared" si="86"/>
        <v>-9759.3754709141704</v>
      </c>
      <c r="BV267" s="240">
        <f t="shared" ref="BV267:BV275" si="112">-BS267</f>
        <v>-359.02403518259086</v>
      </c>
      <c r="BW267" s="240">
        <f t="shared" ref="BW267:BW275" si="113">BR267*BT267-4*BU267</f>
        <v>-3864.5976220515586</v>
      </c>
      <c r="BX267" s="240">
        <f t="shared" ref="BX267:BX275" si="114">BR267^2*-BU267+4*BS267*BU267-BT267^2</f>
        <v>-16638348.567463405</v>
      </c>
      <c r="BY267" s="240">
        <f t="shared" ref="BY267:BY275" si="115">1/3*(3*BW267-BV267^2)</f>
        <v>-46830.683568314977</v>
      </c>
      <c r="BZ267" s="240">
        <f t="shared" ref="BZ267:BZ275" si="116">1/27*(2*BV267^3-9*BV267*BW267+27*BX267)</f>
        <v>-20528811.389989737</v>
      </c>
      <c r="CA267" s="240">
        <f t="shared" ref="CA267:CA275" si="117">BZ267^2/4+BY267^3/27</f>
        <v>101554136221484.94</v>
      </c>
      <c r="CB267" s="240">
        <f t="shared" ref="CB267:CB275" si="118">2*SQRT(-BY267/3)</f>
        <v>249.88179490395046</v>
      </c>
      <c r="CC267" s="240" t="e">
        <f t="shared" ref="CC267:CC275" si="119">ACOS(3*BZ267/(BY267*CB267))/3</f>
        <v>#NUM!</v>
      </c>
      <c r="CD267" s="240" t="e">
        <f t="shared" ref="CD267:CD275" si="120">CB267*COS(CC267)-BV267/3</f>
        <v>#NUM!</v>
      </c>
      <c r="CE267" s="240" t="e">
        <f t="shared" ref="CE267:CE275" si="121">CB267*COS(CC267+2*PI()/3)-BV267/3</f>
        <v>#NUM!</v>
      </c>
      <c r="CF267" s="240" t="e">
        <f t="shared" ref="CF267:CF275" si="122">CB267*COS(CC267+4*PI()/3)-BV267/3</f>
        <v>#NUM!</v>
      </c>
      <c r="CG267" s="240">
        <f t="shared" si="87"/>
        <v>272.97940651685042</v>
      </c>
      <c r="CH267" s="240">
        <f t="shared" si="88"/>
        <v>57.184635483268117</v>
      </c>
      <c r="CI267" s="240">
        <f t="shared" si="89"/>
        <v>449.83872039431549</v>
      </c>
      <c r="CJ267" s="240">
        <f t="shared" si="90"/>
        <v>13.07164352415654</v>
      </c>
      <c r="CK267" s="251" t="e">
        <f t="shared" si="91"/>
        <v>#NUM!</v>
      </c>
      <c r="CL267" s="251">
        <f t="shared" si="92"/>
        <v>9.998359449024333</v>
      </c>
      <c r="CM267" s="240" t="e">
        <f t="shared" si="93"/>
        <v>#NUM!</v>
      </c>
      <c r="CN267" s="240" t="e">
        <f t="shared" si="94"/>
        <v>#NUM!</v>
      </c>
      <c r="CO267" s="240">
        <f t="shared" si="95"/>
        <v>2.936980074629421</v>
      </c>
      <c r="CP267" s="240">
        <f t="shared" si="96"/>
        <v>-7.061379374394912</v>
      </c>
      <c r="CQ267" s="240">
        <f t="shared" ref="CQ267:CQ275" si="123">IF(ISERROR(CM267)=TRUE,0,(CM267&gt;MIN(X))*(CM267&lt;MAX(X))*CM267)</f>
        <v>0</v>
      </c>
      <c r="CR267" s="240">
        <f t="shared" ref="CR267:CR275" si="124">IF(ISERROR(CN267)=TRUE,0,(CN267&gt;MIN(X))*(CN267&lt;MAX(X))*CN267)</f>
        <v>0</v>
      </c>
      <c r="CS267" s="240">
        <f t="shared" ref="CS267:CS275" si="125">IF(ISERROR(CO267)=TRUE,0,(CO267&gt;MIN(X))*(CO267&lt;MAX(X))*CO267)</f>
        <v>2.936980074629421</v>
      </c>
      <c r="CT267" s="240">
        <f t="shared" ref="CT267:CT275" si="126">IF(ISERROR(CP267)=TRUE,0,(CP267&gt;MIN(X))*(CP267&lt;MAX(X))*CP267)</f>
        <v>0</v>
      </c>
      <c r="CU267" s="240">
        <f t="shared" ref="CU267:CU275" si="127">IF(SUM(CQ267:CT267)=MAX(CQ267:CT267),+MAX(CQ267:CT267),"There is not a unique solution!")</f>
        <v>2.936980074629421</v>
      </c>
      <c r="CV267" s="238"/>
      <c r="CW267" s="465"/>
    </row>
    <row r="268" spans="2:101" ht="18" customHeight="1" x14ac:dyDescent="0.25">
      <c r="B268"/>
      <c r="C268" s="40"/>
      <c r="D268"/>
      <c r="E268" s="40"/>
      <c r="F268" s="40"/>
      <c r="G268"/>
      <c r="H268"/>
      <c r="I268"/>
      <c r="J268"/>
      <c r="K268" s="196">
        <f>SUMPRODUCT(xx,yy)</f>
        <v>558.68220000000008</v>
      </c>
      <c r="L268" s="196">
        <f>SUMPRODUCT($K$265:$K$268,N259:N262)</f>
        <v>1.9008555555555566</v>
      </c>
      <c r="M268" s="193">
        <v>2</v>
      </c>
      <c r="N268" s="193">
        <f>SUMPRODUCT(K265:K268,L265:L268)</f>
        <v>2604.5459678144643</v>
      </c>
      <c r="O268" s="184"/>
      <c r="P268" s="225" t="str">
        <f t="shared" si="75"/>
        <v/>
      </c>
      <c r="Q268" s="184"/>
      <c r="R268" s="184"/>
      <c r="S268" s="152" t="s">
        <v>169</v>
      </c>
      <c r="T268" s="152" t="s">
        <v>170</v>
      </c>
      <c r="U268" s="130" t="s">
        <v>172</v>
      </c>
      <c r="V268" s="130" t="s">
        <v>173</v>
      </c>
      <c r="W268" s="152"/>
      <c r="X268" s="152"/>
      <c r="Y268" s="127"/>
      <c r="Z268" s="135" t="str">
        <f t="shared" si="76"/>
        <v/>
      </c>
      <c r="AA268" s="138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475">
        <f t="shared" si="77"/>
        <v>2.9678423153598033E-2</v>
      </c>
      <c r="AL268" s="456">
        <f t="shared" si="78"/>
        <v>16</v>
      </c>
      <c r="AM268" s="456">
        <f t="shared" si="79"/>
        <v>-64</v>
      </c>
      <c r="AN268" s="456">
        <f t="shared" si="80"/>
        <v>1.8853000000001385</v>
      </c>
      <c r="AO268" s="456">
        <f t="shared" si="97"/>
        <v>-149.33333333333334</v>
      </c>
      <c r="AP268" s="456">
        <f t="shared" si="98"/>
        <v>646.6260407407409</v>
      </c>
      <c r="AQ268" s="456">
        <f t="shared" si="99"/>
        <v>14.11067365901115</v>
      </c>
      <c r="AR268" s="456">
        <f t="shared" si="100"/>
        <v>0.91346829970661758</v>
      </c>
      <c r="AS268" s="456">
        <f t="shared" si="101"/>
        <v>3.2883422878140012</v>
      </c>
      <c r="AT268" s="456">
        <f t="shared" si="81"/>
        <v>-19.318020710967605</v>
      </c>
      <c r="AU268" s="456">
        <f t="shared" si="102"/>
        <v>2.9678423153598033E-2</v>
      </c>
      <c r="AV268" s="456">
        <f t="shared" si="103"/>
        <v>3.2883422878140012</v>
      </c>
      <c r="AW268" s="456">
        <f t="shared" si="104"/>
        <v>999999</v>
      </c>
      <c r="AX268" s="456">
        <f t="shared" si="105"/>
        <v>2.9678423153598033E-2</v>
      </c>
      <c r="AY268" s="509">
        <f t="shared" si="106"/>
        <v>2.9678423153598033E-2</v>
      </c>
      <c r="AZ268" s="456">
        <f t="shared" si="107"/>
        <v>-18809.420625792307</v>
      </c>
      <c r="BA268" s="456" t="e">
        <f t="shared" si="108"/>
        <v>#NUM!</v>
      </c>
      <c r="BB268" s="456" t="e">
        <f t="shared" si="109"/>
        <v>#NUM!</v>
      </c>
      <c r="BC268" s="456" t="e">
        <f t="shared" si="110"/>
        <v>#NUM!</v>
      </c>
      <c r="BD268" s="456"/>
      <c r="BE268" s="264">
        <v>0</v>
      </c>
      <c r="BF268" s="244">
        <v>0</v>
      </c>
      <c r="BG268" s="244">
        <v>0</v>
      </c>
      <c r="BH268" s="244">
        <v>0</v>
      </c>
      <c r="BI268" s="244">
        <v>0</v>
      </c>
      <c r="BJ268" s="244">
        <f t="shared" si="111"/>
        <v>-0.26963445530220786</v>
      </c>
      <c r="BK268" s="244">
        <f t="shared" si="111"/>
        <v>169417908926110.78</v>
      </c>
      <c r="BL268" s="244">
        <f t="shared" si="111"/>
        <v>-28411586396320.098</v>
      </c>
      <c r="BM268" s="244">
        <f t="shared" si="111"/>
        <v>-5170525059038.6572</v>
      </c>
      <c r="BN268" s="265">
        <f t="shared" si="111"/>
        <v>692865429935.39258</v>
      </c>
      <c r="BO268" s="367">
        <v>2</v>
      </c>
      <c r="BP268" s="666">
        <f t="shared" si="82"/>
        <v>2.9307474520862398</v>
      </c>
      <c r="BQ268" s="238"/>
      <c r="BR268" s="240">
        <f t="shared" si="83"/>
        <v>-17.894488448782099</v>
      </c>
      <c r="BS268" s="240">
        <f t="shared" si="84"/>
        <v>359.02403518259086</v>
      </c>
      <c r="BT268" s="240">
        <f t="shared" si="85"/>
        <v>2397.5035457707181</v>
      </c>
      <c r="BU268" s="240">
        <f t="shared" si="86"/>
        <v>-9733.5531620873098</v>
      </c>
      <c r="BV268" s="240">
        <f t="shared" si="112"/>
        <v>-359.02403518259086</v>
      </c>
      <c r="BW268" s="240">
        <f t="shared" si="113"/>
        <v>-3967.8868573590007</v>
      </c>
      <c r="BX268" s="240">
        <f t="shared" si="114"/>
        <v>-16609533.881077025</v>
      </c>
      <c r="BY268" s="240">
        <f t="shared" si="115"/>
        <v>-46933.972803622411</v>
      </c>
      <c r="BZ268" s="240">
        <f t="shared" si="116"/>
        <v>-20512357.809620358</v>
      </c>
      <c r="CA268" s="240">
        <f t="shared" si="117"/>
        <v>101360092683620.09</v>
      </c>
      <c r="CB268" s="240">
        <f t="shared" si="118"/>
        <v>250.15721137882451</v>
      </c>
      <c r="CC268" s="240" t="e">
        <f t="shared" si="119"/>
        <v>#NUM!</v>
      </c>
      <c r="CD268" s="240" t="e">
        <f t="shared" si="120"/>
        <v>#NUM!</v>
      </c>
      <c r="CE268" s="240" t="e">
        <f t="shared" si="121"/>
        <v>#NUM!</v>
      </c>
      <c r="CF268" s="240" t="e">
        <f t="shared" si="122"/>
        <v>#NUM!</v>
      </c>
      <c r="CG268" s="240">
        <f t="shared" si="87"/>
        <v>272.89949592309654</v>
      </c>
      <c r="CH268" s="240">
        <f t="shared" si="88"/>
        <v>57.327543051292942</v>
      </c>
      <c r="CI268" s="240">
        <f t="shared" si="89"/>
        <v>449.90171736858645</v>
      </c>
      <c r="CJ268" s="240">
        <f t="shared" si="90"/>
        <v>13.074052982793612</v>
      </c>
      <c r="CK268" s="251" t="e">
        <f t="shared" si="91"/>
        <v>#NUM!</v>
      </c>
      <c r="CL268" s="251">
        <f t="shared" si="92"/>
        <v>9.9883036625750421</v>
      </c>
      <c r="CM268" s="240" t="e">
        <f t="shared" si="93"/>
        <v>#NUM!</v>
      </c>
      <c r="CN268" s="240" t="e">
        <f t="shared" si="94"/>
        <v>#NUM!</v>
      </c>
      <c r="CO268" s="240">
        <f t="shared" si="95"/>
        <v>2.9307474520862398</v>
      </c>
      <c r="CP268" s="240">
        <f t="shared" si="96"/>
        <v>-7.0575562104888023</v>
      </c>
      <c r="CQ268" s="240">
        <f t="shared" si="123"/>
        <v>0</v>
      </c>
      <c r="CR268" s="240">
        <f t="shared" si="124"/>
        <v>0</v>
      </c>
      <c r="CS268" s="240">
        <f t="shared" si="125"/>
        <v>2.9307474520862398</v>
      </c>
      <c r="CT268" s="240">
        <f t="shared" si="126"/>
        <v>0</v>
      </c>
      <c r="CU268" s="240">
        <f t="shared" si="127"/>
        <v>2.9307474520862398</v>
      </c>
      <c r="CV268" s="238"/>
      <c r="CW268" s="465"/>
    </row>
    <row r="269" spans="2:101" ht="18" customHeight="1" x14ac:dyDescent="0.25">
      <c r="B269"/>
      <c r="C269" s="40"/>
      <c r="D269"/>
      <c r="E269" s="40"/>
      <c r="F269" s="40"/>
      <c r="G269"/>
      <c r="H269"/>
      <c r="I269"/>
      <c r="J269"/>
      <c r="K269" s="184"/>
      <c r="L269" s="184"/>
      <c r="M269" s="184"/>
      <c r="N269" s="184"/>
      <c r="O269" s="184"/>
      <c r="P269" s="225" t="str">
        <f t="shared" si="75"/>
        <v/>
      </c>
      <c r="Q269" s="184"/>
      <c r="R269" s="184"/>
      <c r="S269" s="131">
        <f>U25</f>
        <v>142.01609999999999</v>
      </c>
      <c r="T269" s="131">
        <f>SUMPRODUCT($S$269:$S$274,S261:S266)</f>
        <v>0.19642135338347089</v>
      </c>
      <c r="U269" s="151">
        <f>M265</f>
        <v>2621.3774247600004</v>
      </c>
      <c r="V269" s="145">
        <f>n+nn-6</f>
        <v>22</v>
      </c>
      <c r="W269" s="152"/>
      <c r="X269" s="152"/>
      <c r="Y269" s="126"/>
      <c r="Z269" s="135" t="str">
        <f t="shared" si="76"/>
        <v/>
      </c>
      <c r="AA269" s="135"/>
      <c r="AB269" s="495" t="s">
        <v>169</v>
      </c>
      <c r="AC269" s="495" t="s">
        <v>170</v>
      </c>
      <c r="AD269" s="470" t="s">
        <v>172</v>
      </c>
      <c r="AE269" s="470" t="s">
        <v>173</v>
      </c>
      <c r="AF269" s="495"/>
      <c r="AG269" s="495"/>
      <c r="AH269" s="469"/>
      <c r="AI269" s="125"/>
      <c r="AJ269" s="125"/>
      <c r="AK269" s="475" t="str">
        <f t="shared" si="77"/>
        <v/>
      </c>
      <c r="AL269" s="456">
        <f t="shared" si="78"/>
        <v>16</v>
      </c>
      <c r="AM269" s="456">
        <f t="shared" si="79"/>
        <v>-64</v>
      </c>
      <c r="AN269" s="456">
        <f t="shared" si="80"/>
        <v>-0.10969999999986157</v>
      </c>
      <c r="AO269" s="456">
        <f t="shared" si="97"/>
        <v>-149.33333333333334</v>
      </c>
      <c r="AP269" s="456">
        <f t="shared" si="98"/>
        <v>644.6310407407409</v>
      </c>
      <c r="AQ269" s="456">
        <f t="shared" si="99"/>
        <v>14.11067365901115</v>
      </c>
      <c r="AR269" s="456">
        <f t="shared" si="100"/>
        <v>0.91106431635487395</v>
      </c>
      <c r="AS269" s="456">
        <f t="shared" si="101"/>
        <v>3.3151708030006839</v>
      </c>
      <c r="AT269" s="456">
        <f t="shared" si="81"/>
        <v>-19.313457474295909</v>
      </c>
      <c r="AU269" s="456">
        <f t="shared" si="102"/>
        <v>-1.7133287047839119E-3</v>
      </c>
      <c r="AV269" s="456">
        <f t="shared" si="103"/>
        <v>3.3151708030006839</v>
      </c>
      <c r="AW269" s="456">
        <f t="shared" si="104"/>
        <v>999999</v>
      </c>
      <c r="AX269" s="456">
        <f t="shared" si="105"/>
        <v>999999</v>
      </c>
      <c r="AY269" s="509">
        <f t="shared" si="106"/>
        <v>3.3151708030006839</v>
      </c>
      <c r="AZ269" s="456">
        <f t="shared" si="107"/>
        <v>-19453.435095181194</v>
      </c>
      <c r="BA269" s="456" t="e">
        <f t="shared" si="108"/>
        <v>#NUM!</v>
      </c>
      <c r="BB269" s="456" t="e">
        <f t="shared" si="109"/>
        <v>#NUM!</v>
      </c>
      <c r="BC269" s="456" t="e">
        <f t="shared" si="110"/>
        <v>#NUM!</v>
      </c>
      <c r="BD269" s="456"/>
      <c r="BE269" s="264">
        <v>0</v>
      </c>
      <c r="BF269" s="244">
        <v>0</v>
      </c>
      <c r="BG269" s="244">
        <v>0</v>
      </c>
      <c r="BH269" s="244">
        <v>0</v>
      </c>
      <c r="BI269" s="244">
        <v>0</v>
      </c>
      <c r="BJ269" s="244">
        <f t="shared" si="111"/>
        <v>4.8042251444350634E-2</v>
      </c>
      <c r="BK269" s="244">
        <f t="shared" si="111"/>
        <v>-42547876670941.047</v>
      </c>
      <c r="BL269" s="244">
        <f t="shared" si="111"/>
        <v>7059079538587.9375</v>
      </c>
      <c r="BM269" s="244">
        <f t="shared" si="111"/>
        <v>1323950483391.5161</v>
      </c>
      <c r="BN269" s="265">
        <f t="shared" si="111"/>
        <v>-175890025145.49127</v>
      </c>
      <c r="BO269" s="367">
        <v>3</v>
      </c>
      <c r="BP269" s="666" t="str">
        <f t="shared" si="82"/>
        <v/>
      </c>
      <c r="BQ269" s="238"/>
      <c r="BR269" s="240">
        <f t="shared" si="83"/>
        <v>-17.894488448782099</v>
      </c>
      <c r="BS269" s="240">
        <f t="shared" si="84"/>
        <v>359.02403518259086</v>
      </c>
      <c r="BT269" s="240">
        <f t="shared" si="85"/>
        <v>2397.5035457707181</v>
      </c>
      <c r="BU269" s="240">
        <f t="shared" si="86"/>
        <v>569.54805983040126</v>
      </c>
      <c r="BV269" s="240">
        <f t="shared" si="112"/>
        <v>-359.02403518259086</v>
      </c>
      <c r="BW269" s="240">
        <f t="shared" si="113"/>
        <v>-45180.291745029848</v>
      </c>
      <c r="BX269" s="240">
        <f t="shared" si="114"/>
        <v>-5112474.0129115526</v>
      </c>
      <c r="BY269" s="240">
        <f t="shared" si="115"/>
        <v>-88146.377691293252</v>
      </c>
      <c r="BZ269" s="240">
        <f t="shared" si="116"/>
        <v>-13947379.242238322</v>
      </c>
      <c r="CA269" s="240">
        <f t="shared" si="117"/>
        <v>23266483737719.844</v>
      </c>
      <c r="CB269" s="240">
        <f t="shared" si="118"/>
        <v>342.82430425567992</v>
      </c>
      <c r="CC269" s="240" t="e">
        <f t="shared" si="119"/>
        <v>#NUM!</v>
      </c>
      <c r="CD269" s="240" t="e">
        <f t="shared" si="120"/>
        <v>#NUM!</v>
      </c>
      <c r="CE269" s="240" t="e">
        <f t="shared" si="121"/>
        <v>#NUM!</v>
      </c>
      <c r="CF269" s="240" t="e">
        <f t="shared" si="122"/>
        <v>#NUM!</v>
      </c>
      <c r="CG269" s="240">
        <f t="shared" si="87"/>
        <v>227.64595702626457</v>
      </c>
      <c r="CH269" s="240">
        <f t="shared" si="88"/>
        <v>129.06939477825995</v>
      </c>
      <c r="CI269" s="240">
        <f t="shared" si="89"/>
        <v>476.39003019872149</v>
      </c>
      <c r="CJ269" s="240">
        <f t="shared" si="90"/>
        <v>14.050593376332175</v>
      </c>
      <c r="CK269" s="251" t="e">
        <f t="shared" si="91"/>
        <v>#NUM!</v>
      </c>
      <c r="CL269" s="251">
        <f t="shared" si="92"/>
        <v>4.6097625608574813</v>
      </c>
      <c r="CM269" s="240" t="e">
        <f t="shared" si="93"/>
        <v>#NUM!</v>
      </c>
      <c r="CN269" s="240" t="e">
        <f t="shared" si="94"/>
        <v>#NUM!</v>
      </c>
      <c r="CO269" s="240">
        <f t="shared" si="95"/>
        <v>-0.24679329554182239</v>
      </c>
      <c r="CP269" s="240">
        <f t="shared" si="96"/>
        <v>-4.8565558563993037</v>
      </c>
      <c r="CQ269" s="240">
        <f t="shared" si="123"/>
        <v>0</v>
      </c>
      <c r="CR269" s="240">
        <f t="shared" si="124"/>
        <v>0</v>
      </c>
      <c r="CS269" s="240">
        <f t="shared" si="125"/>
        <v>0</v>
      </c>
      <c r="CT269" s="240">
        <f t="shared" si="126"/>
        <v>0</v>
      </c>
      <c r="CU269" s="240">
        <f t="shared" si="127"/>
        <v>0</v>
      </c>
      <c r="CV269" s="238"/>
      <c r="CW269" s="465"/>
    </row>
    <row r="270" spans="2:101" ht="18" customHeight="1" x14ac:dyDescent="0.25">
      <c r="B270"/>
      <c r="C270" s="40"/>
      <c r="D270"/>
      <c r="E270" s="40"/>
      <c r="F270" s="40"/>
      <c r="G270"/>
      <c r="H270"/>
      <c r="I270"/>
      <c r="J270"/>
      <c r="K270" s="202" t="s">
        <v>371</v>
      </c>
      <c r="L270" s="226" t="s">
        <v>372</v>
      </c>
      <c r="M270" s="201" t="s">
        <v>177</v>
      </c>
      <c r="N270" s="201" t="s">
        <v>373</v>
      </c>
      <c r="O270" s="184"/>
      <c r="P270" s="225" t="str">
        <f t="shared" si="75"/>
        <v/>
      </c>
      <c r="Q270" s="184"/>
      <c r="R270" s="184"/>
      <c r="S270" s="135">
        <f>U26</f>
        <v>909.89475000000004</v>
      </c>
      <c r="T270" s="135">
        <f>SUMPRODUCT($S$269:$S$274,T261:T266)</f>
        <v>1.0010911808934111</v>
      </c>
      <c r="U270" s="152"/>
      <c r="V270" s="152"/>
      <c r="W270" s="152"/>
      <c r="X270" s="152"/>
      <c r="Y270" s="127"/>
      <c r="Z270" s="135" t="str">
        <f t="shared" si="76"/>
        <v/>
      </c>
      <c r="AA270" s="135"/>
      <c r="AB270" s="471">
        <f>AD25</f>
        <v>142.01609999999999</v>
      </c>
      <c r="AC270" s="471">
        <f>AD30</f>
        <v>0.19517101845531215</v>
      </c>
      <c r="AD270" s="493">
        <f>$M$265</f>
        <v>2621.3774247600004</v>
      </c>
      <c r="AE270" s="482">
        <f>n+nn-8</f>
        <v>20</v>
      </c>
      <c r="AF270" s="495"/>
      <c r="AG270" s="495"/>
      <c r="AH270" s="125"/>
      <c r="AI270" s="125"/>
      <c r="AJ270" s="125"/>
      <c r="AK270" s="475" t="str">
        <f t="shared" si="77"/>
        <v/>
      </c>
      <c r="AL270" s="456">
        <f t="shared" si="78"/>
        <v>16</v>
      </c>
      <c r="AM270" s="456">
        <f t="shared" si="79"/>
        <v>-64</v>
      </c>
      <c r="AN270" s="456">
        <f t="shared" si="80"/>
        <v>-0.10969999999986157</v>
      </c>
      <c r="AO270" s="456">
        <f t="shared" si="97"/>
        <v>-149.33333333333334</v>
      </c>
      <c r="AP270" s="456">
        <f t="shared" si="98"/>
        <v>644.6310407407409</v>
      </c>
      <c r="AQ270" s="456">
        <f t="shared" si="99"/>
        <v>14.11067365901115</v>
      </c>
      <c r="AR270" s="456">
        <f t="shared" si="100"/>
        <v>0.91106431635487395</v>
      </c>
      <c r="AS270" s="456">
        <f t="shared" si="101"/>
        <v>3.3151708030006839</v>
      </c>
      <c r="AT270" s="456">
        <f t="shared" si="81"/>
        <v>-19.313457474295909</v>
      </c>
      <c r="AU270" s="456">
        <f t="shared" si="102"/>
        <v>-1.7133287047839119E-3</v>
      </c>
      <c r="AV270" s="456">
        <f t="shared" si="103"/>
        <v>3.3151708030006839</v>
      </c>
      <c r="AW270" s="456">
        <f t="shared" si="104"/>
        <v>999999</v>
      </c>
      <c r="AX270" s="456">
        <f t="shared" si="105"/>
        <v>999999</v>
      </c>
      <c r="AY270" s="509">
        <f t="shared" si="106"/>
        <v>3.3151708030006839</v>
      </c>
      <c r="AZ270" s="456">
        <f t="shared" si="107"/>
        <v>-19453.435095181194</v>
      </c>
      <c r="BA270" s="456" t="e">
        <f t="shared" si="108"/>
        <v>#NUM!</v>
      </c>
      <c r="BB270" s="456" t="e">
        <f t="shared" si="109"/>
        <v>#NUM!</v>
      </c>
      <c r="BC270" s="456" t="e">
        <f t="shared" si="110"/>
        <v>#NUM!</v>
      </c>
      <c r="BD270" s="456"/>
      <c r="BE270" s="264">
        <v>0</v>
      </c>
      <c r="BF270" s="244">
        <v>0</v>
      </c>
      <c r="BG270" s="244">
        <v>0</v>
      </c>
      <c r="BH270" s="244">
        <v>0</v>
      </c>
      <c r="BI270" s="244">
        <v>0</v>
      </c>
      <c r="BJ270" s="244">
        <f t="shared" si="111"/>
        <v>4.2894867361027348E-4</v>
      </c>
      <c r="BK270" s="244">
        <f t="shared" si="111"/>
        <v>-458428300831.68793</v>
      </c>
      <c r="BL270" s="244">
        <f t="shared" si="111"/>
        <v>102295768300.82088</v>
      </c>
      <c r="BM270" s="244">
        <f t="shared" si="111"/>
        <v>5518671132.0944281</v>
      </c>
      <c r="BN270" s="265">
        <f t="shared" si="111"/>
        <v>-1247250995.3022606</v>
      </c>
      <c r="BO270" s="367">
        <v>4</v>
      </c>
      <c r="BP270" s="666" t="str">
        <f t="shared" si="82"/>
        <v/>
      </c>
      <c r="BQ270" s="238"/>
      <c r="BR270" s="240">
        <f t="shared" si="83"/>
        <v>-17.894488448782099</v>
      </c>
      <c r="BS270" s="240">
        <f t="shared" si="84"/>
        <v>359.02403518259086</v>
      </c>
      <c r="BT270" s="240">
        <f t="shared" si="85"/>
        <v>2397.5035457707181</v>
      </c>
      <c r="BU270" s="240">
        <f t="shared" si="86"/>
        <v>569.54805983040126</v>
      </c>
      <c r="BV270" s="240">
        <f t="shared" si="112"/>
        <v>-359.02403518259086</v>
      </c>
      <c r="BW270" s="240">
        <f t="shared" si="113"/>
        <v>-45180.291745029848</v>
      </c>
      <c r="BX270" s="240">
        <f t="shared" si="114"/>
        <v>-5112474.0129115526</v>
      </c>
      <c r="BY270" s="240">
        <f t="shared" si="115"/>
        <v>-88146.377691293252</v>
      </c>
      <c r="BZ270" s="240">
        <f t="shared" si="116"/>
        <v>-13947379.242238322</v>
      </c>
      <c r="CA270" s="240">
        <f t="shared" si="117"/>
        <v>23266483737719.844</v>
      </c>
      <c r="CB270" s="240">
        <f t="shared" si="118"/>
        <v>342.82430425567992</v>
      </c>
      <c r="CC270" s="240" t="e">
        <f t="shared" si="119"/>
        <v>#NUM!</v>
      </c>
      <c r="CD270" s="240" t="e">
        <f t="shared" si="120"/>
        <v>#NUM!</v>
      </c>
      <c r="CE270" s="240" t="e">
        <f t="shared" si="121"/>
        <v>#NUM!</v>
      </c>
      <c r="CF270" s="240" t="e">
        <f t="shared" si="122"/>
        <v>#NUM!</v>
      </c>
      <c r="CG270" s="240">
        <f t="shared" si="87"/>
        <v>227.64595702626457</v>
      </c>
      <c r="CH270" s="240">
        <f t="shared" si="88"/>
        <v>129.06939477825995</v>
      </c>
      <c r="CI270" s="240">
        <f t="shared" si="89"/>
        <v>476.39003019872149</v>
      </c>
      <c r="CJ270" s="240">
        <f t="shared" si="90"/>
        <v>14.050593376332175</v>
      </c>
      <c r="CK270" s="251" t="e">
        <f t="shared" si="91"/>
        <v>#NUM!</v>
      </c>
      <c r="CL270" s="251">
        <f t="shared" si="92"/>
        <v>4.6097625608574813</v>
      </c>
      <c r="CM270" s="240" t="e">
        <f t="shared" si="93"/>
        <v>#NUM!</v>
      </c>
      <c r="CN270" s="240" t="e">
        <f t="shared" si="94"/>
        <v>#NUM!</v>
      </c>
      <c r="CO270" s="240">
        <f t="shared" si="95"/>
        <v>-0.24679329554182239</v>
      </c>
      <c r="CP270" s="240">
        <f t="shared" si="96"/>
        <v>-4.8565558563993037</v>
      </c>
      <c r="CQ270" s="240">
        <f t="shared" si="123"/>
        <v>0</v>
      </c>
      <c r="CR270" s="240">
        <f t="shared" si="124"/>
        <v>0</v>
      </c>
      <c r="CS270" s="240">
        <f t="shared" si="125"/>
        <v>0</v>
      </c>
      <c r="CT270" s="240">
        <f t="shared" si="126"/>
        <v>0</v>
      </c>
      <c r="CU270" s="240">
        <f t="shared" si="127"/>
        <v>0</v>
      </c>
      <c r="CV270" s="238"/>
      <c r="CW270" s="465"/>
    </row>
    <row r="271" spans="2:101" ht="18" customHeight="1" x14ac:dyDescent="0.25">
      <c r="B271"/>
      <c r="C271" s="40"/>
      <c r="D271"/>
      <c r="E271" s="40"/>
      <c r="F271" s="40"/>
      <c r="G271"/>
      <c r="H271"/>
      <c r="I271"/>
      <c r="J271"/>
      <c r="K271" s="193">
        <f>N268-(SUM(Y)+SUM(yy))^2/(n+nn)</f>
        <v>956.0387482016074</v>
      </c>
      <c r="L271" s="193">
        <f>M265-N268</f>
        <v>16.831456945536047</v>
      </c>
      <c r="M271" s="193">
        <f>L271/N265</f>
        <v>0.70131070606400192</v>
      </c>
      <c r="N271" s="193">
        <f>SQRT(M271)</f>
        <v>0.83744295690154436</v>
      </c>
      <c r="O271" s="184"/>
      <c r="P271" s="225" t="str">
        <f t="shared" si="75"/>
        <v/>
      </c>
      <c r="Q271" s="184"/>
      <c r="R271" s="184"/>
      <c r="S271" s="135">
        <f>U27</f>
        <v>6463.0799750000006</v>
      </c>
      <c r="T271" s="135">
        <f>SUMPRODUCT($S$269:$S$274,U261:U266)</f>
        <v>9.9935131947515465E-2</v>
      </c>
      <c r="U271" s="152"/>
      <c r="V271" s="152"/>
      <c r="W271" s="152"/>
      <c r="X271" s="152"/>
      <c r="Y271" s="127"/>
      <c r="Z271" s="135" t="str">
        <f t="shared" si="76"/>
        <v/>
      </c>
      <c r="AA271" s="135"/>
      <c r="AB271" s="475">
        <f>AD26</f>
        <v>909.89475000000004</v>
      </c>
      <c r="AC271" s="475">
        <f>AD31</f>
        <v>1.0030238881515743</v>
      </c>
      <c r="AD271" s="495"/>
      <c r="AE271" s="495"/>
      <c r="AF271" s="495"/>
      <c r="AG271" s="495"/>
      <c r="AH271" s="469"/>
      <c r="AI271" s="125"/>
      <c r="AJ271" s="125"/>
      <c r="AK271" s="475" t="str">
        <f t="shared" si="77"/>
        <v/>
      </c>
      <c r="AL271" s="456">
        <f t="shared" si="78"/>
        <v>16</v>
      </c>
      <c r="AM271" s="456">
        <f t="shared" si="79"/>
        <v>-64</v>
      </c>
      <c r="AN271" s="456">
        <f t="shared" si="80"/>
        <v>-0.10969999999986157</v>
      </c>
      <c r="AO271" s="456">
        <f t="shared" si="97"/>
        <v>-149.33333333333334</v>
      </c>
      <c r="AP271" s="456">
        <f t="shared" si="98"/>
        <v>644.6310407407409</v>
      </c>
      <c r="AQ271" s="456">
        <f t="shared" si="99"/>
        <v>14.11067365901115</v>
      </c>
      <c r="AR271" s="456">
        <f t="shared" si="100"/>
        <v>0.91106431635487395</v>
      </c>
      <c r="AS271" s="456">
        <f t="shared" si="101"/>
        <v>3.3151708030006839</v>
      </c>
      <c r="AT271" s="456">
        <f t="shared" si="81"/>
        <v>-19.313457474295909</v>
      </c>
      <c r="AU271" s="456">
        <f t="shared" si="102"/>
        <v>-1.7133287047839119E-3</v>
      </c>
      <c r="AV271" s="456">
        <f t="shared" si="103"/>
        <v>3.3151708030006839</v>
      </c>
      <c r="AW271" s="456">
        <f t="shared" si="104"/>
        <v>999999</v>
      </c>
      <c r="AX271" s="456">
        <f t="shared" si="105"/>
        <v>999999</v>
      </c>
      <c r="AY271" s="509">
        <f t="shared" si="106"/>
        <v>3.3151708030006839</v>
      </c>
      <c r="AZ271" s="456">
        <f t="shared" si="107"/>
        <v>-19453.435095181194</v>
      </c>
      <c r="BA271" s="456" t="e">
        <f t="shared" si="108"/>
        <v>#NUM!</v>
      </c>
      <c r="BB271" s="456" t="e">
        <f t="shared" si="109"/>
        <v>#NUM!</v>
      </c>
      <c r="BC271" s="456" t="e">
        <f t="shared" si="110"/>
        <v>#NUM!</v>
      </c>
      <c r="BD271" s="456"/>
      <c r="BE271" s="273">
        <v>0</v>
      </c>
      <c r="BF271" s="274">
        <v>0</v>
      </c>
      <c r="BG271" s="274">
        <v>0</v>
      </c>
      <c r="BH271" s="274">
        <v>0</v>
      </c>
      <c r="BI271" s="274">
        <v>0</v>
      </c>
      <c r="BJ271" s="274">
        <f t="shared" si="111"/>
        <v>-3.2171150520770512E-4</v>
      </c>
      <c r="BK271" s="274">
        <f t="shared" si="111"/>
        <v>343821225623.76593</v>
      </c>
      <c r="BL271" s="274">
        <f t="shared" si="111"/>
        <v>-59541957041.615662</v>
      </c>
      <c r="BM271" s="274">
        <f t="shared" si="111"/>
        <v>-9865626410.4041672</v>
      </c>
      <c r="BN271" s="275">
        <f t="shared" si="111"/>
        <v>1359632547.3162031</v>
      </c>
      <c r="BO271" s="367">
        <v>5</v>
      </c>
      <c r="BP271" s="666" t="str">
        <f t="shared" si="82"/>
        <v/>
      </c>
      <c r="BQ271" s="238"/>
      <c r="BR271" s="240">
        <f t="shared" si="83"/>
        <v>-17.894488448782099</v>
      </c>
      <c r="BS271" s="240">
        <f t="shared" si="84"/>
        <v>359.02403518259086</v>
      </c>
      <c r="BT271" s="240">
        <f t="shared" si="85"/>
        <v>2397.5035457707181</v>
      </c>
      <c r="BU271" s="240">
        <f t="shared" si="86"/>
        <v>569.54805983040126</v>
      </c>
      <c r="BV271" s="240">
        <f t="shared" si="112"/>
        <v>-359.02403518259086</v>
      </c>
      <c r="BW271" s="240">
        <f t="shared" si="113"/>
        <v>-45180.291745029848</v>
      </c>
      <c r="BX271" s="240">
        <f t="shared" si="114"/>
        <v>-5112474.0129115526</v>
      </c>
      <c r="BY271" s="240">
        <f t="shared" si="115"/>
        <v>-88146.377691293252</v>
      </c>
      <c r="BZ271" s="240">
        <f t="shared" si="116"/>
        <v>-13947379.242238322</v>
      </c>
      <c r="CA271" s="240">
        <f t="shared" si="117"/>
        <v>23266483737719.844</v>
      </c>
      <c r="CB271" s="240">
        <f t="shared" si="118"/>
        <v>342.82430425567992</v>
      </c>
      <c r="CC271" s="240" t="e">
        <f t="shared" si="119"/>
        <v>#NUM!</v>
      </c>
      <c r="CD271" s="240" t="e">
        <f t="shared" si="120"/>
        <v>#NUM!</v>
      </c>
      <c r="CE271" s="240" t="e">
        <f t="shared" si="121"/>
        <v>#NUM!</v>
      </c>
      <c r="CF271" s="240" t="e">
        <f t="shared" si="122"/>
        <v>#NUM!</v>
      </c>
      <c r="CG271" s="240">
        <f t="shared" si="87"/>
        <v>227.64595702626457</v>
      </c>
      <c r="CH271" s="240">
        <f t="shared" si="88"/>
        <v>129.06939477825995</v>
      </c>
      <c r="CI271" s="240">
        <f t="shared" si="89"/>
        <v>476.39003019872149</v>
      </c>
      <c r="CJ271" s="240">
        <f t="shared" si="90"/>
        <v>14.050593376332175</v>
      </c>
      <c r="CK271" s="251" t="e">
        <f t="shared" si="91"/>
        <v>#NUM!</v>
      </c>
      <c r="CL271" s="251">
        <f t="shared" si="92"/>
        <v>4.6097625608574813</v>
      </c>
      <c r="CM271" s="240" t="e">
        <f t="shared" si="93"/>
        <v>#NUM!</v>
      </c>
      <c r="CN271" s="240" t="e">
        <f t="shared" si="94"/>
        <v>#NUM!</v>
      </c>
      <c r="CO271" s="240">
        <f t="shared" si="95"/>
        <v>-0.24679329554182239</v>
      </c>
      <c r="CP271" s="240">
        <f t="shared" si="96"/>
        <v>-4.8565558563993037</v>
      </c>
      <c r="CQ271" s="240">
        <f t="shared" si="123"/>
        <v>0</v>
      </c>
      <c r="CR271" s="240">
        <f t="shared" si="124"/>
        <v>0</v>
      </c>
      <c r="CS271" s="240">
        <f t="shared" si="125"/>
        <v>0</v>
      </c>
      <c r="CT271" s="240">
        <f t="shared" si="126"/>
        <v>0</v>
      </c>
      <c r="CU271" s="240">
        <f t="shared" si="127"/>
        <v>0</v>
      </c>
      <c r="CV271" s="238"/>
      <c r="CW271" s="465"/>
    </row>
    <row r="272" spans="2:101" ht="18" customHeight="1" x14ac:dyDescent="0.25">
      <c r="B272"/>
      <c r="C272" s="40"/>
      <c r="D272"/>
      <c r="E272" s="40"/>
      <c r="F272" s="40"/>
      <c r="G272"/>
      <c r="H272"/>
      <c r="I272"/>
      <c r="J272"/>
      <c r="K272" s="184"/>
      <c r="L272" s="184"/>
      <c r="M272" s="184"/>
      <c r="N272" s="184"/>
      <c r="O272" s="184"/>
      <c r="P272" s="225" t="str">
        <f t="shared" si="75"/>
        <v/>
      </c>
      <c r="Q272" s="184"/>
      <c r="R272" s="184"/>
      <c r="S272" s="135">
        <f>SUM(yy)</f>
        <v>72.828499999999991</v>
      </c>
      <c r="T272" s="135">
        <f>SUMPRODUCT($S$269:$S$274,V261:V266)</f>
        <v>0.21940000000000026</v>
      </c>
      <c r="U272" s="152" t="s">
        <v>367</v>
      </c>
      <c r="V272" s="152" t="s">
        <v>368</v>
      </c>
      <c r="W272" s="152"/>
      <c r="X272" s="152"/>
      <c r="Y272" s="127"/>
      <c r="Z272" s="135" t="str">
        <f t="shared" si="76"/>
        <v/>
      </c>
      <c r="AA272" s="135"/>
      <c r="AB272" s="475">
        <f>AD27</f>
        <v>6463.0799750000006</v>
      </c>
      <c r="AC272" s="475">
        <f>AD32</f>
        <v>9.9383513596848161E-2</v>
      </c>
      <c r="AD272" s="495"/>
      <c r="AE272" s="495"/>
      <c r="AF272" s="495"/>
      <c r="AG272" s="495"/>
      <c r="AH272" s="469"/>
      <c r="AI272" s="125"/>
      <c r="AJ272" s="125"/>
      <c r="AK272" s="475" t="str">
        <f t="shared" si="77"/>
        <v/>
      </c>
      <c r="AL272" s="456">
        <f t="shared" si="78"/>
        <v>16</v>
      </c>
      <c r="AM272" s="456">
        <f t="shared" si="79"/>
        <v>-64</v>
      </c>
      <c r="AN272" s="456">
        <f t="shared" si="80"/>
        <v>-0.10969999999986157</v>
      </c>
      <c r="AO272" s="456">
        <f t="shared" si="97"/>
        <v>-149.33333333333334</v>
      </c>
      <c r="AP272" s="456">
        <f t="shared" si="98"/>
        <v>644.6310407407409</v>
      </c>
      <c r="AQ272" s="456">
        <f t="shared" si="99"/>
        <v>14.11067365901115</v>
      </c>
      <c r="AR272" s="456">
        <f t="shared" si="100"/>
        <v>0.91106431635487395</v>
      </c>
      <c r="AS272" s="456">
        <f t="shared" si="101"/>
        <v>3.3151708030006839</v>
      </c>
      <c r="AT272" s="456">
        <f t="shared" si="81"/>
        <v>-19.313457474295909</v>
      </c>
      <c r="AU272" s="456">
        <f t="shared" si="102"/>
        <v>-1.7133287047839119E-3</v>
      </c>
      <c r="AV272" s="456">
        <f t="shared" si="103"/>
        <v>3.3151708030006839</v>
      </c>
      <c r="AW272" s="456">
        <f t="shared" si="104"/>
        <v>999999</v>
      </c>
      <c r="AX272" s="456">
        <f t="shared" si="105"/>
        <v>999999</v>
      </c>
      <c r="AY272" s="509">
        <f t="shared" si="106"/>
        <v>3.3151708030006839</v>
      </c>
      <c r="AZ272" s="456">
        <f t="shared" si="107"/>
        <v>-19453.435095181194</v>
      </c>
      <c r="BA272" s="456" t="e">
        <f t="shared" si="108"/>
        <v>#NUM!</v>
      </c>
      <c r="BB272" s="456" t="e">
        <f t="shared" si="109"/>
        <v>#NUM!</v>
      </c>
      <c r="BC272" s="456" t="e">
        <f t="shared" si="110"/>
        <v>#NUM!</v>
      </c>
      <c r="BD272" s="456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666" t="str">
        <f t="shared" si="82"/>
        <v/>
      </c>
      <c r="BQ272" s="238"/>
      <c r="BR272" s="240">
        <f t="shared" si="83"/>
        <v>-17.894488448782099</v>
      </c>
      <c r="BS272" s="240">
        <f t="shared" si="84"/>
        <v>359.02403518259086</v>
      </c>
      <c r="BT272" s="240">
        <f t="shared" si="85"/>
        <v>2397.5035457707181</v>
      </c>
      <c r="BU272" s="240">
        <f t="shared" si="86"/>
        <v>569.54805983040126</v>
      </c>
      <c r="BV272" s="240">
        <f t="shared" si="112"/>
        <v>-359.02403518259086</v>
      </c>
      <c r="BW272" s="240">
        <f t="shared" si="113"/>
        <v>-45180.291745029848</v>
      </c>
      <c r="BX272" s="240">
        <f t="shared" si="114"/>
        <v>-5112474.0129115526</v>
      </c>
      <c r="BY272" s="240">
        <f t="shared" si="115"/>
        <v>-88146.377691293252</v>
      </c>
      <c r="BZ272" s="240">
        <f t="shared" si="116"/>
        <v>-13947379.242238322</v>
      </c>
      <c r="CA272" s="240">
        <f t="shared" si="117"/>
        <v>23266483737719.844</v>
      </c>
      <c r="CB272" s="240">
        <f t="shared" si="118"/>
        <v>342.82430425567992</v>
      </c>
      <c r="CC272" s="240" t="e">
        <f t="shared" si="119"/>
        <v>#NUM!</v>
      </c>
      <c r="CD272" s="240" t="e">
        <f t="shared" si="120"/>
        <v>#NUM!</v>
      </c>
      <c r="CE272" s="240" t="e">
        <f t="shared" si="121"/>
        <v>#NUM!</v>
      </c>
      <c r="CF272" s="240" t="e">
        <f t="shared" si="122"/>
        <v>#NUM!</v>
      </c>
      <c r="CG272" s="240">
        <f t="shared" si="87"/>
        <v>227.64595702626457</v>
      </c>
      <c r="CH272" s="240">
        <f t="shared" si="88"/>
        <v>129.06939477825995</v>
      </c>
      <c r="CI272" s="240">
        <f t="shared" si="89"/>
        <v>476.39003019872149</v>
      </c>
      <c r="CJ272" s="240">
        <f t="shared" si="90"/>
        <v>14.050593376332175</v>
      </c>
      <c r="CK272" s="251" t="e">
        <f t="shared" si="91"/>
        <v>#NUM!</v>
      </c>
      <c r="CL272" s="251">
        <f t="shared" si="92"/>
        <v>4.6097625608574813</v>
      </c>
      <c r="CM272" s="240" t="e">
        <f t="shared" si="93"/>
        <v>#NUM!</v>
      </c>
      <c r="CN272" s="240" t="e">
        <f t="shared" si="94"/>
        <v>#NUM!</v>
      </c>
      <c r="CO272" s="240">
        <f t="shared" si="95"/>
        <v>-0.24679329554182239</v>
      </c>
      <c r="CP272" s="240">
        <f t="shared" si="96"/>
        <v>-4.8565558563993037</v>
      </c>
      <c r="CQ272" s="240">
        <f t="shared" si="123"/>
        <v>0</v>
      </c>
      <c r="CR272" s="240">
        <f t="shared" si="124"/>
        <v>0</v>
      </c>
      <c r="CS272" s="240">
        <f t="shared" si="125"/>
        <v>0</v>
      </c>
      <c r="CT272" s="240">
        <f t="shared" si="126"/>
        <v>0</v>
      </c>
      <c r="CU272" s="240">
        <f t="shared" si="127"/>
        <v>0</v>
      </c>
      <c r="CV272" s="238"/>
      <c r="CW272" s="465"/>
    </row>
    <row r="273" spans="2:101" ht="18" customHeight="1" thickBot="1" x14ac:dyDescent="0.3">
      <c r="B273"/>
      <c r="C273" s="41"/>
      <c r="D273"/>
      <c r="E273" s="41"/>
      <c r="F273" s="41"/>
      <c r="G273"/>
      <c r="H273"/>
      <c r="I273"/>
      <c r="J273"/>
      <c r="K273" s="185"/>
      <c r="L273" s="185"/>
      <c r="M273" s="185"/>
      <c r="N273" s="185"/>
      <c r="O273" s="184"/>
      <c r="P273" s="225" t="str">
        <f t="shared" si="75"/>
        <v/>
      </c>
      <c r="Q273" s="184"/>
      <c r="R273" s="184"/>
      <c r="S273" s="135">
        <f>SUMPRODUCT(xx,yy)</f>
        <v>558.68220000000008</v>
      </c>
      <c r="T273" s="135">
        <f>SUMPRODUCT($S$269:$S$274,W261:W266)</f>
        <v>0.99259629629629842</v>
      </c>
      <c r="U273" s="145">
        <v>2</v>
      </c>
      <c r="V273" s="145">
        <f>SUMPRODUCT(S269:S274,T269:T274)</f>
        <v>2621.3661870627598</v>
      </c>
      <c r="W273" s="152"/>
      <c r="X273" s="152"/>
      <c r="Y273" s="127"/>
      <c r="Z273" s="135" t="str">
        <f t="shared" si="76"/>
        <v/>
      </c>
      <c r="AA273" s="135"/>
      <c r="AB273" s="475">
        <f>AD28</f>
        <v>48559.446637500005</v>
      </c>
      <c r="AC273" s="475">
        <f>AD33</f>
        <v>4.0860618565119466E-5</v>
      </c>
      <c r="AD273" s="495" t="s">
        <v>367</v>
      </c>
      <c r="AE273" s="495" t="s">
        <v>368</v>
      </c>
      <c r="AF273" s="495"/>
      <c r="AG273" s="525" t="s">
        <v>12</v>
      </c>
      <c r="AH273" s="525" t="s">
        <v>251</v>
      </c>
      <c r="AI273" s="125"/>
      <c r="AJ273" s="125"/>
      <c r="AK273" s="475" t="str">
        <f t="shared" si="77"/>
        <v/>
      </c>
      <c r="AL273" s="456">
        <f t="shared" si="78"/>
        <v>16</v>
      </c>
      <c r="AM273" s="456">
        <f t="shared" si="79"/>
        <v>-64</v>
      </c>
      <c r="AN273" s="456">
        <f t="shared" si="80"/>
        <v>-0.10969999999986157</v>
      </c>
      <c r="AO273" s="456">
        <f t="shared" si="97"/>
        <v>-149.33333333333334</v>
      </c>
      <c r="AP273" s="456">
        <f t="shared" si="98"/>
        <v>644.6310407407409</v>
      </c>
      <c r="AQ273" s="456">
        <f t="shared" si="99"/>
        <v>14.11067365901115</v>
      </c>
      <c r="AR273" s="456">
        <f t="shared" si="100"/>
        <v>0.91106431635487395</v>
      </c>
      <c r="AS273" s="456">
        <f t="shared" si="101"/>
        <v>3.3151708030006839</v>
      </c>
      <c r="AT273" s="456">
        <f t="shared" si="81"/>
        <v>-19.313457474295909</v>
      </c>
      <c r="AU273" s="456">
        <f t="shared" si="102"/>
        <v>-1.7133287047839119E-3</v>
      </c>
      <c r="AV273" s="456">
        <f t="shared" si="103"/>
        <v>3.3151708030006839</v>
      </c>
      <c r="AW273" s="456">
        <f t="shared" si="104"/>
        <v>999999</v>
      </c>
      <c r="AX273" s="456">
        <f t="shared" si="105"/>
        <v>999999</v>
      </c>
      <c r="AY273" s="509">
        <f t="shared" si="106"/>
        <v>3.3151708030006839</v>
      </c>
      <c r="AZ273" s="456">
        <f t="shared" si="107"/>
        <v>-19453.435095181194</v>
      </c>
      <c r="BA273" s="456" t="e">
        <f t="shared" si="108"/>
        <v>#NUM!</v>
      </c>
      <c r="BB273" s="456" t="e">
        <f t="shared" si="109"/>
        <v>#NUM!</v>
      </c>
      <c r="BC273" s="456" t="e">
        <f t="shared" si="110"/>
        <v>#NUM!</v>
      </c>
      <c r="BD273" s="456"/>
      <c r="BE273" s="257" t="s">
        <v>169</v>
      </c>
      <c r="BF273" s="257" t="s">
        <v>170</v>
      </c>
      <c r="BG273" s="241" t="s">
        <v>172</v>
      </c>
      <c r="BH273" s="241" t="s">
        <v>173</v>
      </c>
      <c r="BI273" s="257"/>
      <c r="BJ273" s="257"/>
      <c r="BK273" s="239"/>
      <c r="BL273" s="238"/>
      <c r="BM273" s="238"/>
      <c r="BN273" s="238"/>
      <c r="BO273" s="238"/>
      <c r="BP273" s="666" t="str">
        <f t="shared" si="82"/>
        <v/>
      </c>
      <c r="BQ273" s="238"/>
      <c r="BR273" s="240">
        <f t="shared" si="83"/>
        <v>-17.894488448782099</v>
      </c>
      <c r="BS273" s="240">
        <f t="shared" si="84"/>
        <v>359.02403518259086</v>
      </c>
      <c r="BT273" s="240">
        <f t="shared" si="85"/>
        <v>2397.5035457707181</v>
      </c>
      <c r="BU273" s="240">
        <f t="shared" si="86"/>
        <v>569.54805983040126</v>
      </c>
      <c r="BV273" s="240">
        <f t="shared" si="112"/>
        <v>-359.02403518259086</v>
      </c>
      <c r="BW273" s="240">
        <f t="shared" si="113"/>
        <v>-45180.291745029848</v>
      </c>
      <c r="BX273" s="240">
        <f t="shared" si="114"/>
        <v>-5112474.0129115526</v>
      </c>
      <c r="BY273" s="240">
        <f t="shared" si="115"/>
        <v>-88146.377691293252</v>
      </c>
      <c r="BZ273" s="240">
        <f t="shared" si="116"/>
        <v>-13947379.242238322</v>
      </c>
      <c r="CA273" s="240">
        <f t="shared" si="117"/>
        <v>23266483737719.844</v>
      </c>
      <c r="CB273" s="240">
        <f t="shared" si="118"/>
        <v>342.82430425567992</v>
      </c>
      <c r="CC273" s="240" t="e">
        <f t="shared" si="119"/>
        <v>#NUM!</v>
      </c>
      <c r="CD273" s="240" t="e">
        <f t="shared" si="120"/>
        <v>#NUM!</v>
      </c>
      <c r="CE273" s="240" t="e">
        <f t="shared" si="121"/>
        <v>#NUM!</v>
      </c>
      <c r="CF273" s="240" t="e">
        <f t="shared" si="122"/>
        <v>#NUM!</v>
      </c>
      <c r="CG273" s="240">
        <f t="shared" si="87"/>
        <v>227.64595702626457</v>
      </c>
      <c r="CH273" s="240">
        <f t="shared" si="88"/>
        <v>129.06939477825995</v>
      </c>
      <c r="CI273" s="240">
        <f t="shared" si="89"/>
        <v>476.39003019872149</v>
      </c>
      <c r="CJ273" s="240">
        <f t="shared" si="90"/>
        <v>14.050593376332175</v>
      </c>
      <c r="CK273" s="251" t="e">
        <f t="shared" si="91"/>
        <v>#NUM!</v>
      </c>
      <c r="CL273" s="251">
        <f t="shared" si="92"/>
        <v>4.6097625608574813</v>
      </c>
      <c r="CM273" s="240" t="e">
        <f t="shared" si="93"/>
        <v>#NUM!</v>
      </c>
      <c r="CN273" s="240" t="e">
        <f t="shared" si="94"/>
        <v>#NUM!</v>
      </c>
      <c r="CO273" s="240">
        <f t="shared" si="95"/>
        <v>-0.24679329554182239</v>
      </c>
      <c r="CP273" s="240">
        <f t="shared" si="96"/>
        <v>-4.8565558563993037</v>
      </c>
      <c r="CQ273" s="240">
        <f t="shared" si="123"/>
        <v>0</v>
      </c>
      <c r="CR273" s="240">
        <f t="shared" si="124"/>
        <v>0</v>
      </c>
      <c r="CS273" s="240">
        <f t="shared" si="125"/>
        <v>0</v>
      </c>
      <c r="CT273" s="240">
        <f t="shared" si="126"/>
        <v>0</v>
      </c>
      <c r="CU273" s="240">
        <f t="shared" si="127"/>
        <v>0</v>
      </c>
      <c r="CV273" s="238"/>
      <c r="CW273" s="465"/>
    </row>
    <row r="274" spans="2:101" ht="18" customHeight="1" thickTop="1" x14ac:dyDescent="0.25">
      <c r="B274" s="99" t="s">
        <v>369</v>
      </c>
      <c r="C274" s="11">
        <f>COUNT(C264:C273)</f>
        <v>3</v>
      </c>
      <c r="D274"/>
      <c r="E274" s="99" t="s">
        <v>369</v>
      </c>
      <c r="F274" s="11">
        <f>COUNT(F264:F273)</f>
        <v>3</v>
      </c>
      <c r="G274"/>
      <c r="H274"/>
      <c r="I274"/>
      <c r="J274"/>
      <c r="K274" s="185"/>
      <c r="L274" s="185"/>
      <c r="M274" s="185"/>
      <c r="N274" s="185"/>
      <c r="O274" s="184"/>
      <c r="P274" s="196" t="str">
        <f t="shared" si="75"/>
        <v/>
      </c>
      <c r="Q274" s="184"/>
      <c r="R274" s="184"/>
      <c r="S274" s="146">
        <f>SUMPRODUCT(D307:D326,yy)</f>
        <v>4619.3125500000006</v>
      </c>
      <c r="T274" s="146">
        <f>SUMPRODUCT($S$269:$S$274,X261:X266)</f>
        <v>0.10091769547325047</v>
      </c>
      <c r="U274" s="152"/>
      <c r="V274" s="152"/>
      <c r="W274" s="152"/>
      <c r="X274" s="152"/>
      <c r="Y274" s="127"/>
      <c r="Z274" s="146" t="str">
        <f t="shared" si="76"/>
        <v/>
      </c>
      <c r="AA274" s="135"/>
      <c r="AB274" s="475">
        <f>SUM(yy)</f>
        <v>72.828499999999991</v>
      </c>
      <c r="AC274" s="475">
        <f>SUMPRODUCT($AB$274:$AB$277,$AF$264:$AF$267)</f>
        <v>0.21939999999972315</v>
      </c>
      <c r="AD274" s="482">
        <v>2</v>
      </c>
      <c r="AE274" s="482">
        <f>SUMPRODUCT(AB270:AB277,AC270:AC277)</f>
        <v>-154174.21071467258</v>
      </c>
      <c r="AF274" s="495"/>
      <c r="AG274" s="472">
        <v>1</v>
      </c>
      <c r="AH274" s="471">
        <f>SUMPRODUCT(AF264:AF267,$AG$274:$AG$277)*AD280</f>
        <v>3049.3654575321088</v>
      </c>
      <c r="AI274" s="125"/>
      <c r="AJ274" s="125"/>
      <c r="AK274" s="475" t="str">
        <f t="shared" si="77"/>
        <v/>
      </c>
      <c r="AL274" s="456">
        <f t="shared" si="78"/>
        <v>16</v>
      </c>
      <c r="AM274" s="456">
        <f t="shared" si="79"/>
        <v>-64</v>
      </c>
      <c r="AN274" s="456">
        <f t="shared" si="80"/>
        <v>-0.10969999999986157</v>
      </c>
      <c r="AO274" s="456">
        <f t="shared" si="97"/>
        <v>-149.33333333333334</v>
      </c>
      <c r="AP274" s="456">
        <f t="shared" si="98"/>
        <v>644.6310407407409</v>
      </c>
      <c r="AQ274" s="456">
        <f t="shared" si="99"/>
        <v>14.11067365901115</v>
      </c>
      <c r="AR274" s="456">
        <f t="shared" si="100"/>
        <v>0.91106431635487395</v>
      </c>
      <c r="AS274" s="456">
        <f t="shared" si="101"/>
        <v>3.3151708030006839</v>
      </c>
      <c r="AT274" s="456">
        <f t="shared" si="81"/>
        <v>-19.313457474295909</v>
      </c>
      <c r="AU274" s="456">
        <f t="shared" si="102"/>
        <v>-1.7133287047839119E-3</v>
      </c>
      <c r="AV274" s="456">
        <f t="shared" si="103"/>
        <v>3.3151708030006839</v>
      </c>
      <c r="AW274" s="456">
        <f t="shared" si="104"/>
        <v>999999</v>
      </c>
      <c r="AX274" s="456">
        <f t="shared" si="105"/>
        <v>999999</v>
      </c>
      <c r="AY274" s="509">
        <f t="shared" si="106"/>
        <v>3.3151708030006839</v>
      </c>
      <c r="AZ274" s="456">
        <f t="shared" si="107"/>
        <v>-19453.435095181194</v>
      </c>
      <c r="BA274" s="456" t="e">
        <f t="shared" si="108"/>
        <v>#NUM!</v>
      </c>
      <c r="BB274" s="456" t="e">
        <f t="shared" si="109"/>
        <v>#NUM!</v>
      </c>
      <c r="BC274" s="456" t="e">
        <f t="shared" si="110"/>
        <v>#NUM!</v>
      </c>
      <c r="BD274" s="456"/>
      <c r="BE274" s="242">
        <f>BG26</f>
        <v>142.01609999999999</v>
      </c>
      <c r="BF274" s="242">
        <f>BI26</f>
        <v>0.22056434366470512</v>
      </c>
      <c r="BG274" s="256">
        <f>$M$265</f>
        <v>2621.3774247600004</v>
      </c>
      <c r="BH274" s="139">
        <f>n+nn-10</f>
        <v>18</v>
      </c>
      <c r="BI274" s="257"/>
      <c r="BJ274" s="257"/>
      <c r="BK274" s="238"/>
      <c r="BL274" s="238"/>
      <c r="BM274" s="238"/>
      <c r="BN274" s="238"/>
      <c r="BO274" s="238"/>
      <c r="BP274" s="666" t="str">
        <f t="shared" si="82"/>
        <v/>
      </c>
      <c r="BQ274" s="238"/>
      <c r="BR274" s="240">
        <f t="shared" si="83"/>
        <v>-17.894488448782099</v>
      </c>
      <c r="BS274" s="240">
        <f t="shared" si="84"/>
        <v>359.02403518259086</v>
      </c>
      <c r="BT274" s="240">
        <f t="shared" si="85"/>
        <v>2397.5035457707181</v>
      </c>
      <c r="BU274" s="240">
        <f t="shared" si="86"/>
        <v>569.54805983040126</v>
      </c>
      <c r="BV274" s="240">
        <f t="shared" si="112"/>
        <v>-359.02403518259086</v>
      </c>
      <c r="BW274" s="240">
        <f t="shared" si="113"/>
        <v>-45180.291745029848</v>
      </c>
      <c r="BX274" s="240">
        <f t="shared" si="114"/>
        <v>-5112474.0129115526</v>
      </c>
      <c r="BY274" s="240">
        <f t="shared" si="115"/>
        <v>-88146.377691293252</v>
      </c>
      <c r="BZ274" s="240">
        <f t="shared" si="116"/>
        <v>-13947379.242238322</v>
      </c>
      <c r="CA274" s="240">
        <f t="shared" si="117"/>
        <v>23266483737719.844</v>
      </c>
      <c r="CB274" s="240">
        <f t="shared" si="118"/>
        <v>342.82430425567992</v>
      </c>
      <c r="CC274" s="240" t="e">
        <f t="shared" si="119"/>
        <v>#NUM!</v>
      </c>
      <c r="CD274" s="240" t="e">
        <f t="shared" si="120"/>
        <v>#NUM!</v>
      </c>
      <c r="CE274" s="240" t="e">
        <f t="shared" si="121"/>
        <v>#NUM!</v>
      </c>
      <c r="CF274" s="240" t="e">
        <f t="shared" si="122"/>
        <v>#NUM!</v>
      </c>
      <c r="CG274" s="240">
        <f t="shared" si="87"/>
        <v>227.64595702626457</v>
      </c>
      <c r="CH274" s="240">
        <f t="shared" si="88"/>
        <v>129.06939477825995</v>
      </c>
      <c r="CI274" s="240">
        <f t="shared" si="89"/>
        <v>476.39003019872149</v>
      </c>
      <c r="CJ274" s="240">
        <f t="shared" si="90"/>
        <v>14.050593376332175</v>
      </c>
      <c r="CK274" s="251" t="e">
        <f t="shared" si="91"/>
        <v>#NUM!</v>
      </c>
      <c r="CL274" s="251">
        <f t="shared" si="92"/>
        <v>4.6097625608574813</v>
      </c>
      <c r="CM274" s="240" t="e">
        <f t="shared" si="93"/>
        <v>#NUM!</v>
      </c>
      <c r="CN274" s="240" t="e">
        <f t="shared" si="94"/>
        <v>#NUM!</v>
      </c>
      <c r="CO274" s="240">
        <f t="shared" si="95"/>
        <v>-0.24679329554182239</v>
      </c>
      <c r="CP274" s="240">
        <f t="shared" si="96"/>
        <v>-4.8565558563993037</v>
      </c>
      <c r="CQ274" s="240">
        <f t="shared" si="123"/>
        <v>0</v>
      </c>
      <c r="CR274" s="240">
        <f t="shared" si="124"/>
        <v>0</v>
      </c>
      <c r="CS274" s="240">
        <f t="shared" si="125"/>
        <v>0</v>
      </c>
      <c r="CT274" s="240">
        <f t="shared" si="126"/>
        <v>0</v>
      </c>
      <c r="CU274" s="240">
        <f t="shared" si="127"/>
        <v>0</v>
      </c>
      <c r="CV274" s="238"/>
      <c r="CW274" s="465"/>
    </row>
    <row r="275" spans="2:101" ht="18" customHeight="1" x14ac:dyDescent="0.25">
      <c r="B275" s="99" t="s">
        <v>322</v>
      </c>
      <c r="C275" s="674">
        <f>AVERAGE(C264:C273)</f>
        <v>0</v>
      </c>
      <c r="D275"/>
      <c r="E275" s="99" t="s">
        <v>322</v>
      </c>
      <c r="F275" s="674">
        <f>AVERAGE(F264:F273)</f>
        <v>16.000000000000004</v>
      </c>
      <c r="G275"/>
      <c r="H275"/>
      <c r="I275"/>
      <c r="J275"/>
      <c r="K275" s="185"/>
      <c r="L275" s="185"/>
      <c r="M275" s="185"/>
      <c r="N275" s="185"/>
      <c r="O275" s="220" t="s">
        <v>376</v>
      </c>
      <c r="P275" s="187">
        <f>COUNT(P265:P274)</f>
        <v>3</v>
      </c>
      <c r="Q275" s="184"/>
      <c r="R275" s="184"/>
      <c r="S275" s="127"/>
      <c r="T275" s="127"/>
      <c r="U275" s="152"/>
      <c r="V275" s="152"/>
      <c r="W275" s="152"/>
      <c r="X275" s="152"/>
      <c r="Y275" s="173" t="s">
        <v>376</v>
      </c>
      <c r="Z275" s="129">
        <f>COUNT(Z265:Z274)</f>
        <v>3</v>
      </c>
      <c r="AA275" s="129"/>
      <c r="AB275" s="475">
        <f>SUMPRODUCT(xx,yy)</f>
        <v>558.68220000000008</v>
      </c>
      <c r="AC275" s="475">
        <f>SUMPRODUCT($AB$274:$AB$277,$AG$264:$AG$267)</f>
        <v>128</v>
      </c>
      <c r="AD275" s="125"/>
      <c r="AE275" s="125"/>
      <c r="AF275" s="125"/>
      <c r="AG275" s="476">
        <f>+AK277</f>
        <v>2.9757729858118864E-2</v>
      </c>
      <c r="AH275" s="475">
        <f>SUMPRODUCT(AG264:AG267,$AG$274:$AG$277)*AD280</f>
        <v>-1.6457303660129933E+17</v>
      </c>
      <c r="AI275" s="125"/>
      <c r="AJ275" s="125"/>
      <c r="AK275" s="484" t="str">
        <f t="shared" si="77"/>
        <v/>
      </c>
      <c r="AL275" s="456">
        <f t="shared" si="78"/>
        <v>16</v>
      </c>
      <c r="AM275" s="456">
        <f t="shared" si="79"/>
        <v>-64</v>
      </c>
      <c r="AN275" s="456">
        <f t="shared" si="80"/>
        <v>-0.10969999999986157</v>
      </c>
      <c r="AO275" s="456">
        <f t="shared" si="97"/>
        <v>-149.33333333333334</v>
      </c>
      <c r="AP275" s="456">
        <f t="shared" si="98"/>
        <v>644.6310407407409</v>
      </c>
      <c r="AQ275" s="456">
        <f t="shared" si="99"/>
        <v>14.11067365901115</v>
      </c>
      <c r="AR275" s="456">
        <f t="shared" si="100"/>
        <v>0.91106431635487395</v>
      </c>
      <c r="AS275" s="456">
        <f t="shared" si="101"/>
        <v>3.3151708030006839</v>
      </c>
      <c r="AT275" s="456">
        <f t="shared" si="81"/>
        <v>-19.313457474295909</v>
      </c>
      <c r="AU275" s="456">
        <f t="shared" si="102"/>
        <v>-1.7133287047839119E-3</v>
      </c>
      <c r="AV275" s="456">
        <f t="shared" si="103"/>
        <v>3.3151708030006839</v>
      </c>
      <c r="AW275" s="456">
        <f t="shared" si="104"/>
        <v>999999</v>
      </c>
      <c r="AX275" s="456">
        <f t="shared" si="105"/>
        <v>999999</v>
      </c>
      <c r="AY275" s="509">
        <f t="shared" si="106"/>
        <v>3.3151708030006839</v>
      </c>
      <c r="AZ275" s="456">
        <f t="shared" si="107"/>
        <v>-19453.435095181194</v>
      </c>
      <c r="BA275" s="456" t="e">
        <f t="shared" si="108"/>
        <v>#NUM!</v>
      </c>
      <c r="BB275" s="456" t="e">
        <f t="shared" si="109"/>
        <v>#NUM!</v>
      </c>
      <c r="BC275" s="456" t="e">
        <f t="shared" si="110"/>
        <v>#NUM!</v>
      </c>
      <c r="BD275" s="456"/>
      <c r="BE275" s="243">
        <f>BG27</f>
        <v>909.89475000000004</v>
      </c>
      <c r="BF275" s="243">
        <f>BI27</f>
        <v>0.92846211461801431</v>
      </c>
      <c r="BG275" s="257"/>
      <c r="BH275" s="257"/>
      <c r="BI275" s="257"/>
      <c r="BJ275" s="257"/>
      <c r="BK275" s="239"/>
      <c r="BL275" s="238"/>
      <c r="BM275" s="238"/>
      <c r="BN275" s="238"/>
      <c r="BO275" s="238"/>
      <c r="BP275" s="667" t="str">
        <f t="shared" si="82"/>
        <v/>
      </c>
      <c r="BQ275" s="238"/>
      <c r="BR275" s="240">
        <f t="shared" si="83"/>
        <v>-17.894488448782099</v>
      </c>
      <c r="BS275" s="240">
        <f t="shared" si="84"/>
        <v>359.02403518259086</v>
      </c>
      <c r="BT275" s="240">
        <f t="shared" si="85"/>
        <v>2397.5035457707181</v>
      </c>
      <c r="BU275" s="240">
        <f t="shared" si="86"/>
        <v>569.54805983040126</v>
      </c>
      <c r="BV275" s="240">
        <f t="shared" si="112"/>
        <v>-359.02403518259086</v>
      </c>
      <c r="BW275" s="240">
        <f t="shared" si="113"/>
        <v>-45180.291745029848</v>
      </c>
      <c r="BX275" s="240">
        <f t="shared" si="114"/>
        <v>-5112474.0129115526</v>
      </c>
      <c r="BY275" s="240">
        <f t="shared" si="115"/>
        <v>-88146.377691293252</v>
      </c>
      <c r="BZ275" s="240">
        <f t="shared" si="116"/>
        <v>-13947379.242238322</v>
      </c>
      <c r="CA275" s="240">
        <f t="shared" si="117"/>
        <v>23266483737719.844</v>
      </c>
      <c r="CB275" s="240">
        <f t="shared" si="118"/>
        <v>342.82430425567992</v>
      </c>
      <c r="CC275" s="240" t="e">
        <f t="shared" si="119"/>
        <v>#NUM!</v>
      </c>
      <c r="CD275" s="240" t="e">
        <f t="shared" si="120"/>
        <v>#NUM!</v>
      </c>
      <c r="CE275" s="240" t="e">
        <f t="shared" si="121"/>
        <v>#NUM!</v>
      </c>
      <c r="CF275" s="240" t="e">
        <f t="shared" si="122"/>
        <v>#NUM!</v>
      </c>
      <c r="CG275" s="240">
        <f t="shared" si="87"/>
        <v>227.64595702626457</v>
      </c>
      <c r="CH275" s="240">
        <f t="shared" si="88"/>
        <v>129.06939477825995</v>
      </c>
      <c r="CI275" s="240">
        <f t="shared" si="89"/>
        <v>476.39003019872149</v>
      </c>
      <c r="CJ275" s="240">
        <f t="shared" si="90"/>
        <v>14.050593376332175</v>
      </c>
      <c r="CK275" s="251" t="e">
        <f t="shared" si="91"/>
        <v>#NUM!</v>
      </c>
      <c r="CL275" s="251">
        <f t="shared" si="92"/>
        <v>4.6097625608574813</v>
      </c>
      <c r="CM275" s="240" t="e">
        <f t="shared" si="93"/>
        <v>#NUM!</v>
      </c>
      <c r="CN275" s="240" t="e">
        <f t="shared" si="94"/>
        <v>#NUM!</v>
      </c>
      <c r="CO275" s="240">
        <f t="shared" si="95"/>
        <v>-0.24679329554182239</v>
      </c>
      <c r="CP275" s="240">
        <f t="shared" si="96"/>
        <v>-4.8565558563993037</v>
      </c>
      <c r="CQ275" s="240">
        <f t="shared" si="123"/>
        <v>0</v>
      </c>
      <c r="CR275" s="240">
        <f t="shared" si="124"/>
        <v>0</v>
      </c>
      <c r="CS275" s="240">
        <f t="shared" si="125"/>
        <v>0</v>
      </c>
      <c r="CT275" s="240">
        <f t="shared" si="126"/>
        <v>0</v>
      </c>
      <c r="CU275" s="240">
        <f t="shared" si="127"/>
        <v>0</v>
      </c>
      <c r="CV275" s="238"/>
      <c r="CW275" s="465"/>
    </row>
    <row r="276" spans="2:101" ht="18" customHeight="1" x14ac:dyDescent="0.25">
      <c r="B276" s="99" t="s">
        <v>200</v>
      </c>
      <c r="C276" s="674">
        <f>STDEV(C264:C273)</f>
        <v>1E-3</v>
      </c>
      <c r="D276"/>
      <c r="E276" s="99" t="s">
        <v>200</v>
      </c>
      <c r="F276" s="674">
        <f>STDEV(F264:F273)</f>
        <v>1.0000000000000675E-2</v>
      </c>
      <c r="G276" t="s">
        <v>370</v>
      </c>
      <c r="H276"/>
      <c r="I276"/>
      <c r="J276"/>
      <c r="K276" s="185"/>
      <c r="L276" s="185"/>
      <c r="M276" s="185"/>
      <c r="N276" s="185"/>
      <c r="O276" s="220" t="s">
        <v>322</v>
      </c>
      <c r="P276" s="187">
        <f>AVERAGE(P265:P274)</f>
        <v>2.347255914003636</v>
      </c>
      <c r="Q276" s="184"/>
      <c r="R276" s="184"/>
      <c r="S276" s="152" t="s">
        <v>371</v>
      </c>
      <c r="T276" s="177" t="s">
        <v>372</v>
      </c>
      <c r="U276" s="130" t="s">
        <v>177</v>
      </c>
      <c r="V276" s="130" t="s">
        <v>373</v>
      </c>
      <c r="W276" s="127"/>
      <c r="X276" s="127"/>
      <c r="Y276" s="173" t="s">
        <v>322</v>
      </c>
      <c r="Z276" s="138">
        <f>IF(H318="","",(-$T$273+SQRT($T$273^2-4*$T$274*($T$272-H318)))/(2*$T$274))</f>
        <v>2.9337394028365988</v>
      </c>
      <c r="AA276" s="138"/>
      <c r="AB276" s="475">
        <f>SUMPRODUCT(yy,D307:D326)</f>
        <v>4619.3125500000006</v>
      </c>
      <c r="AC276" s="475">
        <f>SUMPRODUCT($AB$274:$AB$277,$AH$264:$AH$267)</f>
        <v>-32</v>
      </c>
      <c r="AD276" s="125"/>
      <c r="AE276" s="125"/>
      <c r="AF276" s="125"/>
      <c r="AG276" s="476">
        <f>+AK277^2</f>
        <v>8.8552248630877897E-4</v>
      </c>
      <c r="AH276" s="475">
        <f>SUMPRODUCT(AH264:AH267,$AG$274:$AG$277)*AD280</f>
        <v>5.4857678867093232E+16</v>
      </c>
      <c r="AI276" s="125"/>
      <c r="AJ276" s="510" t="s">
        <v>376</v>
      </c>
      <c r="AK276" s="456">
        <f>COUNT(AK266:AK275)</f>
        <v>3</v>
      </c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526"/>
      <c r="AZ276" s="125"/>
      <c r="BA276" s="125"/>
      <c r="BB276" s="125"/>
      <c r="BC276" s="125"/>
      <c r="BD276" s="125"/>
      <c r="BE276" s="243">
        <f>BG28</f>
        <v>6463.0799750000006</v>
      </c>
      <c r="BF276" s="243">
        <f>BI28</f>
        <v>0.1390363803600394</v>
      </c>
      <c r="BG276" s="257"/>
      <c r="BH276" s="257"/>
      <c r="BI276" s="257"/>
      <c r="BJ276" s="257"/>
      <c r="BK276" s="239"/>
      <c r="BL276" s="238"/>
      <c r="BM276" s="238"/>
      <c r="BN276" s="238"/>
      <c r="BO276" s="280" t="s">
        <v>376</v>
      </c>
      <c r="BP276" s="240">
        <f>COUNT(BP266:BP275)</f>
        <v>3</v>
      </c>
      <c r="BQ276" s="238"/>
      <c r="BR276" s="238"/>
      <c r="BS276" s="238"/>
      <c r="BT276" s="238"/>
      <c r="BU276" s="238"/>
      <c r="BV276" s="238"/>
      <c r="BW276" s="238"/>
      <c r="BX276" s="238"/>
      <c r="BY276" s="238"/>
      <c r="BZ276" s="238"/>
      <c r="CA276" s="238"/>
      <c r="CB276" s="238"/>
      <c r="CC276" s="238"/>
      <c r="CD276" s="238"/>
      <c r="CE276" s="238"/>
      <c r="CF276" s="238"/>
      <c r="CG276" s="238"/>
      <c r="CH276" s="238"/>
      <c r="CI276" s="238"/>
      <c r="CJ276" s="238"/>
      <c r="CK276" s="238"/>
      <c r="CL276" s="238"/>
      <c r="CM276" s="238"/>
      <c r="CN276" s="238"/>
      <c r="CO276" s="238"/>
      <c r="CP276" s="238"/>
      <c r="CQ276" s="238"/>
      <c r="CR276" s="238"/>
      <c r="CS276" s="238"/>
      <c r="CT276" s="238"/>
      <c r="CU276" s="238"/>
      <c r="CV276" s="238"/>
      <c r="CW276" s="465"/>
    </row>
    <row r="277" spans="2:101" ht="18" customHeight="1" x14ac:dyDescent="0.25">
      <c r="B277" s="100" t="s">
        <v>351</v>
      </c>
      <c r="C277" s="674">
        <f>IF(p="Q",+$U$30+$U$31*0+$U$32*0^2,$K$27+$K$28*0)</f>
        <v>0.19642135338347089</v>
      </c>
      <c r="D277"/>
      <c r="E277" s="100" t="s">
        <v>323</v>
      </c>
      <c r="F277" s="674">
        <f>IF(p="Q",+$U$30+$U$31*E264+$U$32*E264^2,$K$27+$K$28*E264)</f>
        <v>17.300987669172923</v>
      </c>
      <c r="G277"/>
      <c r="H277"/>
      <c r="I277"/>
      <c r="J277"/>
      <c r="K277" s="185"/>
      <c r="L277" s="185"/>
      <c r="M277" s="185"/>
      <c r="N277" s="185"/>
      <c r="O277" s="220" t="s">
        <v>338</v>
      </c>
      <c r="P277" s="187">
        <f>STDEV(P265:P274)</f>
        <v>5.2607890014437775E-3</v>
      </c>
      <c r="Q277" s="184"/>
      <c r="R277" s="184"/>
      <c r="S277" s="145">
        <f>V273-(SUM(Y)+SUM(yy))^2/(n+nn)</f>
        <v>972.85896744990282</v>
      </c>
      <c r="T277" s="145">
        <f>U269-V273</f>
        <v>1.1237697240630951E-2</v>
      </c>
      <c r="U277" s="145">
        <f>T277/V269</f>
        <v>5.108044200286796E-4</v>
      </c>
      <c r="V277" s="145">
        <f>SQRT(U277)</f>
        <v>2.2600982722631325E-2</v>
      </c>
      <c r="W277" s="127"/>
      <c r="X277" s="127"/>
      <c r="Y277" s="173" t="s">
        <v>338</v>
      </c>
      <c r="Z277" s="129">
        <f>STDEV(Z265:Z274)</f>
        <v>6.3102304350542548E-3</v>
      </c>
      <c r="AA277" s="129"/>
      <c r="AB277" s="484">
        <f>SUMPRODUCT(yy,E307:E326)</f>
        <v>39734.090325000005</v>
      </c>
      <c r="AC277" s="484">
        <f>SUMPRODUCT($AB$274:$AB$277,$AI$264:$AI$267)</f>
        <v>-2</v>
      </c>
      <c r="AD277" s="495"/>
      <c r="AE277" s="495"/>
      <c r="AF277" s="495"/>
      <c r="AG277" s="479">
        <f>+AK277^3</f>
        <v>2.6351138930866407E-5</v>
      </c>
      <c r="AH277" s="484">
        <f>SUMPRODUCT(AI264:AI267,$AG$274:$AG$277)*AD280</f>
        <v>-4063531767932905</v>
      </c>
      <c r="AI277" s="125"/>
      <c r="AJ277" s="510" t="s">
        <v>322</v>
      </c>
      <c r="AK277" s="403">
        <f>IF(H318="","",AY277)</f>
        <v>2.9757729858118864E-2</v>
      </c>
      <c r="AL277" s="456">
        <f>$AC$276/$AC$277</f>
        <v>16</v>
      </c>
      <c r="AM277" s="456">
        <f>$AC$275/$AC$277</f>
        <v>-64</v>
      </c>
      <c r="AN277" s="456">
        <f>($AC$274-H318)/$AC$277</f>
        <v>1.8903000000001384</v>
      </c>
      <c r="AO277" s="456">
        <f>(3*AM277-AL277^2)/3</f>
        <v>-149.33333333333334</v>
      </c>
      <c r="AP277" s="456">
        <f>(2*AL277^3-9*AL277*AM277+27*AN277)/27</f>
        <v>646.6310407407409</v>
      </c>
      <c r="AQ277" s="456">
        <f>2*SQRT(-AO277/3)</f>
        <v>14.11067365901115</v>
      </c>
      <c r="AR277" s="456">
        <f>ACOS(3*AP277/(AO277*AQ277))/3</f>
        <v>0.91347437602296733</v>
      </c>
      <c r="AS277" s="456">
        <f>2*SQRT(-AO277/3)*COS(AR277)-AL277/3</f>
        <v>3.2882744127749204</v>
      </c>
      <c r="AT277" s="456">
        <f t="shared" si="81"/>
        <v>-19.318032142633044</v>
      </c>
      <c r="AU277" s="456">
        <f>2*SQRT(-AO277/3)*COS(AR277+4*PI()/3)-AL277/3</f>
        <v>2.9757729858118864E-2</v>
      </c>
      <c r="AV277" s="456">
        <f>IF(AS277&gt;0,+AS277,999999)</f>
        <v>3.2882744127749204</v>
      </c>
      <c r="AW277" s="456">
        <f>IF(AT277&gt;0,+AT277,999999)</f>
        <v>999999</v>
      </c>
      <c r="AX277" s="456">
        <f>IF(AU277&gt;0,+AU277,999999)</f>
        <v>2.9757729858118864E-2</v>
      </c>
      <c r="AY277" s="509">
        <f>IF(AZ277&lt;0,MIN(AV277:AX277),+BA277)</f>
        <v>2.9757729858118864E-2</v>
      </c>
      <c r="AZ277" s="456">
        <f>AP277^2/4+AO277^3/27</f>
        <v>-18807.80405444045</v>
      </c>
      <c r="BA277" s="456" t="e">
        <f>+BB277+BC277-AL277/3</f>
        <v>#NUM!</v>
      </c>
      <c r="BB277" s="456" t="e">
        <f>(-AP277/2+SQRT(AZ277))^(1/3)</f>
        <v>#NUM!</v>
      </c>
      <c r="BC277" s="456" t="e">
        <f>(-AP277/2-SQRT(AZ277))^(1/3)</f>
        <v>#NUM!</v>
      </c>
      <c r="BD277" s="456"/>
      <c r="BE277" s="243">
        <f>BG29</f>
        <v>48559.446637500005</v>
      </c>
      <c r="BF277" s="243">
        <f>BI29</f>
        <v>-6.9298561057280494E-3</v>
      </c>
      <c r="BG277" s="257" t="s">
        <v>367</v>
      </c>
      <c r="BH277" s="257" t="s">
        <v>368</v>
      </c>
      <c r="BI277" s="257"/>
      <c r="BJ277" s="289" t="s">
        <v>12</v>
      </c>
      <c r="BK277" s="289" t="s">
        <v>251</v>
      </c>
      <c r="BL277" s="238"/>
      <c r="BM277" s="238"/>
      <c r="BN277" s="238"/>
      <c r="BO277" s="280" t="s">
        <v>322</v>
      </c>
      <c r="BP277" s="633">
        <f>IF(H318="","",CU277)</f>
        <v>2.936980074629421</v>
      </c>
      <c r="BQ277" s="238"/>
      <c r="BR277" s="240">
        <f>$BI$29/$BI$30</f>
        <v>-17.894488448782099</v>
      </c>
      <c r="BS277" s="240">
        <f>$BI$28/$BI$30</f>
        <v>359.02403518259086</v>
      </c>
      <c r="BT277" s="240">
        <f>$BI$27/$BI$30</f>
        <v>2397.5035457707181</v>
      </c>
      <c r="BU277" s="240">
        <f>($BI$26-H318)/$BI$30</f>
        <v>-9759.3754709141704</v>
      </c>
      <c r="BV277" s="240">
        <f>-BS277</f>
        <v>-359.02403518259086</v>
      </c>
      <c r="BW277" s="240">
        <f>BR277*BT277-4*BU277</f>
        <v>-3864.5976220515586</v>
      </c>
      <c r="BX277" s="240">
        <f>BR277^2*-BU277+4*BS277*BU277-BT277^2</f>
        <v>-16638348.567463405</v>
      </c>
      <c r="BY277" s="240">
        <f>1/3*(3*BW277-BV277^2)</f>
        <v>-46830.683568314977</v>
      </c>
      <c r="BZ277" s="240">
        <f>1/27*(2*BV277^3-9*BV277*BW277+27*BX277)</f>
        <v>-20528811.389989737</v>
      </c>
      <c r="CA277" s="240">
        <f>BZ277^2/4+BY277^3/27</f>
        <v>101554136221484.94</v>
      </c>
      <c r="CB277" s="240">
        <f>2*SQRT(-BY277/3)</f>
        <v>249.88179490395046</v>
      </c>
      <c r="CC277" s="240" t="e">
        <f>ACOS(3*BZ277/(BY277*CB277))/3</f>
        <v>#NUM!</v>
      </c>
      <c r="CD277" s="240" t="e">
        <f>CB277*COS(CC277)-BV277/3</f>
        <v>#NUM!</v>
      </c>
      <c r="CE277" s="240" t="e">
        <f>CB277*COS(CC277+2*PI()/3)-BV277/3</f>
        <v>#NUM!</v>
      </c>
      <c r="CF277" s="240" t="e">
        <f>CB277*COS(CC277+4*PI()/3)-BV277/3</f>
        <v>#NUM!</v>
      </c>
      <c r="CG277" s="240">
        <f>(-BZ277/2+SQRT(CA277))^(1/3)</f>
        <v>272.97940651685042</v>
      </c>
      <c r="CH277" s="240">
        <f>(-BZ277/2-SQRT(CA277))^(1/3)</f>
        <v>57.184635483268117</v>
      </c>
      <c r="CI277" s="240">
        <f>IF(CA277&gt;0,+CG277+CH277-BV277/3,MAX(CD277:CF277))</f>
        <v>449.83872039431549</v>
      </c>
      <c r="CJ277" s="240">
        <f>SQRT(BR277^2/4-BS277+CI277)</f>
        <v>13.07164352415654</v>
      </c>
      <c r="CK277" s="251" t="e">
        <f>SQRT(3*BR277^2/4-CJ277^2-2*BS277+(4*BR277*BS277-8*BT277-BR277^3)/(4*CJ277))</f>
        <v>#NUM!</v>
      </c>
      <c r="CL277" s="251">
        <f>SQRT(3*BR277^2/4-CJ277^2-2*BS277-(4*BR277*BS277-8*BT277-BR277^3)/(4*CJ277))</f>
        <v>9.998359449024333</v>
      </c>
      <c r="CM277" s="240" t="e">
        <f>-BR277/4+CJ277/2+CK277/2</f>
        <v>#NUM!</v>
      </c>
      <c r="CN277" s="240" t="e">
        <f>-BR277/4+CJ277/2-CK277/2</f>
        <v>#NUM!</v>
      </c>
      <c r="CO277" s="240">
        <f>-BR277/4-CJ277/2+CL277/2</f>
        <v>2.936980074629421</v>
      </c>
      <c r="CP277" s="240">
        <f>-BR277/4-CJ277/2-CL277/2</f>
        <v>-7.061379374394912</v>
      </c>
      <c r="CQ277" s="240">
        <f>IF(ISERROR(CM277)=TRUE,0,(CM277&gt;MIN(X))*(CM277&lt;MAX(X))*CM277)</f>
        <v>0</v>
      </c>
      <c r="CR277" s="240">
        <f>IF(ISERROR(CN277)=TRUE,0,(CN277&gt;MIN(X))*(CN277&lt;MAX(X))*CN277)</f>
        <v>0</v>
      </c>
      <c r="CS277" s="240">
        <f>IF(ISERROR(CO277)=TRUE,0,(CO277&gt;MIN(X))*(CO277&lt;MAX(X))*CO277)</f>
        <v>2.936980074629421</v>
      </c>
      <c r="CT277" s="240">
        <f>IF(ISERROR(CP277)=TRUE,0,(CP277&gt;MIN(X))*(CP277&lt;MAX(X))*CP277)</f>
        <v>0</v>
      </c>
      <c r="CU277" s="240">
        <f>IF(SUM(CQ277:CT277)=MAX(CQ277:CT277),+MAX(CQ277:CT277),"There is not a unique solution!")</f>
        <v>2.936980074629421</v>
      </c>
      <c r="CV277" s="238"/>
      <c r="CW277" s="465"/>
    </row>
    <row r="278" spans="2:101" ht="18" customHeight="1" x14ac:dyDescent="0.2">
      <c r="B278"/>
      <c r="C278"/>
      <c r="D278"/>
      <c r="E278"/>
      <c r="F278"/>
      <c r="G278"/>
      <c r="H278"/>
      <c r="I278"/>
      <c r="J278"/>
      <c r="K278" s="184"/>
      <c r="L278" s="184"/>
      <c r="M278" s="184"/>
      <c r="N278" s="184"/>
      <c r="O278" s="220" t="s">
        <v>202</v>
      </c>
      <c r="P278" s="187">
        <f>P275-1</f>
        <v>2</v>
      </c>
      <c r="Q278" s="184"/>
      <c r="R278" s="184"/>
      <c r="S278" s="127"/>
      <c r="T278" s="127"/>
      <c r="U278" s="127"/>
      <c r="V278" s="127"/>
      <c r="W278" s="127"/>
      <c r="X278" s="127"/>
      <c r="Y278" s="173" t="s">
        <v>202</v>
      </c>
      <c r="Z278" s="129">
        <f>Z275-1</f>
        <v>2</v>
      </c>
      <c r="AA278" s="129"/>
      <c r="AB278" s="469"/>
      <c r="AC278" s="469"/>
      <c r="AD278" s="495"/>
      <c r="AE278" s="495"/>
      <c r="AF278" s="495"/>
      <c r="AG278" s="495"/>
      <c r="AH278" s="125"/>
      <c r="AI278" s="125"/>
      <c r="AJ278" s="510" t="s">
        <v>338</v>
      </c>
      <c r="AK278" s="456">
        <f>STDEV(AK266:AK275)</f>
        <v>7.9308309703570888E-5</v>
      </c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243">
        <f>BG30</f>
        <v>378182.02409374999</v>
      </c>
      <c r="BF278" s="243">
        <f>BI30</f>
        <v>3.8726204024008837E-4</v>
      </c>
      <c r="BG278" s="139">
        <v>2</v>
      </c>
      <c r="BH278" s="139">
        <f>SUMPRODUCT(BE274:BE283,BF274:BF283)</f>
        <v>-5971.7224683551322</v>
      </c>
      <c r="BI278" s="257"/>
      <c r="BJ278" s="242">
        <v>1</v>
      </c>
      <c r="BK278" s="242">
        <f>SUMPRODUCT($BJ$278:$BJ$282,$BJ$267:$BJ$271)*$BG$286</f>
        <v>-27.327214006191159</v>
      </c>
      <c r="BL278" s="238"/>
      <c r="BM278" s="238"/>
      <c r="BN278" s="238"/>
      <c r="BO278" s="280" t="s">
        <v>338</v>
      </c>
      <c r="BP278" s="240">
        <f>STDEV(BP266:BP275)</f>
        <v>6.2302522240410413E-3</v>
      </c>
      <c r="BQ278" s="238"/>
      <c r="BR278" s="238"/>
      <c r="BS278" s="238"/>
      <c r="BT278" s="238"/>
      <c r="BU278" s="238"/>
      <c r="BV278" s="238"/>
      <c r="BW278" s="238"/>
      <c r="BX278" s="238"/>
      <c r="BY278" s="238"/>
      <c r="BZ278" s="238"/>
      <c r="CA278" s="238"/>
      <c r="CB278" s="238"/>
      <c r="CC278" s="238"/>
      <c r="CD278" s="238"/>
      <c r="CE278" s="238"/>
      <c r="CF278" s="238"/>
      <c r="CG278" s="238"/>
      <c r="CH278" s="238"/>
      <c r="CI278" s="238"/>
      <c r="CJ278" s="238"/>
      <c r="CK278" s="238"/>
      <c r="CL278" s="238"/>
      <c r="CM278" s="238"/>
      <c r="CN278" s="238"/>
      <c r="CO278" s="238"/>
      <c r="CP278" s="238"/>
      <c r="CQ278" s="238"/>
      <c r="CR278" s="238"/>
      <c r="CS278" s="238"/>
      <c r="CT278" s="238"/>
      <c r="CU278" s="238"/>
      <c r="CV278" s="238"/>
      <c r="CW278" s="465"/>
    </row>
    <row r="279" spans="2:101" ht="18" customHeight="1" x14ac:dyDescent="0.2">
      <c r="B279"/>
      <c r="C279"/>
      <c r="D279" t="s">
        <v>349</v>
      </c>
      <c r="E279"/>
      <c r="F279" t="s">
        <v>350</v>
      </c>
      <c r="G279"/>
      <c r="H279"/>
      <c r="I279"/>
      <c r="J279"/>
      <c r="K279" s="185"/>
      <c r="L279" s="185"/>
      <c r="M279" s="185"/>
      <c r="N279" s="185"/>
      <c r="O279" s="220" t="s">
        <v>245</v>
      </c>
      <c r="P279" s="187">
        <f>P277^2/M271</f>
        <v>3.9463109116127055E-5</v>
      </c>
      <c r="Q279" s="184"/>
      <c r="R279" s="184"/>
      <c r="S279" s="126"/>
      <c r="T279" s="126"/>
      <c r="U279" s="126"/>
      <c r="V279" s="126"/>
      <c r="W279" s="126"/>
      <c r="X279" s="126"/>
      <c r="Y279" s="173" t="s">
        <v>245</v>
      </c>
      <c r="Z279" s="129">
        <f>Z277^2/U277</f>
        <v>7.7953530905721866E-2</v>
      </c>
      <c r="AA279" s="129"/>
      <c r="AB279" s="495" t="s">
        <v>371</v>
      </c>
      <c r="AC279" s="525" t="s">
        <v>372</v>
      </c>
      <c r="AD279" s="470" t="s">
        <v>177</v>
      </c>
      <c r="AE279" s="470" t="s">
        <v>373</v>
      </c>
      <c r="AF279" s="469"/>
      <c r="AG279" s="469"/>
      <c r="AH279" s="125"/>
      <c r="AI279" s="125"/>
      <c r="AJ279" s="510" t="s">
        <v>202</v>
      </c>
      <c r="AK279" s="456">
        <f>AK276-1</f>
        <v>2</v>
      </c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243">
        <f>AB274</f>
        <v>72.828499999999991</v>
      </c>
      <c r="BF279" s="243">
        <f>SUMPRODUCT($BE$279:$BE$283,$BJ$267:$BJ$271)</f>
        <v>0.21939999999996473</v>
      </c>
      <c r="BG279" s="238"/>
      <c r="BH279" s="238"/>
      <c r="BI279" s="238"/>
      <c r="BJ279" s="243">
        <f>+BP277</f>
        <v>2.936980074629421</v>
      </c>
      <c r="BK279" s="243">
        <f>SUMPRODUCT($BJ$278:$BJ$282,$BK$267:$BK$271)*$BG$286</f>
        <v>6.8999567557077816E+16</v>
      </c>
      <c r="BL279" s="238"/>
      <c r="BM279" s="238"/>
      <c r="BN279" s="238"/>
      <c r="BO279" s="280" t="s">
        <v>202</v>
      </c>
      <c r="BP279" s="240">
        <f>BP276-1</f>
        <v>2</v>
      </c>
      <c r="BQ279" s="238"/>
      <c r="BR279" s="238"/>
      <c r="BS279" s="238"/>
      <c r="BT279" s="238"/>
      <c r="BU279" s="238"/>
      <c r="BV279" s="238"/>
      <c r="BW279" s="238"/>
      <c r="BX279" s="238"/>
      <c r="BY279" s="238"/>
      <c r="BZ279" s="238"/>
      <c r="CA279" s="238"/>
      <c r="CB279" s="238"/>
      <c r="CC279" s="238"/>
      <c r="CD279" s="238"/>
      <c r="CE279" s="238"/>
      <c r="CF279" s="238"/>
      <c r="CG279" s="238"/>
      <c r="CH279" s="238"/>
      <c r="CI279" s="238"/>
      <c r="CJ279" s="238"/>
      <c r="CK279" s="238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  <c r="CV279" s="238"/>
      <c r="CW279" s="465"/>
    </row>
    <row r="280" spans="2:101" ht="18" customHeight="1" x14ac:dyDescent="0.2">
      <c r="B280" s="101"/>
      <c r="C280" s="109" t="s">
        <v>374</v>
      </c>
      <c r="D280" s="675">
        <f>C276/SQRT(C274)</f>
        <v>5.773502691896258E-4</v>
      </c>
      <c r="E280" s="676"/>
      <c r="F280" s="675">
        <f>F276/SQRT(F274)</f>
        <v>5.7735026918966474E-3</v>
      </c>
      <c r="G280" s="102"/>
      <c r="H280"/>
      <c r="I280"/>
      <c r="J280"/>
      <c r="K280" s="184"/>
      <c r="L280" s="184"/>
      <c r="M280" s="184"/>
      <c r="N280" s="184"/>
      <c r="O280" s="221" t="s">
        <v>342</v>
      </c>
      <c r="P280" s="187" t="b">
        <f>FINV(0.05,P278,N265)&lt;P279</f>
        <v>0</v>
      </c>
      <c r="Q280" s="184"/>
      <c r="R280" s="184"/>
      <c r="S280" s="126"/>
      <c r="T280" s="126"/>
      <c r="U280" s="126"/>
      <c r="V280" s="126"/>
      <c r="W280" s="126"/>
      <c r="X280" s="126"/>
      <c r="Y280" s="174" t="s">
        <v>342</v>
      </c>
      <c r="Z280" s="129" t="b">
        <f>FINV(0.05,Z278,V269)&lt;Z279</f>
        <v>0</v>
      </c>
      <c r="AA280" s="129"/>
      <c r="AB280" s="482">
        <f>AE274-(SUM(Y)+SUM(yy))^2/(n+nn)</f>
        <v>-155822.71793428544</v>
      </c>
      <c r="AC280" s="482">
        <f>AD270-AE274</f>
        <v>156795.58813943257</v>
      </c>
      <c r="AD280" s="482">
        <f>AC280/AE270</f>
        <v>7839.7794069716283</v>
      </c>
      <c r="AE280" s="482">
        <f>SQRT(AD280)</f>
        <v>88.5425288037993</v>
      </c>
      <c r="AF280" s="469"/>
      <c r="AG280" s="469"/>
      <c r="AH280" s="125"/>
      <c r="AI280" s="125"/>
      <c r="AJ280" s="510" t="s">
        <v>245</v>
      </c>
      <c r="AK280" s="456">
        <f>AK278^2/AD280</f>
        <v>8.0229400108429332E-13</v>
      </c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243">
        <f>AB275</f>
        <v>558.68220000000008</v>
      </c>
      <c r="BF280" s="243">
        <f>SUMPRODUCT($BE$279:$BE$283,$BK$267:$BK$271)</f>
        <v>16</v>
      </c>
      <c r="BG280" s="238"/>
      <c r="BH280" s="238"/>
      <c r="BI280" s="238"/>
      <c r="BJ280" s="243">
        <f>+BP277^2</f>
        <v>8.6258519587702391</v>
      </c>
      <c r="BK280" s="243">
        <f>SUMPRODUCT($BJ$278:$BJ$282,$BL$267:$BL$271)*$BG$286</f>
        <v>-1.164478184304535E+16</v>
      </c>
      <c r="BL280" s="238"/>
      <c r="BM280" s="238"/>
      <c r="BN280" s="238"/>
      <c r="BO280" s="280" t="s">
        <v>245</v>
      </c>
      <c r="BP280" s="240">
        <f>BP278^2/BG286</f>
        <v>8.1308116819731805E-8</v>
      </c>
      <c r="BQ280" s="238"/>
      <c r="BR280" s="238"/>
      <c r="BS280" s="238"/>
      <c r="BT280" s="238"/>
      <c r="BU280" s="238"/>
      <c r="BV280" s="238"/>
      <c r="BW280" s="238"/>
      <c r="BX280" s="238"/>
      <c r="BY280" s="238"/>
      <c r="BZ280" s="238"/>
      <c r="CA280" s="238"/>
      <c r="CB280" s="238"/>
      <c r="CC280" s="238"/>
      <c r="CD280" s="238"/>
      <c r="CE280" s="238"/>
      <c r="CF280" s="238"/>
      <c r="CG280" s="238"/>
      <c r="CH280" s="238"/>
      <c r="CI280" s="238"/>
      <c r="CJ280" s="238"/>
      <c r="CK280" s="238"/>
      <c r="CL280" s="238"/>
      <c r="CM280" s="238"/>
      <c r="CN280" s="238"/>
      <c r="CO280" s="238"/>
      <c r="CP280" s="238"/>
      <c r="CQ280" s="238"/>
      <c r="CR280" s="238"/>
      <c r="CS280" s="238"/>
      <c r="CT280" s="238"/>
      <c r="CU280" s="238"/>
      <c r="CV280" s="238"/>
      <c r="CW280" s="465"/>
    </row>
    <row r="281" spans="2:101" ht="18" customHeight="1" x14ac:dyDescent="0.25">
      <c r="B281" s="103"/>
      <c r="C281" s="110" t="s">
        <v>375</v>
      </c>
      <c r="D281" s="645">
        <f>F275/100</f>
        <v>0.16000000000000003</v>
      </c>
      <c r="E281" s="646"/>
      <c r="F281" s="645">
        <f>F275/100</f>
        <v>0.16000000000000003</v>
      </c>
      <c r="G281" s="104"/>
      <c r="H281"/>
      <c r="I281"/>
      <c r="J281"/>
      <c r="K281" s="184"/>
      <c r="L281" s="184"/>
      <c r="M281" s="184"/>
      <c r="N281" s="184"/>
      <c r="O281" s="220" t="s">
        <v>344</v>
      </c>
      <c r="P281" s="187">
        <f>FDIST(P279,P278,N265)</f>
        <v>0.9999605377344285</v>
      </c>
      <c r="Q281" s="184"/>
      <c r="R281" s="184"/>
      <c r="S281" s="128"/>
      <c r="T281" s="126"/>
      <c r="U281" s="126"/>
      <c r="V281" s="126"/>
      <c r="W281" s="126"/>
      <c r="X281" s="126"/>
      <c r="Y281" s="173" t="s">
        <v>344</v>
      </c>
      <c r="Z281" s="129">
        <f>FDIST(Z279,Z278,V269)</f>
        <v>0.9252617459205893</v>
      </c>
      <c r="AA281" s="129"/>
      <c r="AB281" s="469"/>
      <c r="AC281" s="469"/>
      <c r="AD281" s="469"/>
      <c r="AE281" s="469"/>
      <c r="AF281" s="469"/>
      <c r="AG281" s="469"/>
      <c r="AH281" s="125"/>
      <c r="AI281" s="125"/>
      <c r="AJ281" s="520" t="s">
        <v>342</v>
      </c>
      <c r="AK281" s="456" t="b">
        <f>FINV(0.05,AK279,AE270)&lt;AK280</f>
        <v>0</v>
      </c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243">
        <f>AB276</f>
        <v>4619.3125500000006</v>
      </c>
      <c r="BF281" s="243">
        <f>SUMPRODUCT($BE$279:$BE$283,$BL$267:$BL$271)</f>
        <v>-4</v>
      </c>
      <c r="BG281" s="257"/>
      <c r="BH281" s="257"/>
      <c r="BI281" s="257"/>
      <c r="BJ281" s="243">
        <f>+BP277^3</f>
        <v>25.333955329611353</v>
      </c>
      <c r="BK281" s="243">
        <f>SUMPRODUCT($BJ$278:$BJ$282,$BM$267:$BM$271)*$BG$286</f>
        <v>-2081331643670623.2</v>
      </c>
      <c r="BL281" s="238"/>
      <c r="BM281" s="238"/>
      <c r="BN281" s="238"/>
      <c r="BO281" s="284" t="s">
        <v>342</v>
      </c>
      <c r="BP281" s="240" t="b">
        <f>FINV(0.05,BP279,BH274)&lt;BP280</f>
        <v>0</v>
      </c>
      <c r="BQ281" s="238"/>
      <c r="BR281" s="238"/>
      <c r="BS281" s="238"/>
      <c r="BT281" s="238"/>
      <c r="BU281" s="238"/>
      <c r="BV281" s="238"/>
      <c r="BW281" s="238"/>
      <c r="BX281" s="238"/>
      <c r="BY281" s="238"/>
      <c r="BZ281" s="238"/>
      <c r="CA281" s="238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  <c r="CV281" s="238"/>
      <c r="CW281" s="465"/>
    </row>
    <row r="282" spans="2:101" ht="18" customHeight="1" x14ac:dyDescent="0.2">
      <c r="B282" s="107"/>
      <c r="C282" s="545"/>
      <c r="D282" s="576" t="str">
        <f>IF(D280&lt;D281,"Std. Uncertainty is okay.","Std. Uncertainty is excessive.")</f>
        <v>Std. Uncertainty is okay.</v>
      </c>
      <c r="E282" s="545"/>
      <c r="F282" s="576" t="str">
        <f>IF(F280&lt;F281,"Std. Uncertainy is okay.","Std. Uncertainty is excessive.")</f>
        <v>Std. Uncertainy is okay.</v>
      </c>
      <c r="G282" s="106"/>
      <c r="H282"/>
      <c r="I282"/>
      <c r="J282"/>
      <c r="K282" s="184"/>
      <c r="L282" s="184"/>
      <c r="M282" s="184"/>
      <c r="N282" s="184"/>
      <c r="O282" s="185"/>
      <c r="P282" s="185"/>
      <c r="Q282" s="185"/>
      <c r="R282" s="185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5"/>
      <c r="AC282" s="125"/>
      <c r="AD282" s="125"/>
      <c r="AE282" s="125"/>
      <c r="AF282" s="125"/>
      <c r="AG282" s="125"/>
      <c r="AH282" s="125"/>
      <c r="AI282" s="125"/>
      <c r="AJ282" s="510" t="s">
        <v>344</v>
      </c>
      <c r="AK282" s="456">
        <f>FDIST(AK280,AK279,AE270)</f>
        <v>0.99999999999919775</v>
      </c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360"/>
      <c r="BE282" s="243">
        <f>AB277</f>
        <v>39734.090325000005</v>
      </c>
      <c r="BF282" s="243">
        <f>SUMPRODUCT($BE$279:$BE$283,$BM$267:$BM$271)</f>
        <v>-0.5</v>
      </c>
      <c r="BG282" s="257"/>
      <c r="BH282" s="257"/>
      <c r="BI282" s="257"/>
      <c r="BJ282" s="247">
        <f>BP277^4</f>
        <v>74.405322014620367</v>
      </c>
      <c r="BK282" s="247">
        <f>SUMPRODUCT($BJ$278:$BJ$282,$BN$267:$BN$271)*$BG$286</f>
        <v>280372197760837.09</v>
      </c>
      <c r="BL282" s="238"/>
      <c r="BM282" s="238"/>
      <c r="BN282" s="238"/>
      <c r="BO282" s="280" t="s">
        <v>344</v>
      </c>
      <c r="BP282" s="240">
        <f>FDIST(BP280,BP279,BH274)</f>
        <v>0.99999991869188687</v>
      </c>
      <c r="BQ282" s="238"/>
      <c r="BR282" s="238"/>
      <c r="BS282" s="238"/>
      <c r="BT282" s="238"/>
      <c r="BU282" s="238"/>
      <c r="BV282" s="238"/>
      <c r="BW282" s="238"/>
      <c r="BX282" s="238"/>
      <c r="BY282" s="238"/>
      <c r="BZ282" s="238"/>
      <c r="CA282" s="238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  <c r="CN282" s="238"/>
      <c r="CO282" s="238"/>
      <c r="CP282" s="238"/>
      <c r="CQ282" s="238"/>
      <c r="CR282" s="238"/>
      <c r="CS282" s="238"/>
      <c r="CT282" s="238"/>
      <c r="CU282" s="238"/>
      <c r="CV282" s="238"/>
      <c r="CW282" s="465"/>
    </row>
    <row r="283" spans="2:101" ht="18" customHeight="1" x14ac:dyDescent="0.2">
      <c r="B283" s="101"/>
      <c r="C283" s="108" t="s">
        <v>352</v>
      </c>
      <c r="D283" s="111">
        <f>(C277-C275)/F277</f>
        <v>1.1353187294240806E-2</v>
      </c>
      <c r="E283" s="102"/>
      <c r="F283" s="111">
        <f>(F275-F277)/F277</f>
        <v>-7.5197306307028478E-2</v>
      </c>
      <c r="G283" s="102"/>
      <c r="H283"/>
      <c r="I283"/>
      <c r="J283"/>
      <c r="K283" s="184"/>
      <c r="L283" s="184"/>
      <c r="M283" s="184"/>
      <c r="N283" s="184"/>
      <c r="O283" s="185"/>
      <c r="P283" s="185"/>
      <c r="Q283" s="185"/>
      <c r="R283" s="185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5"/>
      <c r="AC283" s="125"/>
      <c r="AD283" s="125"/>
      <c r="AE283" s="125"/>
      <c r="AF283" s="125"/>
      <c r="AG283" s="125"/>
      <c r="AH283" s="125"/>
      <c r="AI283" s="125"/>
      <c r="AJ283" s="512" t="s">
        <v>381</v>
      </c>
      <c r="AK283" s="456">
        <f>AK278/AK277/SQRT(AK276)</f>
        <v>1.5387152909393806E-3</v>
      </c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247">
        <f>SUMPRODUCT(yy,F307:F326)</f>
        <v>349328.06111250003</v>
      </c>
      <c r="BF283" s="247">
        <f>SUMPRODUCT($BE$279:$BE$283,$BN$267:$BN$271)</f>
        <v>6.25E-2</v>
      </c>
      <c r="BG283" s="238"/>
      <c r="BH283" s="238"/>
      <c r="BI283" s="239"/>
      <c r="BJ283" s="239"/>
      <c r="BK283" s="238"/>
      <c r="BL283" s="238"/>
      <c r="BM283" s="238"/>
      <c r="BN283" s="238"/>
      <c r="BO283" s="279" t="s">
        <v>381</v>
      </c>
      <c r="BP283" s="240">
        <f>BP278/BP277/SQRT(BP276)</f>
        <v>1.2247402799023834E-3</v>
      </c>
      <c r="BQ283" s="238"/>
      <c r="BR283" s="238"/>
      <c r="BS283" s="238"/>
      <c r="BT283" s="238"/>
      <c r="BU283" s="238"/>
      <c r="BV283" s="238"/>
      <c r="BW283" s="238"/>
      <c r="BX283" s="238"/>
      <c r="BY283" s="238"/>
      <c r="BZ283" s="238"/>
      <c r="CA283" s="238"/>
      <c r="CB283" s="238"/>
      <c r="CC283" s="238"/>
      <c r="CD283" s="238"/>
      <c r="CE283" s="238"/>
      <c r="CF283" s="238"/>
      <c r="CG283" s="238"/>
      <c r="CH283" s="238"/>
      <c r="CI283" s="238"/>
      <c r="CJ283" s="238"/>
      <c r="CK283" s="238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  <c r="CV283" s="238"/>
      <c r="CW283" s="465"/>
    </row>
    <row r="284" spans="2:101" ht="18" customHeight="1" x14ac:dyDescent="0.25">
      <c r="B284" s="107"/>
      <c r="C284" s="105"/>
      <c r="D284" s="577" t="str">
        <f>IF(ABS(D283)&lt;0.05,"RD is okay.","RD is excessive.")</f>
        <v>RD is okay.</v>
      </c>
      <c r="E284" s="106"/>
      <c r="F284" s="577" t="str">
        <f>IF(ABS(F283)&lt;0.05,"RD is okay.","RD is excessive.")</f>
        <v>RD is excessive.</v>
      </c>
      <c r="G284" s="106"/>
      <c r="H284"/>
      <c r="I284"/>
      <c r="J284"/>
      <c r="K284" s="184"/>
      <c r="L284" s="184"/>
      <c r="M284" s="184"/>
      <c r="N284" s="184"/>
      <c r="O284" s="185"/>
      <c r="P284" s="185"/>
      <c r="Q284" s="185"/>
      <c r="R284" s="185"/>
      <c r="S284" s="126"/>
      <c r="T284" s="126"/>
      <c r="U284" s="126"/>
      <c r="V284" s="126"/>
      <c r="W284" s="126"/>
      <c r="X284" s="126"/>
      <c r="Y284" s="126"/>
      <c r="Z284" s="126"/>
      <c r="AA284" s="126"/>
      <c r="AB284" s="468"/>
      <c r="AC284" s="125"/>
      <c r="AD284" s="125"/>
      <c r="AE284" s="125"/>
      <c r="AF284" s="125"/>
      <c r="AG284" s="125"/>
      <c r="AH284" s="125"/>
      <c r="AI284" s="125"/>
      <c r="AJ284" s="456" t="str">
        <f>IF(AK283&gt;0.01,"The relative standard uncertainty is too great.","The relative standard uncertainty is okay.")</f>
        <v>The relative standard uncertainty is okay.</v>
      </c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238"/>
      <c r="BF284" s="238"/>
      <c r="BG284" s="238"/>
      <c r="BH284" s="238"/>
      <c r="BI284" s="239"/>
      <c r="BJ284" s="239"/>
      <c r="BK284" s="238"/>
      <c r="BL284" s="238"/>
      <c r="BM284" s="238"/>
      <c r="BN284" s="238"/>
      <c r="BO284" s="240" t="str">
        <f>IF(BP283&gt;0.01,"The relative standard uncertainty is too great.","The relative standard uncertainty is okay.")</f>
        <v>The relative standard uncertainty is okay.</v>
      </c>
      <c r="BP284" s="238"/>
      <c r="BQ284" s="238"/>
      <c r="BR284" s="238"/>
      <c r="BS284" s="238"/>
      <c r="BT284" s="238"/>
      <c r="BU284" s="238"/>
      <c r="BV284" s="238"/>
      <c r="BW284" s="238"/>
      <c r="BX284" s="238"/>
      <c r="BY284" s="238"/>
      <c r="BZ284" s="238"/>
      <c r="CA284" s="238"/>
      <c r="CB284" s="238"/>
      <c r="CC284" s="238"/>
      <c r="CD284" s="238"/>
      <c r="CE284" s="238"/>
      <c r="CF284" s="238"/>
      <c r="CG284" s="238"/>
      <c r="CH284" s="238"/>
      <c r="CI284" s="238"/>
      <c r="CJ284" s="238"/>
      <c r="CK284" s="238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  <c r="CV284" s="238"/>
      <c r="CW284" s="465"/>
    </row>
    <row r="285" spans="2:101" ht="18" customHeight="1" x14ac:dyDescent="0.2">
      <c r="B285"/>
      <c r="C285"/>
      <c r="D285"/>
      <c r="E285"/>
      <c r="F285"/>
      <c r="G285"/>
      <c r="H285"/>
      <c r="I285"/>
      <c r="J285"/>
      <c r="K285" s="184"/>
      <c r="L285" s="184"/>
      <c r="M285" s="184"/>
      <c r="N285" s="184"/>
      <c r="O285" s="185"/>
      <c r="P285" s="185"/>
      <c r="Q285" s="185"/>
      <c r="R285" s="185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5"/>
      <c r="AC285" s="125"/>
      <c r="AD285" s="125"/>
      <c r="AE285" s="125"/>
      <c r="AF285" s="125"/>
      <c r="AG285" s="125"/>
      <c r="AH285" s="125"/>
      <c r="AI285" s="469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257" t="s">
        <v>371</v>
      </c>
      <c r="BF285" s="289" t="s">
        <v>372</v>
      </c>
      <c r="BG285" s="241" t="s">
        <v>177</v>
      </c>
      <c r="BH285" s="241" t="s">
        <v>373</v>
      </c>
      <c r="BI285" s="239"/>
      <c r="BJ285" s="239"/>
      <c r="BK285" s="238"/>
      <c r="BL285" s="238"/>
      <c r="BM285" s="238"/>
      <c r="BN285" s="238"/>
      <c r="BO285" s="238"/>
      <c r="BP285" s="238"/>
      <c r="BQ285" s="238"/>
      <c r="BR285" s="238"/>
      <c r="BS285" s="238"/>
      <c r="BT285" s="238"/>
      <c r="BU285" s="238"/>
      <c r="BV285" s="238"/>
      <c r="BW285" s="238"/>
      <c r="BX285" s="238"/>
      <c r="BY285" s="238"/>
      <c r="BZ285" s="238"/>
      <c r="CA285" s="238"/>
      <c r="CB285" s="238"/>
      <c r="CC285" s="238"/>
      <c r="CD285" s="238"/>
      <c r="CE285" s="238"/>
      <c r="CF285" s="238"/>
      <c r="CG285" s="238"/>
      <c r="CH285" s="238"/>
      <c r="CI285" s="238"/>
      <c r="CJ285" s="238"/>
      <c r="CK285" s="238"/>
      <c r="CL285" s="238"/>
      <c r="CM285" s="238"/>
      <c r="CN285" s="238"/>
      <c r="CO285" s="238"/>
      <c r="CP285" s="238"/>
      <c r="CQ285" s="238"/>
      <c r="CR285" s="238"/>
      <c r="CS285" s="238"/>
      <c r="CT285" s="238"/>
      <c r="CU285" s="238"/>
      <c r="CV285" s="238"/>
      <c r="CW285" s="465"/>
    </row>
    <row r="286" spans="2:101" ht="18" customHeight="1" x14ac:dyDescent="0.2">
      <c r="B286" s="2" t="s">
        <v>377</v>
      </c>
      <c r="C286"/>
      <c r="D286"/>
      <c r="E286"/>
      <c r="F286"/>
      <c r="G286"/>
      <c r="H286"/>
      <c r="I286"/>
      <c r="J286"/>
      <c r="K286" s="184"/>
      <c r="L286" s="184"/>
      <c r="M286" s="184"/>
      <c r="N286" s="184"/>
      <c r="O286" s="185"/>
      <c r="P286" s="185"/>
      <c r="Q286" s="185"/>
      <c r="R286" s="185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5"/>
      <c r="AC286" s="125"/>
      <c r="AD286" s="125"/>
      <c r="AE286" s="125"/>
      <c r="AF286" s="125"/>
      <c r="AG286" s="125"/>
      <c r="AH286" s="125"/>
      <c r="AI286" s="469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39">
        <f>BH278-(SUM(Y)+SUM(yy))^2/(n+nn)</f>
        <v>-7620.2296879679889</v>
      </c>
      <c r="BF286" s="139">
        <f>BG274-BH278</f>
        <v>8593.0998931151335</v>
      </c>
      <c r="BG286" s="139">
        <f>BF286/BH274</f>
        <v>477.39443850639628</v>
      </c>
      <c r="BH286" s="139">
        <f>SQRT(BG286)</f>
        <v>21.849357851122221</v>
      </c>
      <c r="BI286" s="238"/>
      <c r="BJ286" s="238"/>
      <c r="BK286" s="238"/>
      <c r="BL286" s="238"/>
      <c r="BM286" s="238"/>
      <c r="BN286" s="238"/>
      <c r="BO286" s="238"/>
      <c r="BP286" s="238"/>
      <c r="BQ286" s="238"/>
      <c r="BR286" s="238"/>
      <c r="BS286" s="238"/>
      <c r="BT286" s="238"/>
      <c r="BU286" s="238"/>
      <c r="BV286" s="238"/>
      <c r="BW286" s="238"/>
      <c r="BX286" s="238"/>
      <c r="BY286" s="238"/>
      <c r="BZ286" s="238"/>
      <c r="CA286" s="238"/>
      <c r="CB286" s="238"/>
      <c r="CC286" s="238"/>
      <c r="CD286" s="238"/>
      <c r="CE286" s="238"/>
      <c r="CF286" s="238"/>
      <c r="CG286" s="238"/>
      <c r="CH286" s="238"/>
      <c r="CI286" s="238"/>
      <c r="CJ286" s="238"/>
      <c r="CK286" s="238"/>
      <c r="CL286" s="238"/>
      <c r="CM286" s="238"/>
      <c r="CN286" s="238"/>
      <c r="CO286" s="238"/>
      <c r="CP286" s="238"/>
      <c r="CQ286" s="238"/>
      <c r="CR286" s="238"/>
      <c r="CS286" s="238"/>
      <c r="CT286" s="238"/>
      <c r="CU286" s="238"/>
      <c r="CV286" s="238"/>
      <c r="CW286" s="465"/>
    </row>
    <row r="287" spans="2:101" ht="18" customHeight="1" x14ac:dyDescent="0.2">
      <c r="B287" s="2" t="s">
        <v>378</v>
      </c>
      <c r="C287"/>
      <c r="D287"/>
      <c r="E287"/>
      <c r="F287"/>
      <c r="G287"/>
      <c r="H287"/>
      <c r="I287"/>
      <c r="J287"/>
      <c r="K287" s="184"/>
      <c r="L287" s="184"/>
      <c r="M287" s="184"/>
      <c r="N287" s="184"/>
      <c r="O287" s="185"/>
      <c r="P287" s="185"/>
      <c r="Q287" s="185"/>
      <c r="R287" s="185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5"/>
      <c r="AC287" s="125"/>
      <c r="AD287" s="125"/>
      <c r="AE287" s="125"/>
      <c r="AF287" s="125"/>
      <c r="AG287" s="125"/>
      <c r="AH287" s="125"/>
      <c r="AI287" s="469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238"/>
      <c r="BF287" s="238"/>
      <c r="BG287" s="238"/>
      <c r="BH287" s="238"/>
      <c r="BI287" s="238"/>
      <c r="BJ287" s="238"/>
      <c r="BK287" s="238"/>
      <c r="BL287" s="238"/>
      <c r="BM287" s="238"/>
      <c r="BN287" s="238"/>
      <c r="BO287" s="238"/>
      <c r="BP287" s="238"/>
      <c r="BQ287" s="238"/>
      <c r="BR287" s="238"/>
      <c r="BS287" s="238"/>
      <c r="BT287" s="238"/>
      <c r="BU287" s="238"/>
      <c r="BV287" s="238"/>
      <c r="BW287" s="238"/>
      <c r="BX287" s="238"/>
      <c r="BY287" s="238"/>
      <c r="BZ287" s="238"/>
      <c r="CA287" s="238"/>
      <c r="CB287" s="238"/>
      <c r="CC287" s="238"/>
      <c r="CD287" s="238"/>
      <c r="CE287" s="238"/>
      <c r="CF287" s="238"/>
      <c r="CG287" s="238"/>
      <c r="CH287" s="238"/>
      <c r="CI287" s="238"/>
      <c r="CJ287" s="238"/>
      <c r="CK287" s="238"/>
      <c r="CL287" s="238"/>
      <c r="CM287" s="238"/>
      <c r="CN287" s="238"/>
      <c r="CO287" s="238"/>
      <c r="CP287" s="238"/>
      <c r="CQ287" s="238"/>
      <c r="CR287" s="238"/>
      <c r="CS287" s="238"/>
      <c r="CT287" s="238"/>
      <c r="CU287" s="238"/>
      <c r="CV287" s="238"/>
      <c r="CW287" s="465"/>
    </row>
    <row r="288" spans="2:101" ht="18" customHeight="1" x14ac:dyDescent="0.25">
      <c r="B288" s="2" t="s">
        <v>379</v>
      </c>
      <c r="C288"/>
      <c r="D288"/>
      <c r="E288"/>
      <c r="F288"/>
      <c r="G288"/>
      <c r="H288"/>
      <c r="I288"/>
      <c r="J288"/>
      <c r="K288" s="184"/>
      <c r="L288" s="184"/>
      <c r="M288" s="184"/>
      <c r="N288" s="184"/>
      <c r="O288" s="185"/>
      <c r="P288" s="185"/>
      <c r="Q288" s="185"/>
      <c r="R288" s="185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5"/>
      <c r="AC288" s="125"/>
      <c r="AD288" s="125"/>
      <c r="AE288" s="125"/>
      <c r="AF288" s="125"/>
      <c r="AG288" s="125"/>
      <c r="AH288" s="125"/>
      <c r="AI288" s="469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237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  <c r="BS288" s="238"/>
      <c r="BT288" s="238"/>
      <c r="BU288" s="238"/>
      <c r="BV288" s="238"/>
      <c r="BW288" s="238"/>
      <c r="BX288" s="238"/>
      <c r="BY288" s="238"/>
      <c r="BZ288" s="238"/>
      <c r="CA288" s="238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  <c r="CV288" s="238"/>
      <c r="CW288" s="465"/>
    </row>
    <row r="289" spans="2:101" ht="18" customHeight="1" x14ac:dyDescent="0.2">
      <c r="B289" s="1" t="s">
        <v>380</v>
      </c>
      <c r="D289"/>
      <c r="E289"/>
      <c r="F289"/>
      <c r="G289"/>
      <c r="H289"/>
      <c r="I289"/>
      <c r="J289"/>
      <c r="K289" s="184"/>
      <c r="L289" s="184"/>
      <c r="M289" s="184"/>
      <c r="N289" s="184"/>
      <c r="O289" s="185"/>
      <c r="P289" s="185"/>
      <c r="Q289" s="185"/>
      <c r="R289" s="185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5"/>
      <c r="AC289" s="125"/>
      <c r="AD289" s="125"/>
      <c r="AE289" s="125"/>
      <c r="AF289" s="125"/>
      <c r="AG289" s="125"/>
      <c r="AH289" s="125"/>
      <c r="AI289" s="469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238"/>
      <c r="BF289" s="238"/>
      <c r="BG289" s="238"/>
      <c r="BH289" s="238"/>
      <c r="BI289" s="238"/>
      <c r="BJ289" s="238"/>
      <c r="BK289" s="238"/>
      <c r="BL289" s="239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38"/>
      <c r="CN289" s="238"/>
      <c r="CO289" s="238"/>
      <c r="CP289" s="238"/>
      <c r="CQ289" s="238"/>
      <c r="CR289" s="238"/>
      <c r="CS289" s="238"/>
      <c r="CT289" s="238"/>
      <c r="CU289" s="238"/>
      <c r="CV289" s="238"/>
      <c r="CW289" s="465"/>
    </row>
    <row r="290" spans="2:101" ht="18" customHeight="1" thickBot="1" x14ac:dyDescent="0.25">
      <c r="B290" s="1" t="s">
        <v>382</v>
      </c>
      <c r="C290"/>
      <c r="D290"/>
      <c r="E290"/>
      <c r="F290"/>
      <c r="G290"/>
      <c r="H290"/>
      <c r="I290"/>
      <c r="J290"/>
      <c r="K290" s="184"/>
      <c r="L290" s="184"/>
      <c r="M290" s="184"/>
      <c r="N290" s="184"/>
      <c r="O290" s="185"/>
      <c r="P290" s="185"/>
      <c r="Q290" s="185"/>
      <c r="R290" s="185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5"/>
      <c r="AC290" s="125"/>
      <c r="AD290" s="125"/>
      <c r="AE290" s="125"/>
      <c r="AF290" s="125"/>
      <c r="AG290" s="125"/>
      <c r="AH290" s="125"/>
      <c r="AI290" s="469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238"/>
      <c r="BF290" s="238"/>
      <c r="BG290" s="238"/>
      <c r="BH290" s="238"/>
      <c r="BI290" s="238"/>
      <c r="BJ290" s="238"/>
      <c r="BK290" s="239"/>
      <c r="BL290" s="239"/>
      <c r="BM290" s="238"/>
      <c r="BN290" s="238"/>
      <c r="BO290" s="238"/>
      <c r="BP290" s="238"/>
      <c r="BQ290" s="238"/>
      <c r="BR290" s="238"/>
      <c r="BS290" s="238"/>
      <c r="BT290" s="238"/>
      <c r="BU290" s="238"/>
      <c r="BV290" s="238"/>
      <c r="BW290" s="238"/>
      <c r="BX290" s="238"/>
      <c r="BY290" s="238"/>
      <c r="BZ290" s="238"/>
      <c r="CA290" s="238"/>
      <c r="CB290" s="238"/>
      <c r="CC290" s="238"/>
      <c r="CD290" s="238"/>
      <c r="CE290" s="238"/>
      <c r="CF290" s="238"/>
      <c r="CG290" s="238"/>
      <c r="CH290" s="238"/>
      <c r="CI290" s="238"/>
      <c r="CJ290" s="238"/>
      <c r="CK290" s="238"/>
      <c r="CL290" s="238"/>
      <c r="CM290" s="238"/>
      <c r="CN290" s="238"/>
      <c r="CO290" s="238"/>
      <c r="CP290" s="238"/>
      <c r="CQ290" s="238"/>
      <c r="CR290" s="238"/>
      <c r="CS290" s="238"/>
      <c r="CT290" s="238"/>
      <c r="CU290" s="238"/>
      <c r="CV290" s="238"/>
      <c r="CW290" s="465"/>
    </row>
    <row r="291" spans="2:101" ht="18" customHeight="1" thickTop="1" thickBot="1" x14ac:dyDescent="0.3">
      <c r="B291" s="1" t="s">
        <v>383</v>
      </c>
      <c r="J291"/>
      <c r="K291" s="81" t="s">
        <v>119</v>
      </c>
      <c r="L291" s="185"/>
      <c r="M291" s="454" t="s">
        <v>120</v>
      </c>
      <c r="N291" s="184"/>
      <c r="O291" s="184"/>
      <c r="P291" s="184"/>
      <c r="Q291" s="184"/>
      <c r="R291" s="184"/>
      <c r="S291" s="81" t="s">
        <v>119</v>
      </c>
      <c r="T291" s="126"/>
      <c r="U291" s="457" t="s">
        <v>120</v>
      </c>
      <c r="V291" s="126"/>
      <c r="W291" s="126"/>
      <c r="X291" s="126"/>
      <c r="Y291" s="127"/>
      <c r="Z291" s="127"/>
      <c r="AA291" s="127"/>
      <c r="AB291" s="81" t="s">
        <v>119</v>
      </c>
      <c r="AC291" s="125"/>
      <c r="AD291" s="494" t="s">
        <v>120</v>
      </c>
      <c r="AE291" s="125"/>
      <c r="AF291" s="125"/>
      <c r="AG291" s="125"/>
      <c r="AH291" s="469"/>
      <c r="AI291" s="469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81" t="s">
        <v>119</v>
      </c>
      <c r="BF291" s="238"/>
      <c r="BG291" s="455" t="s">
        <v>120</v>
      </c>
      <c r="BH291" s="238"/>
      <c r="BI291" s="238"/>
      <c r="BJ291" s="238"/>
      <c r="BK291" s="239"/>
      <c r="BL291" s="239"/>
      <c r="BM291" s="238"/>
      <c r="BN291" s="238"/>
      <c r="BO291" s="238"/>
      <c r="BP291" s="238"/>
      <c r="BQ291" s="238"/>
      <c r="BR291" s="238"/>
      <c r="BS291" s="238"/>
      <c r="BT291" s="238"/>
      <c r="BU291" s="238"/>
      <c r="BV291" s="238"/>
      <c r="BW291" s="238"/>
      <c r="BX291" s="238"/>
      <c r="BY291" s="238"/>
      <c r="BZ291" s="238"/>
      <c r="CA291" s="238"/>
      <c r="CB291" s="238"/>
      <c r="CC291" s="238"/>
      <c r="CD291" s="238"/>
      <c r="CE291" s="238"/>
      <c r="CF291" s="238"/>
      <c r="CG291" s="238"/>
      <c r="CH291" s="238"/>
      <c r="CI291" s="238"/>
      <c r="CJ291" s="238"/>
      <c r="CK291" s="238"/>
      <c r="CL291" s="238"/>
      <c r="CM291" s="238"/>
      <c r="CN291" s="238"/>
      <c r="CO291" s="238"/>
      <c r="CP291" s="238"/>
      <c r="CQ291" s="238"/>
      <c r="CR291" s="238"/>
      <c r="CS291" s="238"/>
      <c r="CT291" s="238"/>
      <c r="CU291" s="238"/>
      <c r="CV291" s="238"/>
      <c r="CW291" s="465"/>
    </row>
    <row r="292" spans="2:101" ht="18" customHeight="1" thickTop="1" x14ac:dyDescent="0.25">
      <c r="B292" s="2" t="s">
        <v>384</v>
      </c>
      <c r="J292"/>
      <c r="K292" s="458"/>
      <c r="L292" s="184"/>
      <c r="M292" s="461" t="s">
        <v>388</v>
      </c>
      <c r="N292" s="185"/>
      <c r="O292" s="185"/>
      <c r="P292" s="185"/>
      <c r="Q292" s="185"/>
      <c r="R292" s="185"/>
      <c r="S292" s="459"/>
      <c r="T292" s="127"/>
      <c r="U292" s="462" t="s">
        <v>388</v>
      </c>
      <c r="V292" s="126"/>
      <c r="W292" s="126"/>
      <c r="X292" s="126"/>
      <c r="Y292" s="127"/>
      <c r="Z292" s="127"/>
      <c r="AA292" s="127"/>
      <c r="AB292" s="523"/>
      <c r="AC292" s="469"/>
      <c r="AD292" s="524" t="s">
        <v>388</v>
      </c>
      <c r="AE292" s="125"/>
      <c r="AF292" s="125"/>
      <c r="AG292" s="125"/>
      <c r="AH292" s="469"/>
      <c r="AI292" s="469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460"/>
      <c r="BF292" s="239"/>
      <c r="BG292" s="463" t="s">
        <v>388</v>
      </c>
      <c r="BH292" s="238"/>
      <c r="BI292" s="238"/>
      <c r="BJ292" s="238"/>
      <c r="BK292" s="238"/>
      <c r="BL292" s="238"/>
      <c r="BM292" s="238"/>
      <c r="BN292" s="238"/>
      <c r="BO292" s="238"/>
      <c r="BP292" s="238"/>
      <c r="BQ292" s="238"/>
      <c r="BR292" s="238"/>
      <c r="BS292" s="238"/>
      <c r="BT292" s="238"/>
      <c r="BU292" s="238"/>
      <c r="BV292" s="238"/>
      <c r="BW292" s="238"/>
      <c r="BX292" s="238"/>
      <c r="BY292" s="238"/>
      <c r="BZ292" s="238"/>
      <c r="CA292" s="238"/>
      <c r="CB292" s="238"/>
      <c r="CC292" s="238"/>
      <c r="CD292" s="238"/>
      <c r="CE292" s="238"/>
      <c r="CF292" s="238"/>
      <c r="CG292" s="238"/>
      <c r="CH292" s="238"/>
      <c r="CI292" s="238"/>
      <c r="CJ292" s="238"/>
      <c r="CK292" s="238"/>
      <c r="CL292" s="238"/>
      <c r="CM292" s="238"/>
      <c r="CN292" s="238"/>
      <c r="CO292" s="238"/>
      <c r="CP292" s="238"/>
      <c r="CQ292" s="238"/>
      <c r="CR292" s="238"/>
      <c r="CS292" s="238"/>
      <c r="CT292" s="238"/>
      <c r="CU292" s="238"/>
      <c r="CV292" s="238"/>
      <c r="CW292" s="465"/>
    </row>
    <row r="293" spans="2:101" ht="18" customHeight="1" x14ac:dyDescent="0.25">
      <c r="B293" s="1" t="s">
        <v>385</v>
      </c>
      <c r="J293"/>
      <c r="K293" s="186" t="s">
        <v>147</v>
      </c>
      <c r="L293" s="184"/>
      <c r="M293" s="185"/>
      <c r="N293" s="185"/>
      <c r="O293" s="185"/>
      <c r="P293" s="185"/>
      <c r="Q293" s="184"/>
      <c r="R293" s="184"/>
      <c r="S293" s="128" t="s">
        <v>148</v>
      </c>
      <c r="T293" s="126"/>
      <c r="U293" s="126"/>
      <c r="V293" s="126"/>
      <c r="W293" s="126"/>
      <c r="X293" s="126"/>
      <c r="Y293" s="126"/>
      <c r="Z293" s="126"/>
      <c r="AA293" s="126"/>
      <c r="AB293" s="468" t="s">
        <v>149</v>
      </c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237" t="s">
        <v>150</v>
      </c>
      <c r="BF293" s="238"/>
      <c r="BG293" s="238"/>
      <c r="BH293" s="238"/>
      <c r="BI293" s="238"/>
      <c r="BJ293" s="238"/>
      <c r="BK293" s="238"/>
      <c r="BL293" s="238"/>
      <c r="BM293" s="238"/>
      <c r="BN293" s="238"/>
      <c r="BO293" s="238"/>
      <c r="BP293" s="238"/>
      <c r="BQ293" s="238"/>
      <c r="BR293" s="238"/>
      <c r="BS293" s="238"/>
      <c r="BT293" s="238"/>
      <c r="BU293" s="238"/>
      <c r="BV293" s="238"/>
      <c r="BW293" s="238"/>
      <c r="BX293" s="238"/>
      <c r="BY293" s="238"/>
      <c r="BZ293" s="238"/>
      <c r="CA293" s="238"/>
      <c r="CB293" s="238"/>
      <c r="CC293" s="238"/>
      <c r="CD293" s="238"/>
      <c r="CE293" s="238"/>
      <c r="CF293" s="238"/>
      <c r="CG293" s="238"/>
      <c r="CH293" s="238"/>
      <c r="CI293" s="238"/>
      <c r="CJ293" s="238"/>
      <c r="CK293" s="238"/>
      <c r="CL293" s="238"/>
      <c r="CM293" s="238"/>
      <c r="CN293" s="238"/>
      <c r="CO293" s="238"/>
      <c r="CP293" s="238"/>
      <c r="CQ293" s="238"/>
      <c r="CR293" s="238"/>
      <c r="CS293" s="238"/>
      <c r="CT293" s="238"/>
      <c r="CU293" s="238"/>
      <c r="CV293" s="238"/>
      <c r="CW293" s="465"/>
    </row>
    <row r="294" spans="2:101" ht="18" customHeight="1" x14ac:dyDescent="0.2">
      <c r="B294" s="2" t="s">
        <v>386</v>
      </c>
      <c r="K294" s="184"/>
      <c r="L294" s="184"/>
      <c r="M294" s="185"/>
      <c r="N294" s="185"/>
      <c r="O294" s="185"/>
      <c r="P294" s="185"/>
      <c r="Q294" s="184"/>
      <c r="R294" s="184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238"/>
      <c r="BF294" s="238"/>
      <c r="BG294" s="238"/>
      <c r="BH294" s="238"/>
      <c r="BI294" s="238"/>
      <c r="BJ294" s="238"/>
      <c r="BK294" s="238"/>
      <c r="BL294" s="238"/>
      <c r="BM294" s="238"/>
      <c r="BN294" s="238"/>
      <c r="BO294" s="238"/>
      <c r="BP294" s="238"/>
      <c r="BQ294" s="238"/>
      <c r="BR294" s="238"/>
      <c r="BS294" s="238"/>
      <c r="BT294" s="238"/>
      <c r="BU294" s="238"/>
      <c r="BV294" s="238"/>
      <c r="BW294" s="238"/>
      <c r="BX294" s="238"/>
      <c r="BY294" s="238"/>
      <c r="BZ294" s="238"/>
      <c r="CA294" s="238"/>
      <c r="CB294" s="238"/>
      <c r="CC294" s="238"/>
      <c r="CD294" s="238"/>
      <c r="CE294" s="238"/>
      <c r="CF294" s="238"/>
      <c r="CG294" s="238"/>
      <c r="CH294" s="238"/>
      <c r="CI294" s="238"/>
      <c r="CJ294" s="238"/>
      <c r="CK294" s="238"/>
      <c r="CL294" s="238"/>
      <c r="CM294" s="238"/>
      <c r="CN294" s="238"/>
      <c r="CO294" s="238"/>
      <c r="CP294" s="238"/>
      <c r="CQ294" s="238"/>
      <c r="CR294" s="238"/>
      <c r="CS294" s="238"/>
      <c r="CT294" s="238"/>
      <c r="CU294" s="238"/>
      <c r="CV294" s="238"/>
      <c r="CW294" s="465"/>
    </row>
    <row r="295" spans="2:101" ht="18" customHeight="1" x14ac:dyDescent="0.2">
      <c r="B295" s="2" t="s">
        <v>458</v>
      </c>
      <c r="K295" s="184" t="s">
        <v>179</v>
      </c>
      <c r="L295" s="184"/>
      <c r="M295" s="185"/>
      <c r="N295" s="185"/>
      <c r="O295" s="185"/>
      <c r="P295" s="185"/>
      <c r="Q295" s="184"/>
      <c r="R295" s="184"/>
      <c r="S295" s="127" t="s">
        <v>179</v>
      </c>
      <c r="T295" s="127"/>
      <c r="U295" s="127"/>
      <c r="V295" s="127"/>
      <c r="W295" s="127"/>
      <c r="X295" s="127"/>
      <c r="Y295" s="127"/>
      <c r="Z295" s="127"/>
      <c r="AA295" s="127"/>
      <c r="AB295" s="469" t="s">
        <v>179</v>
      </c>
      <c r="AC295" s="469"/>
      <c r="AD295" s="469"/>
      <c r="AE295" s="469"/>
      <c r="AF295" s="469"/>
      <c r="AG295" s="469"/>
      <c r="AH295" s="469"/>
      <c r="AI295" s="469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239" t="s">
        <v>179</v>
      </c>
      <c r="BF295" s="239"/>
      <c r="BG295" s="239"/>
      <c r="BH295" s="239"/>
      <c r="BI295" s="239"/>
      <c r="BJ295" s="239"/>
      <c r="BK295" s="239"/>
      <c r="BL295" s="239"/>
      <c r="BM295" s="238"/>
      <c r="BN295" s="238"/>
      <c r="BO295" s="238"/>
      <c r="BP295" s="238"/>
      <c r="BQ295" s="238"/>
      <c r="BR295" s="238"/>
      <c r="BS295" s="238"/>
      <c r="BT295" s="238"/>
      <c r="BU295" s="238"/>
      <c r="BV295" s="238"/>
      <c r="BW295" s="238"/>
      <c r="BX295" s="238"/>
      <c r="BY295" s="238"/>
      <c r="BZ295" s="238"/>
      <c r="CA295" s="238"/>
      <c r="CB295" s="238"/>
      <c r="CC295" s="238"/>
      <c r="CD295" s="238"/>
      <c r="CE295" s="238"/>
      <c r="CF295" s="238"/>
      <c r="CG295" s="238"/>
      <c r="CH295" s="238"/>
      <c r="CI295" s="238"/>
      <c r="CJ295" s="238"/>
      <c r="CK295" s="238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  <c r="CV295" s="238"/>
      <c r="CW295" s="465"/>
    </row>
    <row r="296" spans="2:101" ht="18" customHeight="1" thickBot="1" x14ac:dyDescent="0.25">
      <c r="K296" s="188">
        <f t="shared" ref="K296:N299" si="128">$M$271*K259</f>
        <v>0.13657103223351624</v>
      </c>
      <c r="L296" s="224">
        <f t="shared" si="128"/>
        <v>-2.2146653875705333E-2</v>
      </c>
      <c r="M296" s="224">
        <f t="shared" si="128"/>
        <v>0</v>
      </c>
      <c r="N296" s="189">
        <f t="shared" si="128"/>
        <v>0</v>
      </c>
      <c r="O296" s="185"/>
      <c r="P296" s="185"/>
      <c r="Q296" s="184"/>
      <c r="R296" s="184"/>
      <c r="S296" s="132">
        <f t="shared" ref="S296:X301" si="129">$U$277*S261</f>
        <v>1.9740862548476873E-4</v>
      </c>
      <c r="T296" s="133">
        <f t="shared" si="129"/>
        <v>-8.5262091162682219E-5</v>
      </c>
      <c r="U296" s="133">
        <f t="shared" si="129"/>
        <v>7.6812694741155155E-6</v>
      </c>
      <c r="V296" s="133">
        <f t="shared" si="129"/>
        <v>0</v>
      </c>
      <c r="W296" s="133">
        <f t="shared" si="129"/>
        <v>0</v>
      </c>
      <c r="X296" s="134">
        <f t="shared" si="129"/>
        <v>0</v>
      </c>
      <c r="Y296" s="127"/>
      <c r="Z296" s="127"/>
      <c r="AA296" s="127"/>
      <c r="AB296" s="472">
        <f t="shared" ref="AB296:AI303" si="130">$AD$280*AB260</f>
        <v>4560.2544602409926</v>
      </c>
      <c r="AC296" s="473">
        <f t="shared" si="130"/>
        <v>-3674.2825792070071</v>
      </c>
      <c r="AD296" s="473">
        <f t="shared" si="130"/>
        <v>793.08773221579224</v>
      </c>
      <c r="AE296" s="473">
        <f t="shared" si="130"/>
        <v>-50.014541671265832</v>
      </c>
      <c r="AF296" s="473">
        <f t="shared" si="130"/>
        <v>0</v>
      </c>
      <c r="AG296" s="473">
        <f t="shared" si="130"/>
        <v>0</v>
      </c>
      <c r="AH296" s="473">
        <f t="shared" si="130"/>
        <v>0</v>
      </c>
      <c r="AI296" s="474">
        <f t="shared" si="130"/>
        <v>0</v>
      </c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287">
        <f t="shared" ref="BE296:BN296" si="131">$BG$286*BE262</f>
        <v>355.83612922157454</v>
      </c>
      <c r="BF296" s="288">
        <f t="shared" si="131"/>
        <v>-453.19533063936308</v>
      </c>
      <c r="BG296" s="288">
        <f t="shared" si="131"/>
        <v>170.32067028043957</v>
      </c>
      <c r="BH296" s="288">
        <f t="shared" si="131"/>
        <v>-24.497044899419443</v>
      </c>
      <c r="BI296" s="288">
        <f t="shared" si="131"/>
        <v>1.1917481302419337</v>
      </c>
      <c r="BJ296" s="288">
        <f t="shared" si="131"/>
        <v>0</v>
      </c>
      <c r="BK296" s="288">
        <f t="shared" si="131"/>
        <v>0</v>
      </c>
      <c r="BL296" s="288">
        <f t="shared" si="131"/>
        <v>0</v>
      </c>
      <c r="BM296" s="288">
        <f t="shared" si="131"/>
        <v>0</v>
      </c>
      <c r="BN296" s="260">
        <f t="shared" si="131"/>
        <v>0</v>
      </c>
      <c r="BO296" s="238"/>
      <c r="BP296" s="238"/>
      <c r="BQ296" s="238"/>
      <c r="BR296" s="238"/>
      <c r="BS296" s="238"/>
      <c r="BT296" s="238"/>
      <c r="BU296" s="238"/>
      <c r="BV296" s="238"/>
      <c r="BW296" s="238"/>
      <c r="BX296" s="238"/>
      <c r="BY296" s="238"/>
      <c r="BZ296" s="238"/>
      <c r="CA296" s="238"/>
      <c r="CB296" s="238"/>
      <c r="CC296" s="238"/>
      <c r="CD296" s="238"/>
      <c r="CE296" s="238"/>
      <c r="CF296" s="238"/>
      <c r="CG296" s="238"/>
      <c r="CH296" s="238"/>
      <c r="CI296" s="238"/>
      <c r="CJ296" s="238"/>
      <c r="CK296" s="238"/>
      <c r="CL296" s="238"/>
      <c r="CM296" s="238"/>
      <c r="CN296" s="238"/>
      <c r="CO296" s="238"/>
      <c r="CP296" s="238"/>
      <c r="CQ296" s="238"/>
      <c r="CR296" s="238"/>
      <c r="CS296" s="238"/>
      <c r="CT296" s="238"/>
      <c r="CU296" s="238"/>
      <c r="CV296" s="238"/>
      <c r="CW296" s="465"/>
    </row>
    <row r="297" spans="2:101" ht="18" customHeight="1" thickTop="1" thickBot="1" x14ac:dyDescent="0.3">
      <c r="B297" s="81" t="s">
        <v>119</v>
      </c>
      <c r="C297" s="97" t="s">
        <v>387</v>
      </c>
      <c r="K297" s="209">
        <f t="shared" si="128"/>
        <v>-2.2146653875705333E-2</v>
      </c>
      <c r="L297" s="210">
        <f t="shared" si="128"/>
        <v>4.9214786390456297E-3</v>
      </c>
      <c r="M297" s="210">
        <f t="shared" si="128"/>
        <v>0</v>
      </c>
      <c r="N297" s="211">
        <f t="shared" si="128"/>
        <v>0</v>
      </c>
      <c r="O297" s="185"/>
      <c r="P297" s="185"/>
      <c r="Q297" s="184"/>
      <c r="R297" s="184"/>
      <c r="S297" s="137">
        <f t="shared" si="129"/>
        <v>-8.5262091162682219E-5</v>
      </c>
      <c r="T297" s="138">
        <f t="shared" si="129"/>
        <v>5.2383245550928945E-5</v>
      </c>
      <c r="U297" s="138">
        <f t="shared" si="129"/>
        <v>-5.4220725699638939E-6</v>
      </c>
      <c r="V297" s="138">
        <f t="shared" si="129"/>
        <v>0</v>
      </c>
      <c r="W297" s="138">
        <f t="shared" si="129"/>
        <v>0</v>
      </c>
      <c r="X297" s="140">
        <f t="shared" si="129"/>
        <v>0</v>
      </c>
      <c r="Y297" s="127"/>
      <c r="Z297" s="127"/>
      <c r="AA297" s="127"/>
      <c r="AB297" s="476">
        <f t="shared" si="130"/>
        <v>-3674.2825792070685</v>
      </c>
      <c r="AC297" s="403">
        <f t="shared" si="130"/>
        <v>4460.7390650014704</v>
      </c>
      <c r="AD297" s="403">
        <f t="shared" si="130"/>
        <v>-1126.903276101564</v>
      </c>
      <c r="AE297" s="403">
        <f t="shared" si="130"/>
        <v>77.310059511468992</v>
      </c>
      <c r="AF297" s="403">
        <f t="shared" si="130"/>
        <v>0</v>
      </c>
      <c r="AG297" s="403">
        <f t="shared" si="130"/>
        <v>0</v>
      </c>
      <c r="AH297" s="403">
        <f t="shared" si="130"/>
        <v>0</v>
      </c>
      <c r="AI297" s="477">
        <f t="shared" si="130"/>
        <v>0</v>
      </c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264">
        <f t="shared" ref="BE297:BN297" si="132">$BG$286*BE263</f>
        <v>-453.19533063929578</v>
      </c>
      <c r="BF297" s="244">
        <f t="shared" si="132"/>
        <v>945.37178411393143</v>
      </c>
      <c r="BG297" s="244">
        <f t="shared" si="132"/>
        <v>-426.92478147570654</v>
      </c>
      <c r="BH297" s="244">
        <f t="shared" si="132"/>
        <v>67.695101852763131</v>
      </c>
      <c r="BI297" s="244">
        <f t="shared" si="132"/>
        <v>-3.4992996569354164</v>
      </c>
      <c r="BJ297" s="244">
        <f t="shared" si="132"/>
        <v>0</v>
      </c>
      <c r="BK297" s="244">
        <f t="shared" si="132"/>
        <v>0</v>
      </c>
      <c r="BL297" s="244">
        <f t="shared" si="132"/>
        <v>0</v>
      </c>
      <c r="BM297" s="244">
        <f t="shared" si="132"/>
        <v>0</v>
      </c>
      <c r="BN297" s="265">
        <f t="shared" si="132"/>
        <v>0</v>
      </c>
      <c r="BO297" s="238"/>
      <c r="BP297" s="238"/>
      <c r="BQ297" s="238"/>
      <c r="BR297" s="238"/>
      <c r="BS297" s="238"/>
      <c r="BT297" s="238"/>
      <c r="BU297" s="238"/>
      <c r="BV297" s="238"/>
      <c r="BW297" s="238"/>
      <c r="BX297" s="238"/>
      <c r="BY297" s="238"/>
      <c r="BZ297" s="238"/>
      <c r="CA297" s="238"/>
      <c r="CB297" s="238"/>
      <c r="CC297" s="238"/>
      <c r="CD297" s="238"/>
      <c r="CE297" s="238"/>
      <c r="CF297" s="238"/>
      <c r="CG297" s="238"/>
      <c r="CH297" s="238"/>
      <c r="CI297" s="238"/>
      <c r="CJ297" s="238"/>
      <c r="CK297" s="238"/>
      <c r="CL297" s="238"/>
      <c r="CM297" s="238"/>
      <c r="CN297" s="238"/>
      <c r="CO297" s="238"/>
      <c r="CP297" s="238"/>
      <c r="CQ297" s="238"/>
      <c r="CR297" s="238"/>
      <c r="CS297" s="238"/>
      <c r="CT297" s="238"/>
      <c r="CU297" s="238"/>
      <c r="CV297" s="238"/>
      <c r="CW297" s="465"/>
    </row>
    <row r="298" spans="2:101" ht="18" customHeight="1" thickTop="1" x14ac:dyDescent="0.2">
      <c r="K298" s="209">
        <f t="shared" si="128"/>
        <v>0</v>
      </c>
      <c r="L298" s="210">
        <f t="shared" si="128"/>
        <v>0</v>
      </c>
      <c r="M298" s="210">
        <f t="shared" si="128"/>
        <v>0.1948085294622228</v>
      </c>
      <c r="N298" s="211">
        <f t="shared" si="128"/>
        <v>-2.5974470594963037E-2</v>
      </c>
      <c r="O298" s="185"/>
      <c r="P298" s="185"/>
      <c r="Q298" s="185"/>
      <c r="R298" s="184"/>
      <c r="S298" s="137">
        <f t="shared" si="129"/>
        <v>7.6812694741155155E-6</v>
      </c>
      <c r="T298" s="138">
        <f t="shared" si="129"/>
        <v>-5.4220725699638939E-6</v>
      </c>
      <c r="U298" s="138">
        <f t="shared" si="129"/>
        <v>6.0245250777376591E-7</v>
      </c>
      <c r="V298" s="138">
        <f t="shared" si="129"/>
        <v>0</v>
      </c>
      <c r="W298" s="138">
        <f t="shared" si="129"/>
        <v>0</v>
      </c>
      <c r="X298" s="140">
        <f t="shared" si="129"/>
        <v>0</v>
      </c>
      <c r="Y298" s="127"/>
      <c r="Z298" s="127"/>
      <c r="AA298" s="127"/>
      <c r="AB298" s="476">
        <f t="shared" si="130"/>
        <v>793.08773221581623</v>
      </c>
      <c r="AC298" s="403">
        <f t="shared" si="130"/>
        <v>-1126.9032761015728</v>
      </c>
      <c r="AD298" s="403">
        <f t="shared" si="130"/>
        <v>307.12711198553882</v>
      </c>
      <c r="AE298" s="403">
        <f t="shared" si="130"/>
        <v>-22.065238972618271</v>
      </c>
      <c r="AF298" s="403">
        <f t="shared" si="130"/>
        <v>0</v>
      </c>
      <c r="AG298" s="403">
        <f t="shared" si="130"/>
        <v>0</v>
      </c>
      <c r="AH298" s="403">
        <f t="shared" si="130"/>
        <v>0</v>
      </c>
      <c r="AI298" s="477">
        <f t="shared" si="130"/>
        <v>0</v>
      </c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264">
        <f t="shared" ref="BE298:BN298" si="133">$BG$286*BE264</f>
        <v>170.32067028039268</v>
      </c>
      <c r="BF298" s="244">
        <f t="shared" si="133"/>
        <v>-426.9247814756697</v>
      </c>
      <c r="BG298" s="244">
        <f t="shared" si="133"/>
        <v>209.25224512711995</v>
      </c>
      <c r="BH298" s="244">
        <f t="shared" si="133"/>
        <v>-34.841107101773105</v>
      </c>
      <c r="BI298" s="244">
        <f t="shared" si="133"/>
        <v>1.8609705279972881</v>
      </c>
      <c r="BJ298" s="244">
        <f t="shared" si="133"/>
        <v>0</v>
      </c>
      <c r="BK298" s="244">
        <f t="shared" si="133"/>
        <v>0</v>
      </c>
      <c r="BL298" s="244">
        <f t="shared" si="133"/>
        <v>0</v>
      </c>
      <c r="BM298" s="244">
        <f t="shared" si="133"/>
        <v>0</v>
      </c>
      <c r="BN298" s="265">
        <f t="shared" si="133"/>
        <v>0</v>
      </c>
      <c r="BO298" s="238"/>
      <c r="BP298" s="238"/>
      <c r="BQ298" s="238"/>
      <c r="BR298" s="238"/>
      <c r="BS298" s="238"/>
      <c r="BT298" s="238"/>
      <c r="BU298" s="238"/>
      <c r="BV298" s="238"/>
      <c r="BW298" s="238"/>
      <c r="BX298" s="238"/>
      <c r="BY298" s="238"/>
      <c r="BZ298" s="238"/>
      <c r="CA298" s="238"/>
      <c r="CB298" s="238"/>
      <c r="CC298" s="238"/>
      <c r="CD298" s="238"/>
      <c r="CE298" s="238"/>
      <c r="CF298" s="238"/>
      <c r="CG298" s="238"/>
      <c r="CH298" s="238"/>
      <c r="CI298" s="238"/>
      <c r="CJ298" s="238"/>
      <c r="CK298" s="238"/>
      <c r="CL298" s="238"/>
      <c r="CM298" s="238"/>
      <c r="CN298" s="238"/>
      <c r="CO298" s="238"/>
      <c r="CP298" s="238"/>
      <c r="CQ298" s="238"/>
      <c r="CR298" s="238"/>
      <c r="CS298" s="238"/>
      <c r="CT298" s="238"/>
      <c r="CU298" s="238"/>
      <c r="CV298" s="238"/>
      <c r="CW298" s="465"/>
    </row>
    <row r="299" spans="2:101" ht="18" customHeight="1" x14ac:dyDescent="0.25">
      <c r="B299" s="122" t="s">
        <v>389</v>
      </c>
      <c r="K299" s="190">
        <f t="shared" si="128"/>
        <v>0</v>
      </c>
      <c r="L299" s="216">
        <f t="shared" si="128"/>
        <v>0</v>
      </c>
      <c r="M299" s="216">
        <f t="shared" si="128"/>
        <v>-2.5974470594963037E-2</v>
      </c>
      <c r="N299" s="191">
        <f t="shared" si="128"/>
        <v>5.7721045766584529E-3</v>
      </c>
      <c r="O299" s="185"/>
      <c r="P299" s="185"/>
      <c r="Q299" s="184"/>
      <c r="R299" s="185"/>
      <c r="S299" s="137">
        <f t="shared" si="129"/>
        <v>0</v>
      </c>
      <c r="T299" s="138">
        <f t="shared" si="129"/>
        <v>0</v>
      </c>
      <c r="U299" s="138">
        <f t="shared" si="129"/>
        <v>0</v>
      </c>
      <c r="V299" s="138">
        <f t="shared" si="129"/>
        <v>1.7026814000955959E-4</v>
      </c>
      <c r="W299" s="138">
        <f t="shared" si="129"/>
        <v>-5.6756046669853193E-5</v>
      </c>
      <c r="X299" s="140">
        <f t="shared" si="129"/>
        <v>4.2041516051743109E-6</v>
      </c>
      <c r="Y299" s="127"/>
      <c r="Z299" s="127"/>
      <c r="AA299" s="127"/>
      <c r="AB299" s="476">
        <f t="shared" si="130"/>
        <v>-50.014541671267629</v>
      </c>
      <c r="AC299" s="403">
        <f t="shared" si="130"/>
        <v>77.310059511469973</v>
      </c>
      <c r="AD299" s="403">
        <f t="shared" si="130"/>
        <v>-22.065238972618367</v>
      </c>
      <c r="AE299" s="403">
        <f t="shared" si="130"/>
        <v>1.6344621461198825</v>
      </c>
      <c r="AF299" s="403">
        <f t="shared" si="130"/>
        <v>0</v>
      </c>
      <c r="AG299" s="403">
        <f t="shared" si="130"/>
        <v>0</v>
      </c>
      <c r="AH299" s="403">
        <f t="shared" si="130"/>
        <v>0</v>
      </c>
      <c r="AI299" s="477">
        <f t="shared" si="130"/>
        <v>0</v>
      </c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264">
        <f t="shared" ref="BE299:BN299" si="134">$BG$286*BE265</f>
        <v>-24.497044899410202</v>
      </c>
      <c r="BF299" s="244">
        <f t="shared" si="134"/>
        <v>67.695101852753083</v>
      </c>
      <c r="BG299" s="244">
        <f t="shared" si="134"/>
        <v>-34.841107101771215</v>
      </c>
      <c r="BH299" s="244">
        <f t="shared" si="134"/>
        <v>5.9881665309674865</v>
      </c>
      <c r="BI299" s="244">
        <f t="shared" si="134"/>
        <v>-0.32714654555654438</v>
      </c>
      <c r="BJ299" s="244">
        <f t="shared" si="134"/>
        <v>0</v>
      </c>
      <c r="BK299" s="244">
        <f t="shared" si="134"/>
        <v>0</v>
      </c>
      <c r="BL299" s="244">
        <f t="shared" si="134"/>
        <v>0</v>
      </c>
      <c r="BM299" s="244">
        <f t="shared" si="134"/>
        <v>0</v>
      </c>
      <c r="BN299" s="265">
        <f t="shared" si="134"/>
        <v>0</v>
      </c>
      <c r="BO299" s="238"/>
      <c r="BP299" s="238"/>
      <c r="BQ299" s="238"/>
      <c r="BR299" s="238"/>
      <c r="BS299" s="238"/>
      <c r="BT299" s="238"/>
      <c r="BU299" s="238"/>
      <c r="BV299" s="238"/>
      <c r="BW299" s="238"/>
      <c r="BX299" s="238"/>
      <c r="BY299" s="238"/>
      <c r="BZ299" s="238"/>
      <c r="CA299" s="238"/>
      <c r="CB299" s="238"/>
      <c r="CC299" s="238"/>
      <c r="CD299" s="238"/>
      <c r="CE299" s="238"/>
      <c r="CF299" s="238"/>
      <c r="CG299" s="238"/>
      <c r="CH299" s="238"/>
      <c r="CI299" s="238"/>
      <c r="CJ299" s="238"/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  <c r="CV299" s="238"/>
      <c r="CW299" s="465"/>
    </row>
    <row r="300" spans="2:101" ht="18" customHeight="1" x14ac:dyDescent="0.25">
      <c r="B300" s="122" t="s">
        <v>390</v>
      </c>
      <c r="K300" s="185"/>
      <c r="L300" s="185"/>
      <c r="M300" s="185"/>
      <c r="N300" s="185"/>
      <c r="O300" s="185"/>
      <c r="P300" s="185"/>
      <c r="Q300" s="184"/>
      <c r="R300" s="184"/>
      <c r="S300" s="137">
        <f t="shared" si="129"/>
        <v>0</v>
      </c>
      <c r="T300" s="138">
        <f t="shared" si="129"/>
        <v>0</v>
      </c>
      <c r="U300" s="138">
        <f t="shared" si="129"/>
        <v>0</v>
      </c>
      <c r="V300" s="138">
        <f t="shared" si="129"/>
        <v>-5.6756046669853193E-5</v>
      </c>
      <c r="W300" s="138">
        <f t="shared" si="129"/>
        <v>5.4653970867266037E-5</v>
      </c>
      <c r="X300" s="140">
        <f t="shared" si="129"/>
        <v>-5.6055354735657479E-6</v>
      </c>
      <c r="Y300" s="127"/>
      <c r="Z300" s="127"/>
      <c r="AA300" s="127"/>
      <c r="AB300" s="476">
        <f t="shared" si="130"/>
        <v>0</v>
      </c>
      <c r="AC300" s="403">
        <f t="shared" si="130"/>
        <v>0</v>
      </c>
      <c r="AD300" s="403">
        <f t="shared" si="130"/>
        <v>0</v>
      </c>
      <c r="AE300" s="403">
        <f t="shared" si="130"/>
        <v>0</v>
      </c>
      <c r="AF300" s="403">
        <f t="shared" si="130"/>
        <v>2613.2598023238761</v>
      </c>
      <c r="AG300" s="403">
        <f t="shared" si="130"/>
        <v>0</v>
      </c>
      <c r="AH300" s="403">
        <f t="shared" si="130"/>
        <v>-6525.7809177372937</v>
      </c>
      <c r="AI300" s="477">
        <f t="shared" si="130"/>
        <v>407.86130735858086</v>
      </c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264">
        <f t="shared" ref="BE300:BN300" si="135">$BG$286*BE266</f>
        <v>1.1917481302413915</v>
      </c>
      <c r="BF300" s="244">
        <f t="shared" si="135"/>
        <v>-3.4992996569347352</v>
      </c>
      <c r="BG300" s="244">
        <f t="shared" si="135"/>
        <v>1.8609705279971152</v>
      </c>
      <c r="BH300" s="244">
        <f t="shared" si="135"/>
        <v>-0.32714654555653244</v>
      </c>
      <c r="BI300" s="244">
        <f t="shared" si="135"/>
        <v>1.8174808086474474E-2</v>
      </c>
      <c r="BJ300" s="244">
        <f t="shared" si="135"/>
        <v>0</v>
      </c>
      <c r="BK300" s="244">
        <f t="shared" si="135"/>
        <v>0</v>
      </c>
      <c r="BL300" s="244">
        <f t="shared" si="135"/>
        <v>0</v>
      </c>
      <c r="BM300" s="244">
        <f t="shared" si="135"/>
        <v>0</v>
      </c>
      <c r="BN300" s="265">
        <f t="shared" si="135"/>
        <v>0</v>
      </c>
      <c r="BO300" s="238"/>
      <c r="BP300" s="238"/>
      <c r="BQ300" s="238"/>
      <c r="BR300" s="238"/>
      <c r="BS300" s="238"/>
      <c r="BT300" s="238"/>
      <c r="BU300" s="238"/>
      <c r="BV300" s="238"/>
      <c r="BW300" s="238"/>
      <c r="BX300" s="238"/>
      <c r="BY300" s="238"/>
      <c r="BZ300" s="238"/>
      <c r="CA300" s="238"/>
      <c r="CB300" s="238"/>
      <c r="CC300" s="238"/>
      <c r="CD300" s="238"/>
      <c r="CE300" s="238"/>
      <c r="CF300" s="238"/>
      <c r="CG300" s="238"/>
      <c r="CH300" s="238"/>
      <c r="CI300" s="238"/>
      <c r="CJ300" s="238"/>
      <c r="CK300" s="238"/>
      <c r="CL300" s="238"/>
      <c r="CM300" s="238"/>
      <c r="CN300" s="238"/>
      <c r="CO300" s="238"/>
      <c r="CP300" s="238"/>
      <c r="CQ300" s="238"/>
      <c r="CR300" s="238"/>
      <c r="CS300" s="238"/>
      <c r="CT300" s="238"/>
      <c r="CU300" s="238"/>
      <c r="CV300" s="238"/>
      <c r="CW300" s="465"/>
    </row>
    <row r="301" spans="2:101" ht="18" customHeight="1" x14ac:dyDescent="0.25">
      <c r="B301" s="122"/>
      <c r="K301" s="194" t="s">
        <v>398</v>
      </c>
      <c r="L301" s="184"/>
      <c r="M301" s="184"/>
      <c r="N301" s="184"/>
      <c r="O301" s="184"/>
      <c r="P301" s="184"/>
      <c r="Q301" s="184"/>
      <c r="R301" s="184"/>
      <c r="S301" s="141">
        <f t="shared" si="129"/>
        <v>0</v>
      </c>
      <c r="T301" s="142">
        <f t="shared" si="129"/>
        <v>0</v>
      </c>
      <c r="U301" s="142">
        <f t="shared" si="129"/>
        <v>0</v>
      </c>
      <c r="V301" s="142">
        <f t="shared" si="129"/>
        <v>4.2041516051743109E-6</v>
      </c>
      <c r="W301" s="142">
        <f t="shared" si="129"/>
        <v>-5.6055354735657479E-6</v>
      </c>
      <c r="X301" s="143">
        <f t="shared" si="129"/>
        <v>6.2283727484063858E-7</v>
      </c>
      <c r="Y301" s="127"/>
      <c r="Z301" s="127"/>
      <c r="AA301" s="127"/>
      <c r="AB301" s="476">
        <f t="shared" si="130"/>
        <v>0</v>
      </c>
      <c r="AC301" s="403">
        <f t="shared" si="130"/>
        <v>0</v>
      </c>
      <c r="AD301" s="403">
        <f t="shared" si="130"/>
        <v>0</v>
      </c>
      <c r="AE301" s="403">
        <f t="shared" si="130"/>
        <v>0</v>
      </c>
      <c r="AF301" s="403">
        <f t="shared" si="130"/>
        <v>14808.47221316863</v>
      </c>
      <c r="AG301" s="403">
        <f t="shared" si="130"/>
        <v>-5.5857137439223624E+18</v>
      </c>
      <c r="AH301" s="403">
        <f t="shared" si="130"/>
        <v>1.8619045813074529E+18</v>
      </c>
      <c r="AI301" s="477">
        <f t="shared" si="130"/>
        <v>-1.379188578746261E+17</v>
      </c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264">
        <f t="shared" ref="BE301:BN301" si="136">$BG$286*BE267</f>
        <v>0</v>
      </c>
      <c r="BF301" s="244">
        <f t="shared" si="136"/>
        <v>0</v>
      </c>
      <c r="BG301" s="244">
        <f t="shared" si="136"/>
        <v>0</v>
      </c>
      <c r="BH301" s="244">
        <f t="shared" si="136"/>
        <v>0</v>
      </c>
      <c r="BI301" s="244">
        <f t="shared" si="136"/>
        <v>0</v>
      </c>
      <c r="BJ301" s="244">
        <f t="shared" si="136"/>
        <v>159.13147950213209</v>
      </c>
      <c r="BK301" s="244">
        <f t="shared" si="136"/>
        <v>0</v>
      </c>
      <c r="BL301" s="244">
        <f t="shared" si="136"/>
        <v>-70.125881819385469</v>
      </c>
      <c r="BM301" s="244">
        <f t="shared" si="136"/>
        <v>0</v>
      </c>
      <c r="BN301" s="265">
        <f t="shared" si="136"/>
        <v>0</v>
      </c>
      <c r="BO301" s="238"/>
      <c r="BP301" s="238"/>
      <c r="BQ301" s="238"/>
      <c r="BR301" s="238"/>
      <c r="BS301" s="238"/>
      <c r="BT301" s="238"/>
      <c r="BU301" s="238"/>
      <c r="BV301" s="238"/>
      <c r="BW301" s="238"/>
      <c r="BX301" s="238"/>
      <c r="BY301" s="238"/>
      <c r="BZ301" s="238"/>
      <c r="CA301" s="238"/>
      <c r="CB301" s="238"/>
      <c r="CC301" s="238"/>
      <c r="CD301" s="238"/>
      <c r="CE301" s="238"/>
      <c r="CF301" s="238"/>
      <c r="CG301" s="238"/>
      <c r="CH301" s="238"/>
      <c r="CI301" s="238"/>
      <c r="CJ301" s="238"/>
      <c r="CK301" s="238"/>
      <c r="CL301" s="238"/>
      <c r="CM301" s="238"/>
      <c r="CN301" s="238"/>
      <c r="CO301" s="238"/>
      <c r="CP301" s="238"/>
      <c r="CQ301" s="238"/>
      <c r="CR301" s="238"/>
      <c r="CS301" s="238"/>
      <c r="CT301" s="238"/>
      <c r="CU301" s="238"/>
      <c r="CV301" s="238"/>
      <c r="CW301" s="465"/>
    </row>
    <row r="302" spans="2:101" ht="18" customHeight="1" x14ac:dyDescent="0.2">
      <c r="B302" s="11" t="str">
        <f>B175</f>
        <v>Estimates below are based on the quadratic model.</v>
      </c>
      <c r="C302"/>
      <c r="D302"/>
      <c r="E302"/>
      <c r="F302"/>
      <c r="K302" s="188" t="s">
        <v>399</v>
      </c>
      <c r="L302" s="227">
        <f>(L265-L267)-M268*SQRT(K296+M298)</f>
        <v>-1.7672686678347831</v>
      </c>
      <c r="M302" s="227">
        <f>(L265-L267)+M268*SQRT(K296+M298)</f>
        <v>0.53535439882893465</v>
      </c>
      <c r="N302" s="189" t="b">
        <f>(L302*M302)&lt;0</f>
        <v>1</v>
      </c>
      <c r="O302" s="185"/>
      <c r="P302" s="185"/>
      <c r="Q302" s="184"/>
      <c r="R302" s="184"/>
      <c r="S302" s="127"/>
      <c r="T302" s="127"/>
      <c r="U302" s="127"/>
      <c r="V302" s="127"/>
      <c r="W302" s="127"/>
      <c r="X302" s="127"/>
      <c r="Y302" s="127"/>
      <c r="Z302" s="127"/>
      <c r="AA302" s="127"/>
      <c r="AB302" s="476">
        <f t="shared" si="130"/>
        <v>0</v>
      </c>
      <c r="AC302" s="403">
        <f t="shared" si="130"/>
        <v>0</v>
      </c>
      <c r="AD302" s="403">
        <f t="shared" si="130"/>
        <v>0</v>
      </c>
      <c r="AE302" s="403">
        <f t="shared" si="130"/>
        <v>0</v>
      </c>
      <c r="AF302" s="403">
        <f t="shared" si="130"/>
        <v>-5161.994671257039</v>
      </c>
      <c r="AG302" s="403">
        <f t="shared" si="130"/>
        <v>1.861904581307454E+18</v>
      </c>
      <c r="AH302" s="403">
        <f t="shared" si="130"/>
        <v>-6.2063486043581734E+17</v>
      </c>
      <c r="AI302" s="477">
        <f t="shared" si="130"/>
        <v>4.5972952624875336E+16</v>
      </c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264">
        <f t="shared" ref="BE302:BN302" si="137">$BG$286*BE268</f>
        <v>0</v>
      </c>
      <c r="BF302" s="244">
        <f t="shared" si="137"/>
        <v>0</v>
      </c>
      <c r="BG302" s="244">
        <f t="shared" si="137"/>
        <v>0</v>
      </c>
      <c r="BH302" s="244">
        <f t="shared" si="137"/>
        <v>0</v>
      </c>
      <c r="BI302" s="244">
        <f t="shared" si="137"/>
        <v>0</v>
      </c>
      <c r="BJ302" s="244">
        <f t="shared" si="137"/>
        <v>-128.72198939097552</v>
      </c>
      <c r="BK302" s="244">
        <f t="shared" si="137"/>
        <v>8.0879167504708432E+16</v>
      </c>
      <c r="BL302" s="244">
        <f t="shared" si="137"/>
        <v>-1.35635333347472E+16</v>
      </c>
      <c r="BM302" s="244">
        <f t="shared" si="137"/>
        <v>-2468379907343011.5</v>
      </c>
      <c r="BN302" s="265">
        <f t="shared" si="137"/>
        <v>330770102884499.62</v>
      </c>
      <c r="BO302" s="238"/>
      <c r="BP302" s="238"/>
      <c r="BQ302" s="238"/>
      <c r="BR302" s="238"/>
      <c r="BS302" s="238"/>
      <c r="BT302" s="238"/>
      <c r="BU302" s="238"/>
      <c r="BV302" s="238"/>
      <c r="BW302" s="238"/>
      <c r="BX302" s="238"/>
      <c r="BY302" s="238"/>
      <c r="BZ302" s="238"/>
      <c r="CA302" s="238"/>
      <c r="CB302" s="238"/>
      <c r="CC302" s="238"/>
      <c r="CD302" s="238"/>
      <c r="CE302" s="238"/>
      <c r="CF302" s="238"/>
      <c r="CG302" s="238"/>
      <c r="CH302" s="238"/>
      <c r="CI302" s="238"/>
      <c r="CJ302" s="238"/>
      <c r="CK302" s="238"/>
      <c r="CL302" s="238"/>
      <c r="CM302" s="238"/>
      <c r="CN302" s="238"/>
      <c r="CO302" s="238"/>
      <c r="CP302" s="238"/>
      <c r="CQ302" s="238"/>
      <c r="CR302" s="238"/>
      <c r="CS302" s="238"/>
      <c r="CT302" s="238"/>
      <c r="CU302" s="238"/>
      <c r="CV302" s="238"/>
      <c r="CW302" s="465"/>
    </row>
    <row r="303" spans="2:101" ht="18" customHeight="1" thickBot="1" x14ac:dyDescent="0.25">
      <c r="B303" s="11" t="str">
        <f>B176</f>
        <v>Tab-Right to view estimates based on the other models.</v>
      </c>
      <c r="C303"/>
      <c r="D303"/>
      <c r="E303"/>
      <c r="F303"/>
      <c r="K303" s="190" t="s">
        <v>400</v>
      </c>
      <c r="L303" s="228">
        <f>(L266-L268)-M268*SQRT(L297+N299)</f>
        <v>-0.20716775309192367</v>
      </c>
      <c r="M303" s="228">
        <f>(L266-L268)+M268*SQRT(L297+N299)</f>
        <v>0.20647137882291985</v>
      </c>
      <c r="N303" s="191" t="b">
        <f>(L303*M303)&lt;0</f>
        <v>1</v>
      </c>
      <c r="O303" s="185"/>
      <c r="P303" s="185"/>
      <c r="Q303" s="184"/>
      <c r="R303" s="184"/>
      <c r="S303" s="150" t="s">
        <v>398</v>
      </c>
      <c r="T303" s="127"/>
      <c r="U303" s="127"/>
      <c r="V303" s="127"/>
      <c r="W303" s="127"/>
      <c r="X303" s="127"/>
      <c r="Y303" s="127"/>
      <c r="Z303" s="127"/>
      <c r="AA303" s="127"/>
      <c r="AB303" s="479">
        <f t="shared" si="130"/>
        <v>0</v>
      </c>
      <c r="AC303" s="480">
        <f t="shared" si="130"/>
        <v>0</v>
      </c>
      <c r="AD303" s="480">
        <f t="shared" si="130"/>
        <v>0</v>
      </c>
      <c r="AE303" s="480">
        <f t="shared" si="130"/>
        <v>0</v>
      </c>
      <c r="AF303" s="480">
        <f t="shared" si="130"/>
        <v>387.14960034427793</v>
      </c>
      <c r="AG303" s="480">
        <f t="shared" si="130"/>
        <v>-1.3791885787462622E+17</v>
      </c>
      <c r="AH303" s="480">
        <f t="shared" si="130"/>
        <v>4.597295262487536E+16</v>
      </c>
      <c r="AI303" s="481">
        <f t="shared" si="130"/>
        <v>-3405403898138913.5</v>
      </c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264">
        <f t="shared" ref="BE303:BN303" si="138">$BG$286*BE269</f>
        <v>0</v>
      </c>
      <c r="BF303" s="244">
        <f t="shared" si="138"/>
        <v>0</v>
      </c>
      <c r="BG303" s="244">
        <f t="shared" si="138"/>
        <v>0</v>
      </c>
      <c r="BH303" s="244">
        <f t="shared" si="138"/>
        <v>0</v>
      </c>
      <c r="BI303" s="244">
        <f t="shared" si="138"/>
        <v>0</v>
      </c>
      <c r="BJ303" s="244">
        <f t="shared" si="138"/>
        <v>22.935103652858878</v>
      </c>
      <c r="BK303" s="244">
        <f t="shared" si="138"/>
        <v>-2.03121196929633E+16</v>
      </c>
      <c r="BL303" s="244">
        <f t="shared" si="138"/>
        <v>3369965312696179.5</v>
      </c>
      <c r="BM303" s="244">
        <f t="shared" si="138"/>
        <v>632046597628964.75</v>
      </c>
      <c r="BN303" s="265">
        <f t="shared" si="138"/>
        <v>-83968919793207.734</v>
      </c>
      <c r="BO303" s="238"/>
      <c r="BP303" s="238"/>
      <c r="BQ303" s="238"/>
      <c r="BR303" s="238"/>
      <c r="BS303" s="238"/>
      <c r="BT303" s="238"/>
      <c r="BU303" s="238"/>
      <c r="BV303" s="238"/>
      <c r="BW303" s="238"/>
      <c r="BX303" s="238"/>
      <c r="BY303" s="238"/>
      <c r="BZ303" s="238"/>
      <c r="CA303" s="238"/>
      <c r="CB303" s="238"/>
      <c r="CC303" s="238"/>
      <c r="CD303" s="238"/>
      <c r="CE303" s="238"/>
      <c r="CF303" s="238"/>
      <c r="CG303" s="238"/>
      <c r="CH303" s="238"/>
      <c r="CI303" s="238"/>
      <c r="CJ303" s="238"/>
      <c r="CK303" s="238"/>
      <c r="CL303" s="238"/>
      <c r="CM303" s="238"/>
      <c r="CN303" s="238"/>
      <c r="CO303" s="238"/>
      <c r="CP303" s="238"/>
      <c r="CQ303" s="238"/>
      <c r="CR303" s="238"/>
      <c r="CS303" s="238"/>
      <c r="CT303" s="238"/>
      <c r="CU303" s="238"/>
      <c r="CV303" s="238"/>
      <c r="CW303" s="465"/>
    </row>
    <row r="304" spans="2:101" ht="18" customHeight="1" thickTop="1" x14ac:dyDescent="0.2">
      <c r="B304" s="53" t="s">
        <v>391</v>
      </c>
      <c r="C304" s="54"/>
      <c r="D304" s="54"/>
      <c r="E304" s="54"/>
      <c r="F304" s="55"/>
      <c r="G304"/>
      <c r="H304" s="53" t="s">
        <v>392</v>
      </c>
      <c r="I304" s="59"/>
      <c r="K304" s="185"/>
      <c r="L304" s="185"/>
      <c r="M304" s="185"/>
      <c r="N304" s="185"/>
      <c r="O304" s="185"/>
      <c r="P304" s="185"/>
      <c r="Q304" s="184"/>
      <c r="R304" s="184"/>
      <c r="S304" s="132" t="s">
        <v>401</v>
      </c>
      <c r="T304" s="133">
        <f>T269-T272</f>
        <v>-2.2978646616529375E-2</v>
      </c>
      <c r="U304" s="133">
        <f>T304-$U$273*SQRT(S296+V299)</f>
        <v>-6.1328445338000047E-2</v>
      </c>
      <c r="V304" s="133">
        <f>T304+$U$273*SQRT(S296+V299)</f>
        <v>1.5371152104941298E-2</v>
      </c>
      <c r="W304" s="134" t="b">
        <f>(U304*V304)&lt;0</f>
        <v>1</v>
      </c>
      <c r="X304" s="127"/>
      <c r="Y304" s="127"/>
      <c r="Z304" s="127"/>
      <c r="AA304" s="127"/>
      <c r="AB304" s="492" t="s">
        <v>398</v>
      </c>
      <c r="AC304" s="469"/>
      <c r="AD304" s="469"/>
      <c r="AE304" s="469"/>
      <c r="AF304" s="469"/>
      <c r="AG304" s="469"/>
      <c r="AH304" s="469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264">
        <f t="shared" ref="BE304:BN304" si="139">$BG$286*BE270</f>
        <v>0</v>
      </c>
      <c r="BF304" s="244">
        <f t="shared" si="139"/>
        <v>0</v>
      </c>
      <c r="BG304" s="244">
        <f t="shared" si="139"/>
        <v>0</v>
      </c>
      <c r="BH304" s="244">
        <f t="shared" si="139"/>
        <v>0</v>
      </c>
      <c r="BI304" s="244">
        <f t="shared" si="139"/>
        <v>0</v>
      </c>
      <c r="BJ304" s="244">
        <f t="shared" si="139"/>
        <v>0.20477771118623994</v>
      </c>
      <c r="BK304" s="244">
        <f t="shared" si="139"/>
        <v>-218851121270984.97</v>
      </c>
      <c r="BL304" s="244">
        <f t="shared" si="139"/>
        <v>48835430869550.797</v>
      </c>
      <c r="BM304" s="244">
        <f t="shared" si="139"/>
        <v>2634582906407.6777</v>
      </c>
      <c r="BN304" s="265">
        <f t="shared" si="139"/>
        <v>-595430688578.86658</v>
      </c>
      <c r="BO304" s="238"/>
      <c r="BP304" s="238"/>
      <c r="BQ304" s="238"/>
      <c r="BR304" s="238"/>
      <c r="BS304" s="238"/>
      <c r="BT304" s="238"/>
      <c r="BU304" s="238"/>
      <c r="BV304" s="238"/>
      <c r="BW304" s="238"/>
      <c r="BX304" s="238"/>
      <c r="BY304" s="238"/>
      <c r="BZ304" s="238"/>
      <c r="CA304" s="238"/>
      <c r="CB304" s="238"/>
      <c r="CC304" s="238"/>
      <c r="CD304" s="238"/>
      <c r="CE304" s="238"/>
      <c r="CF304" s="238"/>
      <c r="CG304" s="238"/>
      <c r="CH304" s="238"/>
      <c r="CI304" s="238"/>
      <c r="CJ304" s="238"/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  <c r="CV304" s="238"/>
      <c r="CW304" s="465"/>
    </row>
    <row r="305" spans="2:101" ht="18" customHeight="1" thickBot="1" x14ac:dyDescent="0.25">
      <c r="B305" s="56" t="s">
        <v>393</v>
      </c>
      <c r="C305" s="57"/>
      <c r="D305" s="57"/>
      <c r="E305" s="57"/>
      <c r="F305" s="58"/>
      <c r="G305"/>
      <c r="H305" s="79" t="s">
        <v>394</v>
      </c>
      <c r="I305" s="80" t="s">
        <v>335</v>
      </c>
      <c r="K305" s="188" t="str">
        <f>IF(N302+N303=2,"Coefficients are not significantly different.",IF(N302+N303=1,"One coefficient is significantly different, indicating a calibration drift.","Both coefficients are significantly different, indicating calibration."))</f>
        <v>Coefficients are not significantly different.</v>
      </c>
      <c r="L305" s="224"/>
      <c r="M305" s="224"/>
      <c r="N305" s="224"/>
      <c r="O305" s="224"/>
      <c r="P305" s="224"/>
      <c r="Q305" s="189"/>
      <c r="R305" s="184"/>
      <c r="S305" s="137" t="s">
        <v>402</v>
      </c>
      <c r="T305" s="138">
        <f>T270-T273</f>
        <v>8.494884597112673E-3</v>
      </c>
      <c r="U305" s="138">
        <f>T305-$U$273*SQRT(T297+W300)</f>
        <v>-1.2196873802616914E-2</v>
      </c>
      <c r="V305" s="138">
        <f>T305+$U$273*SQRT(T297+W300)</f>
        <v>2.918664299684226E-2</v>
      </c>
      <c r="W305" s="140" t="b">
        <f>(U305*V305)&lt;0</f>
        <v>1</v>
      </c>
      <c r="X305" s="127"/>
      <c r="Y305" s="126"/>
      <c r="Z305" s="126"/>
      <c r="AA305" s="126"/>
      <c r="AB305" s="483" t="s">
        <v>403</v>
      </c>
      <c r="AC305" s="473">
        <f>AC270-AC274</f>
        <v>-2.4228981544410999E-2</v>
      </c>
      <c r="AD305" s="527">
        <f>AC305-$AD$274*SQRT(AB296+AF300)</f>
        <v>-169.41743147284708</v>
      </c>
      <c r="AE305" s="527">
        <f>AC305+$AD$274*SQRT(AB296+AF300)</f>
        <v>169.36897350975826</v>
      </c>
      <c r="AF305" s="474" t="b">
        <f>(AD305*AE305)&lt;0</f>
        <v>1</v>
      </c>
      <c r="AG305" s="469"/>
      <c r="AH305" s="469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273">
        <f t="shared" ref="BE305:BN305" si="140">$BG$286*BE271</f>
        <v>0</v>
      </c>
      <c r="BF305" s="274">
        <f t="shared" si="140"/>
        <v>0</v>
      </c>
      <c r="BG305" s="274">
        <f t="shared" si="140"/>
        <v>0</v>
      </c>
      <c r="BH305" s="274">
        <f t="shared" si="140"/>
        <v>0</v>
      </c>
      <c r="BI305" s="274">
        <f t="shared" si="140"/>
        <v>0</v>
      </c>
      <c r="BJ305" s="274">
        <f t="shared" si="140"/>
        <v>-0.15358328338967997</v>
      </c>
      <c r="BK305" s="274">
        <f t="shared" si="140"/>
        <v>164138340953238.72</v>
      </c>
      <c r="BL305" s="274">
        <f t="shared" si="140"/>
        <v>-28424999149454.078</v>
      </c>
      <c r="BM305" s="274">
        <f t="shared" si="140"/>
        <v>-4709795180708.7715</v>
      </c>
      <c r="BN305" s="275">
        <f t="shared" si="140"/>
        <v>649081016501.04004</v>
      </c>
      <c r="BO305" s="238"/>
      <c r="BP305" s="238"/>
      <c r="BQ305" s="238"/>
      <c r="BR305" s="238"/>
      <c r="BS305" s="238"/>
      <c r="BT305" s="238"/>
      <c r="BU305" s="238"/>
      <c r="BV305" s="238"/>
      <c r="BW305" s="238"/>
      <c r="BX305" s="238"/>
      <c r="BY305" s="238"/>
      <c r="BZ305" s="238"/>
      <c r="CA305" s="238"/>
      <c r="CB305" s="238"/>
      <c r="CC305" s="238"/>
      <c r="CD305" s="238"/>
      <c r="CE305" s="238"/>
      <c r="CF305" s="238"/>
      <c r="CG305" s="238"/>
      <c r="CH305" s="238"/>
      <c r="CI305" s="238"/>
      <c r="CJ305" s="238"/>
      <c r="CK305" s="238"/>
      <c r="CL305" s="238"/>
      <c r="CM305" s="238"/>
      <c r="CN305" s="238"/>
      <c r="CO305" s="238"/>
      <c r="CP305" s="238"/>
      <c r="CQ305" s="238"/>
      <c r="CR305" s="238"/>
      <c r="CS305" s="238"/>
      <c r="CT305" s="238"/>
      <c r="CU305" s="238"/>
      <c r="CV305" s="238"/>
      <c r="CW305" s="465"/>
    </row>
    <row r="306" spans="2:101" ht="18" customHeight="1" thickTop="1" thickBot="1" x14ac:dyDescent="0.25">
      <c r="B306" s="48" t="s">
        <v>270</v>
      </c>
      <c r="C306" s="49" t="s">
        <v>318</v>
      </c>
      <c r="D306" s="52" t="s">
        <v>395</v>
      </c>
      <c r="E306" s="52" t="s">
        <v>396</v>
      </c>
      <c r="F306" s="420" t="s">
        <v>397</v>
      </c>
      <c r="G306"/>
      <c r="H306" s="63" t="s">
        <v>318</v>
      </c>
      <c r="I306" s="60" t="s">
        <v>270</v>
      </c>
      <c r="K306" s="190" t="str">
        <f>IF(N303+N302=2,"Consider including the new data as part of original calibration (Step 1).","Estimated concentration includes correction for calibration drift.")</f>
        <v>Consider including the new data as part of original calibration (Step 1).</v>
      </c>
      <c r="L306" s="216"/>
      <c r="M306" s="216"/>
      <c r="N306" s="216"/>
      <c r="O306" s="216"/>
      <c r="P306" s="216"/>
      <c r="Q306" s="191"/>
      <c r="R306" s="184"/>
      <c r="S306" s="141" t="s">
        <v>404</v>
      </c>
      <c r="T306" s="142">
        <f>T271-T274</f>
        <v>-9.8256352573500294E-4</v>
      </c>
      <c r="U306" s="142">
        <f>T306-$U$273*SQRT(U298+X301)</f>
        <v>-3.1964196932530325E-3</v>
      </c>
      <c r="V306" s="142">
        <f>T306+$U$273*SQRT(U298+X301)</f>
        <v>1.2312926417830266E-3</v>
      </c>
      <c r="W306" s="143" t="b">
        <f>(U306*V306)&lt;0</f>
        <v>1</v>
      </c>
      <c r="X306" s="127"/>
      <c r="Y306" s="126"/>
      <c r="Z306" s="126"/>
      <c r="AA306" s="126"/>
      <c r="AB306" s="528" t="s">
        <v>405</v>
      </c>
      <c r="AC306" s="403">
        <f>AC271-AC275</f>
        <v>-126.99697611184843</v>
      </c>
      <c r="AD306" s="505" t="e">
        <f>AC306-$AD$274*SQRT(AC297+AG301)</f>
        <v>#NUM!</v>
      </c>
      <c r="AE306" s="505" t="e">
        <f>AC306+$AD$274*SQRT(AC297+AG301)</f>
        <v>#NUM!</v>
      </c>
      <c r="AF306" s="477" t="e">
        <f>(AD306*AE306)&lt;0</f>
        <v>#NUM!</v>
      </c>
      <c r="AG306" s="469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238"/>
      <c r="BF306" s="238"/>
      <c r="BG306" s="238"/>
      <c r="BH306" s="238"/>
      <c r="BI306" s="238"/>
      <c r="BJ306" s="238"/>
      <c r="BK306" s="238"/>
      <c r="BL306" s="238"/>
      <c r="BM306" s="238"/>
      <c r="BN306" s="238"/>
      <c r="BO306" s="238"/>
      <c r="BP306" s="238"/>
      <c r="BQ306" s="238"/>
      <c r="BR306" s="238"/>
      <c r="BS306" s="238"/>
      <c r="BT306" s="238"/>
      <c r="BU306" s="238"/>
      <c r="BV306" s="238"/>
      <c r="BW306" s="238"/>
      <c r="BX306" s="238"/>
      <c r="BY306" s="238"/>
      <c r="BZ306" s="238"/>
      <c r="CA306" s="238"/>
      <c r="CB306" s="238"/>
      <c r="CC306" s="238"/>
      <c r="CD306" s="238"/>
      <c r="CE306" s="238"/>
      <c r="CF306" s="238"/>
      <c r="CG306" s="238"/>
      <c r="CH306" s="238"/>
      <c r="CI306" s="238"/>
      <c r="CJ306" s="238"/>
      <c r="CK306" s="238"/>
      <c r="CL306" s="238"/>
      <c r="CM306" s="238"/>
      <c r="CN306" s="238"/>
      <c r="CO306" s="238"/>
      <c r="CP306" s="238"/>
      <c r="CQ306" s="238"/>
      <c r="CR306" s="238"/>
      <c r="CS306" s="238"/>
      <c r="CT306" s="238"/>
      <c r="CU306" s="238"/>
      <c r="CV306" s="238"/>
      <c r="CW306" s="465"/>
    </row>
    <row r="307" spans="2:101" ht="18" customHeight="1" thickTop="1" x14ac:dyDescent="0.2">
      <c r="B307" s="61">
        <v>0</v>
      </c>
      <c r="C307" s="610">
        <v>0.21840000000000001</v>
      </c>
      <c r="D307" s="677">
        <f t="shared" ref="D307:D326" si="141">IF(B307="","",B307^2)</f>
        <v>0</v>
      </c>
      <c r="E307" s="677">
        <f>IF(B307="","",B307^3)</f>
        <v>0</v>
      </c>
      <c r="F307" s="677">
        <f>IF(B307="","",B307^4)</f>
        <v>0</v>
      </c>
      <c r="G307"/>
      <c r="H307" s="612">
        <v>4.01</v>
      </c>
      <c r="I307" s="647">
        <f t="shared" ref="I307:I318" si="142">IF(p="Q",Z265,P265)</f>
        <v>2.9400470973725992</v>
      </c>
      <c r="K307" s="184"/>
      <c r="L307" s="184"/>
      <c r="M307" s="184"/>
      <c r="N307" s="184"/>
      <c r="O307" s="184"/>
      <c r="P307" s="184"/>
      <c r="Q307" s="184"/>
      <c r="R307" s="184"/>
      <c r="S307" s="127"/>
      <c r="T307" s="127"/>
      <c r="U307" s="127"/>
      <c r="V307" s="127"/>
      <c r="W307" s="127"/>
      <c r="X307" s="127"/>
      <c r="Y307" s="126"/>
      <c r="Z307" s="126"/>
      <c r="AA307" s="126"/>
      <c r="AB307" s="528" t="s">
        <v>406</v>
      </c>
      <c r="AC307" s="403">
        <f>AC272-AC276</f>
        <v>32.099383513596848</v>
      </c>
      <c r="AD307" s="505" t="e">
        <f>AC307-$AD$274*SQRT(AD298+AH302)</f>
        <v>#NUM!</v>
      </c>
      <c r="AE307" s="505" t="e">
        <f>AC307+$AD$274*SQRT(AD298+AH302)</f>
        <v>#NUM!</v>
      </c>
      <c r="AF307" s="477" t="e">
        <f>(AD307*AE307)&lt;0</f>
        <v>#NUM!</v>
      </c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255" t="s">
        <v>398</v>
      </c>
      <c r="BF307" s="239"/>
      <c r="BG307" s="239"/>
      <c r="BH307" s="239"/>
      <c r="BI307" s="239"/>
      <c r="BJ307" s="239"/>
      <c r="BK307" s="239"/>
      <c r="BL307" s="238"/>
      <c r="BM307" s="238"/>
      <c r="BN307" s="238"/>
      <c r="BO307" s="238"/>
      <c r="BP307" s="238"/>
      <c r="BQ307" s="238"/>
      <c r="BR307" s="238"/>
      <c r="BS307" s="238"/>
      <c r="BT307" s="238"/>
      <c r="BU307" s="238"/>
      <c r="BV307" s="238"/>
      <c r="BW307" s="238"/>
      <c r="BX307" s="238"/>
      <c r="BY307" s="238"/>
      <c r="BZ307" s="238"/>
      <c r="CA307" s="238"/>
      <c r="CB307" s="238"/>
      <c r="CC307" s="238"/>
      <c r="CD307" s="238"/>
      <c r="CE307" s="238"/>
      <c r="CF307" s="238"/>
      <c r="CG307" s="238"/>
      <c r="CH307" s="238"/>
      <c r="CI307" s="238"/>
      <c r="CJ307" s="238"/>
      <c r="CK307" s="238"/>
      <c r="CL307" s="238"/>
      <c r="CM307" s="238"/>
      <c r="CN307" s="238"/>
      <c r="CO307" s="238"/>
      <c r="CP307" s="238"/>
      <c r="CQ307" s="238"/>
      <c r="CR307" s="238"/>
      <c r="CS307" s="238"/>
      <c r="CT307" s="238"/>
      <c r="CU307" s="238"/>
      <c r="CV307" s="238"/>
      <c r="CW307" s="465"/>
    </row>
    <row r="308" spans="2:101" ht="18" customHeight="1" x14ac:dyDescent="0.2">
      <c r="B308" s="61">
        <v>0</v>
      </c>
      <c r="C308" s="610">
        <v>0.21940000000000001</v>
      </c>
      <c r="D308" s="677">
        <f t="shared" si="141"/>
        <v>0</v>
      </c>
      <c r="E308" s="677">
        <f t="shared" ref="E308:E326" si="143">IF(B308="","",B308^3)</f>
        <v>0</v>
      </c>
      <c r="F308" s="677">
        <f t="shared" ref="F308:F326" si="144">IF(B308="","",B308^4)</f>
        <v>0</v>
      </c>
      <c r="G308"/>
      <c r="H308" s="612">
        <v>4</v>
      </c>
      <c r="I308" s="644">
        <f t="shared" si="142"/>
        <v>2.9337394028365988</v>
      </c>
      <c r="K308" s="184" t="s">
        <v>407</v>
      </c>
      <c r="L308" s="184"/>
      <c r="M308" s="185" t="s">
        <v>408</v>
      </c>
      <c r="N308" s="184"/>
      <c r="O308" s="184"/>
      <c r="P308" s="184"/>
      <c r="Q308" s="184"/>
      <c r="R308" s="184"/>
      <c r="S308" s="132" t="str">
        <f>IF(W304+W305+W306=3,"Coefficients are not significantly different.",IF(W304+W305+W306=1,"Two coefficients are significantly different, indicating calibration drift.",IF(W2337+W304+W306=2,"One coefficient is significantly different, indicating calibration drift.","All three coefficients are significantly different, indicating calibration drift.")))</f>
        <v>Coefficients are not significantly different.</v>
      </c>
      <c r="T308" s="133"/>
      <c r="U308" s="133"/>
      <c r="V308" s="133"/>
      <c r="W308" s="133"/>
      <c r="X308" s="133"/>
      <c r="Y308" s="134"/>
      <c r="Z308" s="126"/>
      <c r="AA308" s="126"/>
      <c r="AB308" s="529" t="s">
        <v>409</v>
      </c>
      <c r="AC308" s="480">
        <f>AC273-AC277</f>
        <v>2.0000408606185651</v>
      </c>
      <c r="AD308" s="530" t="e">
        <f>AC308-$AD$274*SQRT(AE299+AI303)</f>
        <v>#NUM!</v>
      </c>
      <c r="AE308" s="530" t="e">
        <f>AC308+$AD$274*SQRT(AE299+AI303)</f>
        <v>#NUM!</v>
      </c>
      <c r="AF308" s="481" t="e">
        <f>(AD308*AE308)&lt;0</f>
        <v>#NUM!</v>
      </c>
      <c r="AG308" s="469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290" t="s">
        <v>410</v>
      </c>
      <c r="BF308" s="288">
        <f>BF274-BF279</f>
        <v>1.164343664740386E-3</v>
      </c>
      <c r="BG308" s="291">
        <f>BF308-$BG$278*SQRT(BE296+BJ301)</f>
        <v>-45.384631175361108</v>
      </c>
      <c r="BH308" s="291">
        <f>2*BF308-BG308</f>
        <v>45.386959862690588</v>
      </c>
      <c r="BI308" s="260" t="b">
        <f>(BG308*BH308)&lt;0</f>
        <v>1</v>
      </c>
      <c r="BJ308" s="239"/>
      <c r="BK308" s="239"/>
      <c r="BL308" s="238"/>
      <c r="BM308" s="238"/>
      <c r="BN308" s="238"/>
      <c r="BO308" s="238"/>
      <c r="BP308" s="238"/>
      <c r="BQ308" s="238"/>
      <c r="BR308" s="238"/>
      <c r="BS308" s="238"/>
      <c r="BT308" s="238"/>
      <c r="BU308" s="238"/>
      <c r="BV308" s="238"/>
      <c r="BW308" s="238"/>
      <c r="BX308" s="238"/>
      <c r="BY308" s="238"/>
      <c r="BZ308" s="238"/>
      <c r="CA308" s="238"/>
      <c r="CB308" s="238"/>
      <c r="CC308" s="238"/>
      <c r="CD308" s="238"/>
      <c r="CE308" s="238"/>
      <c r="CF308" s="238"/>
      <c r="CG308" s="238"/>
      <c r="CH308" s="238"/>
      <c r="CI308" s="238"/>
      <c r="CJ308" s="238"/>
      <c r="CK308" s="238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  <c r="CV308" s="238"/>
      <c r="CW308" s="465"/>
    </row>
    <row r="309" spans="2:101" ht="18" customHeight="1" x14ac:dyDescent="0.2">
      <c r="B309" s="61">
        <v>0</v>
      </c>
      <c r="C309" s="610">
        <v>0.22040000000000001</v>
      </c>
      <c r="D309" s="677">
        <f t="shared" si="141"/>
        <v>0</v>
      </c>
      <c r="E309" s="677">
        <f t="shared" si="143"/>
        <v>0</v>
      </c>
      <c r="F309" s="677">
        <f t="shared" si="144"/>
        <v>0</v>
      </c>
      <c r="G309"/>
      <c r="H309" s="612">
        <v>3.99</v>
      </c>
      <c r="I309" s="644">
        <f t="shared" si="142"/>
        <v>2.9274266368421467</v>
      </c>
      <c r="J309" s="578"/>
      <c r="K309" s="198">
        <f>AVERAGE(H307:H316)</f>
        <v>4</v>
      </c>
      <c r="L309" s="229"/>
      <c r="M309" s="230">
        <f>K309-$M$268*(SQRT(K312+M271/P275))</f>
        <v>2.8583282188674399</v>
      </c>
      <c r="N309" s="231">
        <f>K309+$M$268*(SQRT(K312+M271/P275))</f>
        <v>5.1416717811325601</v>
      </c>
      <c r="O309" s="184"/>
      <c r="P309" s="184"/>
      <c r="Q309" s="184"/>
      <c r="R309" s="184"/>
      <c r="S309" s="141" t="str">
        <f>IF(W304+W305+W306=3,"Consider including the new data as part of original calibration (Step 1).","Estimated concentration includes correction for calibration drift.")</f>
        <v>Consider including the new data as part of original calibration (Step 1).</v>
      </c>
      <c r="T309" s="142"/>
      <c r="U309" s="142"/>
      <c r="V309" s="142"/>
      <c r="W309" s="142"/>
      <c r="X309" s="142"/>
      <c r="Y309" s="143"/>
      <c r="Z309" s="126"/>
      <c r="AA309" s="126"/>
      <c r="AB309" s="469"/>
      <c r="AC309" s="469"/>
      <c r="AD309" s="469"/>
      <c r="AE309" s="469"/>
      <c r="AF309" s="469"/>
      <c r="AG309" s="469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292" t="s">
        <v>411</v>
      </c>
      <c r="BF309" s="244">
        <f>BF275-BF280</f>
        <v>-15.071537885381986</v>
      </c>
      <c r="BG309" s="270">
        <f>BF309-$BG$278*SQRT(BF297+BK302)</f>
        <v>-568785273.33588278</v>
      </c>
      <c r="BH309" s="270">
        <f>2*BF309-BG309</f>
        <v>568785243.19280696</v>
      </c>
      <c r="BI309" s="265" t="b">
        <f>(BG309*BH309)&lt;0</f>
        <v>1</v>
      </c>
      <c r="BJ309" s="239"/>
      <c r="BK309" s="238"/>
      <c r="BL309" s="238"/>
      <c r="BM309" s="238"/>
      <c r="BN309" s="238"/>
      <c r="BO309" s="238"/>
      <c r="BP309" s="238"/>
      <c r="BQ309" s="238"/>
      <c r="BR309" s="238"/>
      <c r="BS309" s="238"/>
      <c r="BT309" s="238"/>
      <c r="BU309" s="238"/>
      <c r="BV309" s="238"/>
      <c r="BW309" s="238"/>
      <c r="BX309" s="238"/>
      <c r="BY309" s="238"/>
      <c r="BZ309" s="238"/>
      <c r="CA309" s="238"/>
      <c r="CB309" s="238"/>
      <c r="CC309" s="238"/>
      <c r="CD309" s="238"/>
      <c r="CE309" s="238"/>
      <c r="CF309" s="238"/>
      <c r="CG309" s="238"/>
      <c r="CH309" s="238"/>
      <c r="CI309" s="238"/>
      <c r="CJ309" s="238"/>
      <c r="CK309" s="238"/>
      <c r="CL309" s="238"/>
      <c r="CM309" s="238"/>
      <c r="CN309" s="238"/>
      <c r="CO309" s="238"/>
      <c r="CP309" s="238"/>
      <c r="CQ309" s="238"/>
      <c r="CR309" s="238"/>
      <c r="CS309" s="238"/>
      <c r="CT309" s="238"/>
      <c r="CU309" s="238"/>
      <c r="CV309" s="238"/>
      <c r="CW309" s="465"/>
    </row>
    <row r="310" spans="2:101" ht="18" customHeight="1" x14ac:dyDescent="0.2">
      <c r="B310" s="61">
        <v>4.5</v>
      </c>
      <c r="C310" s="610">
        <v>6.6929999999999996</v>
      </c>
      <c r="D310" s="677">
        <f t="shared" si="141"/>
        <v>20.25</v>
      </c>
      <c r="E310" s="677">
        <f t="shared" si="143"/>
        <v>91.125</v>
      </c>
      <c r="F310" s="677">
        <f t="shared" si="144"/>
        <v>410.0625</v>
      </c>
      <c r="G310"/>
      <c r="H310" s="40"/>
      <c r="I310" s="644" t="str">
        <f t="shared" si="142"/>
        <v/>
      </c>
      <c r="J310" s="579"/>
      <c r="K310" s="184"/>
      <c r="L310" s="184"/>
      <c r="M310" s="184"/>
      <c r="N310" s="184"/>
      <c r="O310" s="184"/>
      <c r="P310" s="184"/>
      <c r="Q310" s="184"/>
      <c r="R310" s="184"/>
      <c r="S310" s="127"/>
      <c r="T310" s="126"/>
      <c r="U310" s="126"/>
      <c r="V310" s="126"/>
      <c r="W310" s="126"/>
      <c r="X310" s="126"/>
      <c r="Y310" s="126"/>
      <c r="Z310" s="126"/>
      <c r="AA310" s="126"/>
      <c r="AB310" s="472" t="e">
        <f>IF(AF305+AF306+AF308=3,"Coefficients are not significantly different.",IF(AF305+AF306+AF308=1,"Two coefficients are significantly different, indicating calibration drift.",IF(AF2337+AF305+AF308=2,"One coefficient is significantly different, indicating calibration drift.","All three coefficients are significantly different, indicating calibration drift.")))</f>
        <v>#NUM!</v>
      </c>
      <c r="AC310" s="473"/>
      <c r="AD310" s="473"/>
      <c r="AE310" s="473"/>
      <c r="AF310" s="473"/>
      <c r="AG310" s="473"/>
      <c r="AH310" s="474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292" t="s">
        <v>412</v>
      </c>
      <c r="BF310" s="244">
        <f>BF276-BF281</f>
        <v>4.1390363803600394</v>
      </c>
      <c r="BG310" s="270">
        <f>BF310-$BG$278*SQRT(BG298+BL303)</f>
        <v>-116102800.52469926</v>
      </c>
      <c r="BH310" s="270">
        <f>2*BF310-BG310</f>
        <v>116102808.80277202</v>
      </c>
      <c r="BI310" s="265" t="b">
        <f>(BG310*BH310)&lt;0</f>
        <v>1</v>
      </c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8"/>
      <c r="BW310" s="238"/>
      <c r="BX310" s="238"/>
      <c r="BY310" s="238"/>
      <c r="BZ310" s="238"/>
      <c r="CA310" s="238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8"/>
      <c r="CL310" s="238"/>
      <c r="CM310" s="238"/>
      <c r="CN310" s="238"/>
      <c r="CO310" s="238"/>
      <c r="CP310" s="238"/>
      <c r="CQ310" s="238"/>
      <c r="CR310" s="238"/>
      <c r="CS310" s="238"/>
      <c r="CT310" s="238"/>
      <c r="CU310" s="238"/>
      <c r="CV310" s="238"/>
      <c r="CW310" s="465"/>
    </row>
    <row r="311" spans="2:101" ht="18" customHeight="1" x14ac:dyDescent="0.2">
      <c r="B311" s="61">
        <v>4.5</v>
      </c>
      <c r="C311" s="610">
        <v>6.7229999999999999</v>
      </c>
      <c r="D311" s="677">
        <f t="shared" si="141"/>
        <v>20.25</v>
      </c>
      <c r="E311" s="677">
        <f t="shared" si="143"/>
        <v>91.125</v>
      </c>
      <c r="F311" s="677">
        <f t="shared" si="144"/>
        <v>410.0625</v>
      </c>
      <c r="G311"/>
      <c r="H311" s="40"/>
      <c r="I311" s="644" t="str">
        <f t="shared" si="142"/>
        <v/>
      </c>
      <c r="J311" s="579"/>
      <c r="K311" s="194" t="s">
        <v>413</v>
      </c>
      <c r="L311" s="184"/>
      <c r="M311" s="184"/>
      <c r="N311" s="185" t="s">
        <v>414</v>
      </c>
      <c r="O311" s="184"/>
      <c r="P311" s="184"/>
      <c r="Q311" s="184"/>
      <c r="R311" s="184"/>
      <c r="S311" s="127" t="s">
        <v>407</v>
      </c>
      <c r="T311" s="126"/>
      <c r="U311" s="127" t="s">
        <v>408</v>
      </c>
      <c r="V311" s="126"/>
      <c r="W311" s="126"/>
      <c r="X311" s="126"/>
      <c r="Y311" s="126"/>
      <c r="Z311" s="126"/>
      <c r="AA311" s="126"/>
      <c r="AB311" s="479" t="e">
        <f>IF(AF305+AF306+AF308=3,"Consider including the new data as part of original calibration (Step 1).","Estimated concentration includes correction for calibration drift.")</f>
        <v>#NUM!</v>
      </c>
      <c r="AC311" s="480"/>
      <c r="AD311" s="480"/>
      <c r="AE311" s="480"/>
      <c r="AF311" s="480"/>
      <c r="AG311" s="480"/>
      <c r="AH311" s="481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292" t="s">
        <v>415</v>
      </c>
      <c r="BF311" s="244">
        <f>BF277-BF282</f>
        <v>0.49307014389427195</v>
      </c>
      <c r="BG311" s="270">
        <f>BF311-$BG$278*SQRT(BH299+BM304)</f>
        <v>-3246279.1661173799</v>
      </c>
      <c r="BH311" s="270">
        <f>2*BF311-BG311</f>
        <v>3246280.1522576679</v>
      </c>
      <c r="BI311" s="265" t="b">
        <f>(BG311*BH311)&lt;0</f>
        <v>1</v>
      </c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  <c r="CN311" s="238"/>
      <c r="CO311" s="238"/>
      <c r="CP311" s="238"/>
      <c r="CQ311" s="238"/>
      <c r="CR311" s="238"/>
      <c r="CS311" s="238"/>
      <c r="CT311" s="238"/>
      <c r="CU311" s="238"/>
      <c r="CV311" s="238"/>
      <c r="CW311" s="465"/>
    </row>
    <row r="312" spans="2:101" ht="18" customHeight="1" x14ac:dyDescent="0.2">
      <c r="B312" s="61">
        <v>4.5</v>
      </c>
      <c r="C312" s="610">
        <v>6.7729999999999997</v>
      </c>
      <c r="D312" s="677">
        <f t="shared" si="141"/>
        <v>20.25</v>
      </c>
      <c r="E312" s="677">
        <f t="shared" si="143"/>
        <v>91.125</v>
      </c>
      <c r="F312" s="677">
        <f t="shared" si="144"/>
        <v>410.0625</v>
      </c>
      <c r="G312"/>
      <c r="H312" s="40"/>
      <c r="I312" s="644" t="str">
        <f t="shared" si="142"/>
        <v/>
      </c>
      <c r="J312" s="575"/>
      <c r="K312" s="193">
        <f>M298+I318*(M299+N298)+I318^2*N299</f>
        <v>9.2083378603930774E-2</v>
      </c>
      <c r="L312" s="184"/>
      <c r="M312" s="184"/>
      <c r="N312" s="193">
        <f>K312/(M271/P275)</f>
        <v>0.39390548785744844</v>
      </c>
      <c r="O312" s="184"/>
      <c r="P312" s="184"/>
      <c r="Q312" s="184"/>
      <c r="R312" s="184"/>
      <c r="S312" s="178">
        <f>AVERAGE(H307:H316)</f>
        <v>4</v>
      </c>
      <c r="T312" s="147"/>
      <c r="U312" s="179">
        <f>S312-$U$273*SQRT(S315+U277/Z275)</f>
        <v>3.9645969479174012</v>
      </c>
      <c r="V312" s="180">
        <f>S312+$U$273*SQRT(S315+U277/Z275)</f>
        <v>4.0354030520825992</v>
      </c>
      <c r="W312" s="126"/>
      <c r="X312" s="126"/>
      <c r="Y312" s="126"/>
      <c r="Z312" s="126"/>
      <c r="AA312" s="126"/>
      <c r="AB312" s="469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293" t="s">
        <v>416</v>
      </c>
      <c r="BF312" s="274">
        <f>BF278-BF283</f>
        <v>-6.2112737959759912E-2</v>
      </c>
      <c r="BG312" s="294">
        <f>BF312-$BG$278*SQRT(BI300+BN305)</f>
        <v>-1611311.3498545673</v>
      </c>
      <c r="BH312" s="294">
        <f>2*BF312-BG312</f>
        <v>1611311.2256290915</v>
      </c>
      <c r="BI312" s="275" t="b">
        <f>(BG312*BH312)&lt;0</f>
        <v>1</v>
      </c>
      <c r="BJ312" s="239"/>
      <c r="BK312" s="238"/>
      <c r="BL312" s="238"/>
      <c r="BM312" s="238"/>
      <c r="BN312" s="238"/>
      <c r="BO312" s="238"/>
      <c r="BP312" s="238"/>
      <c r="BQ312" s="238"/>
      <c r="BR312" s="238"/>
      <c r="BS312" s="238"/>
      <c r="BT312" s="238"/>
      <c r="BU312" s="238"/>
      <c r="BV312" s="238"/>
      <c r="BW312" s="238"/>
      <c r="BX312" s="238"/>
      <c r="BY312" s="238"/>
      <c r="BZ312" s="238"/>
      <c r="CA312" s="238"/>
      <c r="CB312" s="238"/>
      <c r="CC312" s="238"/>
      <c r="CD312" s="238"/>
      <c r="CE312" s="238"/>
      <c r="CF312" s="238"/>
      <c r="CG312" s="238"/>
      <c r="CH312" s="238"/>
      <c r="CI312" s="238"/>
      <c r="CJ312" s="238"/>
      <c r="CK312" s="238"/>
      <c r="CL312" s="238"/>
      <c r="CM312" s="238"/>
      <c r="CN312" s="238"/>
      <c r="CO312" s="238"/>
      <c r="CP312" s="238"/>
      <c r="CQ312" s="238"/>
      <c r="CR312" s="238"/>
      <c r="CS312" s="238"/>
      <c r="CT312" s="238"/>
      <c r="CU312" s="238"/>
      <c r="CV312" s="238"/>
      <c r="CW312" s="465"/>
    </row>
    <row r="313" spans="2:101" ht="18" customHeight="1" x14ac:dyDescent="0.2">
      <c r="B313" s="61">
        <v>9</v>
      </c>
      <c r="C313" s="610">
        <v>17.3171</v>
      </c>
      <c r="D313" s="677">
        <f t="shared" si="141"/>
        <v>81</v>
      </c>
      <c r="E313" s="677">
        <f t="shared" si="143"/>
        <v>729</v>
      </c>
      <c r="F313" s="677">
        <f t="shared" si="144"/>
        <v>6561</v>
      </c>
      <c r="G313"/>
      <c r="H313" s="40"/>
      <c r="I313" s="644" t="str">
        <f t="shared" si="142"/>
        <v/>
      </c>
      <c r="J313" s="575"/>
      <c r="K313" s="184"/>
      <c r="L313" s="184"/>
      <c r="M313" s="184"/>
      <c r="N313" s="184"/>
      <c r="O313" s="184"/>
      <c r="P313" s="184"/>
      <c r="Q313" s="184"/>
      <c r="R313" s="184"/>
      <c r="S313" s="127"/>
      <c r="T313" s="126"/>
      <c r="U313" s="126"/>
      <c r="V313" s="126"/>
      <c r="W313" s="126"/>
      <c r="X313" s="126"/>
      <c r="Y313" s="126"/>
      <c r="Z313" s="126"/>
      <c r="AA313" s="126"/>
      <c r="AB313" s="469" t="s">
        <v>407</v>
      </c>
      <c r="AC313" s="125"/>
      <c r="AD313" s="469" t="s">
        <v>408</v>
      </c>
      <c r="AE313" s="125"/>
      <c r="AF313" s="125"/>
      <c r="AG313" s="125"/>
      <c r="AH313" s="125"/>
      <c r="AI313" s="125"/>
      <c r="AJ313" s="125"/>
      <c r="AK313" s="125"/>
      <c r="AL313" s="125" t="s">
        <v>277</v>
      </c>
      <c r="AM313" s="125" t="s">
        <v>278</v>
      </c>
      <c r="AN313" s="125" t="s">
        <v>279</v>
      </c>
      <c r="AO313" s="125" t="s">
        <v>280</v>
      </c>
      <c r="AP313" s="125" t="s">
        <v>170</v>
      </c>
      <c r="AQ313" s="125" t="s">
        <v>281</v>
      </c>
      <c r="AR313" s="125" t="s">
        <v>278</v>
      </c>
      <c r="AS313" s="125" t="s">
        <v>282</v>
      </c>
      <c r="AT313" s="125" t="s">
        <v>283</v>
      </c>
      <c r="AU313" s="125" t="s">
        <v>284</v>
      </c>
      <c r="AV313" s="125"/>
      <c r="AW313" s="125"/>
      <c r="AX313" s="125"/>
      <c r="AY313" s="125" t="s">
        <v>285</v>
      </c>
      <c r="AZ313" s="125" t="s">
        <v>286</v>
      </c>
      <c r="BA313" s="125" t="s">
        <v>287</v>
      </c>
      <c r="BB313" s="125" t="s">
        <v>288</v>
      </c>
      <c r="BC313" s="125" t="s">
        <v>289</v>
      </c>
      <c r="BD313" s="125"/>
      <c r="BE313" s="239"/>
      <c r="BF313" s="239"/>
      <c r="BG313" s="239"/>
      <c r="BH313" s="239"/>
      <c r="BI313" s="239"/>
      <c r="BJ313" s="239"/>
      <c r="BK313" s="238"/>
      <c r="BL313" s="238"/>
      <c r="BM313" s="238"/>
      <c r="BN313" s="238"/>
      <c r="BO313" s="238"/>
      <c r="BP313" s="238"/>
      <c r="BQ313" s="238"/>
      <c r="BR313" s="238"/>
      <c r="BS313" s="238"/>
      <c r="BT313" s="238"/>
      <c r="BU313" s="238"/>
      <c r="BV313" s="238"/>
      <c r="BW313" s="238"/>
      <c r="BX313" s="238"/>
      <c r="BY313" s="238"/>
      <c r="BZ313" s="238"/>
      <c r="CA313" s="238"/>
      <c r="CB313" s="238"/>
      <c r="CC313" s="238"/>
      <c r="CD313" s="238"/>
      <c r="CE313" s="238"/>
      <c r="CF313" s="238"/>
      <c r="CG313" s="238"/>
      <c r="CH313" s="238"/>
      <c r="CI313" s="238"/>
      <c r="CJ313" s="238"/>
      <c r="CK313" s="238"/>
      <c r="CL313" s="238"/>
      <c r="CM313" s="238"/>
      <c r="CN313" s="238"/>
      <c r="CO313" s="238"/>
      <c r="CP313" s="238"/>
      <c r="CQ313" s="238"/>
      <c r="CR313" s="238"/>
      <c r="CS313" s="238"/>
      <c r="CT313" s="238"/>
      <c r="CU313" s="238"/>
      <c r="CV313" s="238"/>
      <c r="CW313" s="465"/>
    </row>
    <row r="314" spans="2:101" ht="18" customHeight="1" x14ac:dyDescent="0.25">
      <c r="B314" s="61">
        <v>9</v>
      </c>
      <c r="C314" s="610">
        <v>17.327100000000002</v>
      </c>
      <c r="D314" s="677">
        <f t="shared" si="141"/>
        <v>81</v>
      </c>
      <c r="E314" s="677">
        <f t="shared" si="143"/>
        <v>729</v>
      </c>
      <c r="F314" s="677">
        <f t="shared" si="144"/>
        <v>6561</v>
      </c>
      <c r="G314"/>
      <c r="H314" s="40"/>
      <c r="I314" s="644" t="str">
        <f t="shared" si="142"/>
        <v/>
      </c>
      <c r="J314" s="575"/>
      <c r="K314" s="184" t="s">
        <v>270</v>
      </c>
      <c r="L314" s="185" t="s">
        <v>408</v>
      </c>
      <c r="M314" s="184"/>
      <c r="N314" s="184"/>
      <c r="O314" s="184"/>
      <c r="P314" s="184"/>
      <c r="Q314" s="184"/>
      <c r="R314" s="184"/>
      <c r="S314" s="150" t="s">
        <v>413</v>
      </c>
      <c r="T314" s="126"/>
      <c r="U314" s="126"/>
      <c r="V314" s="126" t="s">
        <v>414</v>
      </c>
      <c r="W314" s="126"/>
      <c r="X314" s="126"/>
      <c r="Y314" s="126"/>
      <c r="Z314" s="126"/>
      <c r="AA314" s="126"/>
      <c r="AB314" s="614">
        <f>AVERAGE($H$307:$H$316)</f>
        <v>4</v>
      </c>
      <c r="AC314" s="490"/>
      <c r="AD314" s="531" t="e">
        <f>AB314-$AD$274*SQRT(AB317+AD280/AK276)</f>
        <v>#NUM!</v>
      </c>
      <c r="AE314" s="532" t="e">
        <f>AB314+$AD$274*SQRT(AB317+AD280/AK276)</f>
        <v>#NUM!</v>
      </c>
      <c r="AF314" s="125"/>
      <c r="AG314" s="125"/>
      <c r="AH314" s="125"/>
      <c r="AI314" s="125"/>
      <c r="AJ314" s="125"/>
      <c r="AK314" s="125"/>
      <c r="AL314" s="456">
        <f>$AC$276/$AC$277</f>
        <v>16</v>
      </c>
      <c r="AM314" s="456">
        <f>$AC$275/$AC$277</f>
        <v>-64</v>
      </c>
      <c r="AN314" s="456">
        <f>($AC$274-AB314)/$AC$277</f>
        <v>1.8903000000001384</v>
      </c>
      <c r="AO314" s="456">
        <f>(3*AM314-AL314^2)/3</f>
        <v>-149.33333333333334</v>
      </c>
      <c r="AP314" s="456">
        <f>(2*AL314^3-9*AL314*AM314+27*AN314)/27</f>
        <v>646.6310407407409</v>
      </c>
      <c r="AQ314" s="456">
        <f>2*SQRT(-AO314/3)</f>
        <v>14.11067365901115</v>
      </c>
      <c r="AR314" s="456">
        <f>ACOS(3*AP314/(AO314*AQ314))/3</f>
        <v>0.91347437602296733</v>
      </c>
      <c r="AS314" s="456">
        <f>2*SQRT(-AO314/3)*COS(AR314)-AL314/3</f>
        <v>3.2882744127749204</v>
      </c>
      <c r="AT314" s="456">
        <f>2*SQRT(-AO314/3)*COS(AR314+2*PI()/3)-AL314/3</f>
        <v>-19.318032142633044</v>
      </c>
      <c r="AU314" s="456">
        <f>2*SQRT(-AO314/3)*COS(AR314+4*PI()/3)-AL314/3</f>
        <v>2.9757729858118864E-2</v>
      </c>
      <c r="AV314" s="456">
        <f t="shared" ref="AV314:AX316" si="145">IF(AS314&gt;0,+AS314,999999)</f>
        <v>3.2882744127749204</v>
      </c>
      <c r="AW314" s="456">
        <f t="shared" si="145"/>
        <v>999999</v>
      </c>
      <c r="AX314" s="456">
        <f t="shared" si="145"/>
        <v>2.9757729858118864E-2</v>
      </c>
      <c r="AY314" s="509">
        <f>IF(AZ314&lt;0,MIN(AV314:AX314),+BA314)</f>
        <v>2.9757729858118864E-2</v>
      </c>
      <c r="AZ314" s="456">
        <f>AP314^2/4+AO314^3/27</f>
        <v>-18807.80405444045</v>
      </c>
      <c r="BA314" s="456" t="e">
        <f>+BB314+BC314-AL314/3</f>
        <v>#NUM!</v>
      </c>
      <c r="BB314" s="456" t="e">
        <f>(-AP314/2+SQRT(AZ314))^(1/3)</f>
        <v>#NUM!</v>
      </c>
      <c r="BC314" s="456" t="e">
        <f>(-AP314/2-SQRT(AZ314))^(1/3)</f>
        <v>#NUM!</v>
      </c>
      <c r="BD314" s="125"/>
      <c r="BE314" s="239"/>
      <c r="BF314" s="239"/>
      <c r="BG314" s="239"/>
      <c r="BH314" s="239"/>
      <c r="BI314" s="239"/>
      <c r="BJ314" s="239"/>
      <c r="BK314" s="238"/>
      <c r="BL314" s="240"/>
      <c r="BM314" s="240"/>
      <c r="BN314" s="240"/>
      <c r="BO314" s="238"/>
      <c r="BP314" s="238"/>
      <c r="BQ314" s="238"/>
      <c r="BR314" s="238"/>
      <c r="BS314" s="238"/>
      <c r="BT314" s="238"/>
      <c r="BU314" s="238"/>
      <c r="BV314" s="238"/>
      <c r="BW314" s="238"/>
      <c r="BX314" s="238"/>
      <c r="BY314" s="238"/>
      <c r="BZ314" s="238"/>
      <c r="CA314" s="238"/>
      <c r="CB314" s="238"/>
      <c r="CC314" s="238"/>
      <c r="CD314" s="238"/>
      <c r="CE314" s="238"/>
      <c r="CF314" s="238"/>
      <c r="CG314" s="238"/>
      <c r="CH314" s="238"/>
      <c r="CI314" s="238"/>
      <c r="CJ314" s="238"/>
      <c r="CK314" s="238"/>
      <c r="CL314" s="238"/>
      <c r="CM314" s="238"/>
      <c r="CN314" s="238"/>
      <c r="CO314" s="238"/>
      <c r="CP314" s="238"/>
      <c r="CQ314" s="238"/>
      <c r="CR314" s="238"/>
      <c r="CS314" s="238"/>
      <c r="CT314" s="238"/>
      <c r="CU314" s="238"/>
      <c r="CV314" s="238"/>
      <c r="CW314" s="465"/>
    </row>
    <row r="315" spans="2:101" ht="18" customHeight="1" x14ac:dyDescent="0.25">
      <c r="B315" s="61">
        <v>9</v>
      </c>
      <c r="C315" s="610">
        <v>17.3371</v>
      </c>
      <c r="D315" s="677">
        <f t="shared" si="141"/>
        <v>81</v>
      </c>
      <c r="E315" s="677">
        <f t="shared" si="143"/>
        <v>729</v>
      </c>
      <c r="F315" s="677">
        <f t="shared" si="144"/>
        <v>6561</v>
      </c>
      <c r="G315"/>
      <c r="H315" s="40"/>
      <c r="I315" s="644" t="str">
        <f t="shared" si="142"/>
        <v/>
      </c>
      <c r="J315" s="575"/>
      <c r="K315" s="232">
        <f>P276</f>
        <v>2.347255914003636</v>
      </c>
      <c r="L315" s="233">
        <f>(M309-$L$267)/$L$268</f>
        <v>1.7466464790595442</v>
      </c>
      <c r="M315" s="234">
        <f>(N309-$L$267)/$L$268</f>
        <v>2.9478653489477273</v>
      </c>
      <c r="N315" s="184"/>
      <c r="O315" s="184"/>
      <c r="P315" s="184"/>
      <c r="Q315" s="184"/>
      <c r="R315" s="184"/>
      <c r="S315" s="145">
        <f>V299+(V300+W299)*Z276+(V301+W300+X299)*Z276^2+(W301+X300)*Z276^3+X301*Z276^4</f>
        <v>1.4307588418124043E-4</v>
      </c>
      <c r="T315" s="126"/>
      <c r="U315" s="126"/>
      <c r="V315" s="145">
        <f>S315/(S315+U277/Z275)</f>
        <v>0.45660958287214432</v>
      </c>
      <c r="W315" s="126"/>
      <c r="X315" s="126"/>
      <c r="Y315" s="126"/>
      <c r="Z315" s="126"/>
      <c r="AA315" s="126"/>
      <c r="AB315" s="456"/>
      <c r="AC315" s="456"/>
      <c r="AD315" s="456"/>
      <c r="AE315" s="456"/>
      <c r="AF315" s="456"/>
      <c r="AG315" s="125"/>
      <c r="AH315" s="125"/>
      <c r="AI315" s="125"/>
      <c r="AJ315" s="125"/>
      <c r="AK315" s="125"/>
      <c r="AL315" s="456">
        <f>$AC$276/$AC$277</f>
        <v>16</v>
      </c>
      <c r="AM315" s="456">
        <f>$AC$275/$AC$277</f>
        <v>-64</v>
      </c>
      <c r="AN315" s="456" t="e">
        <f>($AC$274-AD314)/$AC$277</f>
        <v>#NUM!</v>
      </c>
      <c r="AO315" s="456">
        <f>(3*AM315-AL315^2)/3</f>
        <v>-149.33333333333334</v>
      </c>
      <c r="AP315" s="456" t="e">
        <f>(2*AL315^3-9*AL315*AM315+27*AN315)/27</f>
        <v>#NUM!</v>
      </c>
      <c r="AQ315" s="456">
        <f>2*SQRT(-AO315/3)</f>
        <v>14.11067365901115</v>
      </c>
      <c r="AR315" s="456" t="e">
        <f>ACOS(3*AP315/(AO315*AQ315))/3</f>
        <v>#NUM!</v>
      </c>
      <c r="AS315" s="456" t="e">
        <f>2*SQRT(-AO315/3)*COS(AR315)-AL315/3</f>
        <v>#NUM!</v>
      </c>
      <c r="AT315" s="456" t="e">
        <f>2*SQRT(-AO315/3)*COS(AR315+2*PI()/3)-AL315/3</f>
        <v>#NUM!</v>
      </c>
      <c r="AU315" s="456" t="e">
        <f>2*SQRT(-AO315/3)*COS(AR315+4*PI()/3)-AL315/3</f>
        <v>#NUM!</v>
      </c>
      <c r="AV315" s="456" t="e">
        <f t="shared" si="145"/>
        <v>#NUM!</v>
      </c>
      <c r="AW315" s="456" t="e">
        <f t="shared" si="145"/>
        <v>#NUM!</v>
      </c>
      <c r="AX315" s="456" t="e">
        <f t="shared" si="145"/>
        <v>#NUM!</v>
      </c>
      <c r="AY315" s="509" t="e">
        <f>IF(AZ315&lt;0,MIN(AV315:AX315),+BA315)</f>
        <v>#NUM!</v>
      </c>
      <c r="AZ315" s="456" t="e">
        <f>AP315^2/4+AO315^3/27</f>
        <v>#NUM!</v>
      </c>
      <c r="BA315" s="456" t="e">
        <f>+BB315+BC315-AL315/3</f>
        <v>#NUM!</v>
      </c>
      <c r="BB315" s="456" t="e">
        <f>(-AP315/2+SQRT(AZ315))^(1/3)</f>
        <v>#NUM!</v>
      </c>
      <c r="BC315" s="456" t="e">
        <f>(-AP315/2-SQRT(AZ315))^(1/3)</f>
        <v>#NUM!</v>
      </c>
      <c r="BD315" s="125"/>
      <c r="BE315" s="287" t="str">
        <f>IF(BI308+BI309+BI311=3,"Coefficients are not significantly different.",IF(BI308+BI309+BI311=1,"Two coefficients are significantly different, indicating calibration drift.",IF(BI2337+BI308+BI311=2,"One coefficient is significantly different, indicating calibration drift.","All three coefficients are significantly different, indicating calibration drift.")))</f>
        <v>Coefficients are not significantly different.</v>
      </c>
      <c r="BF315" s="288"/>
      <c r="BG315" s="288"/>
      <c r="BH315" s="288"/>
      <c r="BI315" s="288"/>
      <c r="BJ315" s="288"/>
      <c r="BK315" s="260"/>
      <c r="BL315" s="240"/>
      <c r="BM315" s="240"/>
      <c r="BN315" s="240"/>
      <c r="BO315" s="238"/>
      <c r="BP315" s="238"/>
      <c r="BQ315" s="238"/>
      <c r="BR315" s="238"/>
      <c r="BS315" s="238"/>
      <c r="BT315" s="238"/>
      <c r="BU315" s="238"/>
      <c r="BV315" s="238"/>
      <c r="BW315" s="238"/>
      <c r="BX315" s="238"/>
      <c r="BY315" s="238"/>
      <c r="BZ315" s="238"/>
      <c r="CA315" s="238"/>
      <c r="CB315" s="238"/>
      <c r="CC315" s="238"/>
      <c r="CD315" s="238"/>
      <c r="CE315" s="238"/>
      <c r="CF315" s="238"/>
      <c r="CG315" s="238"/>
      <c r="CH315" s="238"/>
      <c r="CI315" s="238"/>
      <c r="CJ315" s="238"/>
      <c r="CK315" s="238"/>
      <c r="CL315" s="238"/>
      <c r="CM315" s="238"/>
      <c r="CN315" s="238"/>
      <c r="CO315" s="238"/>
      <c r="CP315" s="238"/>
      <c r="CQ315" s="238"/>
      <c r="CR315" s="238"/>
      <c r="CS315" s="238"/>
      <c r="CT315" s="238"/>
      <c r="CU315" s="238"/>
      <c r="CV315" s="238"/>
      <c r="CW315" s="465"/>
    </row>
    <row r="316" spans="2:101" ht="18" customHeight="1" thickBot="1" x14ac:dyDescent="0.3">
      <c r="B316" s="61"/>
      <c r="C316" s="610"/>
      <c r="D316" s="677" t="str">
        <f t="shared" si="141"/>
        <v/>
      </c>
      <c r="E316" s="677" t="str">
        <f t="shared" si="143"/>
        <v/>
      </c>
      <c r="F316" s="677" t="str">
        <f t="shared" si="144"/>
        <v/>
      </c>
      <c r="G316"/>
      <c r="H316" s="41"/>
      <c r="I316" s="642" t="str">
        <f t="shared" si="142"/>
        <v/>
      </c>
      <c r="J316" s="575"/>
      <c r="K316" s="190"/>
      <c r="L316" s="235">
        <f>(L315-$K$315)/$K$315</f>
        <v>-0.25587726986259984</v>
      </c>
      <c r="M316" s="236">
        <f>(M315-$K$315)/$K$315</f>
        <v>0.25587726986259968</v>
      </c>
      <c r="N316" s="184"/>
      <c r="O316" s="184"/>
      <c r="P316" s="184"/>
      <c r="Q316" s="184"/>
      <c r="R316" s="184"/>
      <c r="S316" s="127"/>
      <c r="T316" s="126"/>
      <c r="U316" s="126"/>
      <c r="V316" s="126"/>
      <c r="W316" s="126"/>
      <c r="X316" s="126"/>
      <c r="Y316" s="126"/>
      <c r="Z316" s="126"/>
      <c r="AA316" s="126"/>
      <c r="AB316" s="492" t="s">
        <v>413</v>
      </c>
      <c r="AC316" s="456"/>
      <c r="AD316" s="456"/>
      <c r="AE316" s="469" t="s">
        <v>414</v>
      </c>
      <c r="AF316" s="456"/>
      <c r="AG316" s="125"/>
      <c r="AH316" s="125"/>
      <c r="AI316" s="125"/>
      <c r="AJ316" s="125"/>
      <c r="AK316" s="125"/>
      <c r="AL316" s="456">
        <f>$AC$276/$AC$277</f>
        <v>16</v>
      </c>
      <c r="AM316" s="456">
        <f>$AC$275/$AC$277</f>
        <v>-64</v>
      </c>
      <c r="AN316" s="456" t="e">
        <f>($AC$274-AE314)/$AC$277</f>
        <v>#NUM!</v>
      </c>
      <c r="AO316" s="456">
        <f>(3*AM316-AL316^2)/3</f>
        <v>-149.33333333333334</v>
      </c>
      <c r="AP316" s="456" t="e">
        <f>(2*AL316^3-9*AL316*AM316+27*AN316)/27</f>
        <v>#NUM!</v>
      </c>
      <c r="AQ316" s="456">
        <f>2*SQRT(-AO316/3)</f>
        <v>14.11067365901115</v>
      </c>
      <c r="AR316" s="456" t="e">
        <f>ACOS(3*AP316/(AO316*AQ316))/3</f>
        <v>#NUM!</v>
      </c>
      <c r="AS316" s="456" t="e">
        <f>2*SQRT(-AO316/3)*COS(AR316)-AL316/3</f>
        <v>#NUM!</v>
      </c>
      <c r="AT316" s="456" t="e">
        <f>2*SQRT(-AO316/3)*COS(AR316+2*PI()/3)-AL316/3</f>
        <v>#NUM!</v>
      </c>
      <c r="AU316" s="456" t="e">
        <f>2*SQRT(-AO316/3)*COS(AR316+4*PI()/3)-AL316/3</f>
        <v>#NUM!</v>
      </c>
      <c r="AV316" s="456" t="e">
        <f t="shared" si="145"/>
        <v>#NUM!</v>
      </c>
      <c r="AW316" s="456" t="e">
        <f t="shared" si="145"/>
        <v>#NUM!</v>
      </c>
      <c r="AX316" s="456" t="e">
        <f t="shared" si="145"/>
        <v>#NUM!</v>
      </c>
      <c r="AY316" s="509" t="e">
        <f>IF(AZ316&lt;0,MIN(AV316:AX316),+BA316)</f>
        <v>#NUM!</v>
      </c>
      <c r="AZ316" s="456" t="e">
        <f>AP316^2/4+AO316^3/27</f>
        <v>#NUM!</v>
      </c>
      <c r="BA316" s="456" t="e">
        <f>+BB316+BC316-AL316/3</f>
        <v>#NUM!</v>
      </c>
      <c r="BB316" s="456" t="e">
        <f>(-AP316/2+SQRT(AZ316))^(1/3)</f>
        <v>#NUM!</v>
      </c>
      <c r="BC316" s="456" t="e">
        <f>(-AP316/2-SQRT(AZ316))^(1/3)</f>
        <v>#NUM!</v>
      </c>
      <c r="BD316" s="125"/>
      <c r="BE316" s="273" t="str">
        <f>IF(BI308+BI309+BI311=3,"Consider including the new data as part of original calibration (Step 1).","Estimated concentration includes correction for calibration drift.")</f>
        <v>Consider including the new data as part of original calibration (Step 1).</v>
      </c>
      <c r="BF316" s="274"/>
      <c r="BG316" s="274"/>
      <c r="BH316" s="274"/>
      <c r="BI316" s="274"/>
      <c r="BJ316" s="274"/>
      <c r="BK316" s="275"/>
      <c r="BL316" s="240"/>
      <c r="BM316" s="240"/>
      <c r="BN316" s="240"/>
      <c r="BO316" s="238"/>
      <c r="BP316" s="238"/>
      <c r="BQ316" s="238"/>
      <c r="BR316" s="238"/>
      <c r="BS316" s="238"/>
      <c r="BT316" s="238"/>
      <c r="BU316" s="238"/>
      <c r="BV316" s="238"/>
      <c r="BW316" s="238"/>
      <c r="BX316" s="238"/>
      <c r="BY316" s="238"/>
      <c r="BZ316" s="238"/>
      <c r="CA316" s="238"/>
      <c r="CB316" s="238"/>
      <c r="CC316" s="238"/>
      <c r="CD316" s="238"/>
      <c r="CE316" s="238"/>
      <c r="CF316" s="238"/>
      <c r="CG316" s="238"/>
      <c r="CH316" s="238"/>
      <c r="CI316" s="238"/>
      <c r="CJ316" s="238"/>
      <c r="CK316" s="238"/>
      <c r="CL316" s="238"/>
      <c r="CM316" s="238"/>
      <c r="CN316" s="238"/>
      <c r="CO316" s="238"/>
      <c r="CP316" s="238"/>
      <c r="CQ316" s="238"/>
      <c r="CR316" s="238"/>
      <c r="CS316" s="238"/>
      <c r="CT316" s="238"/>
      <c r="CU316" s="238"/>
      <c r="CV316" s="238"/>
      <c r="CW316" s="465"/>
    </row>
    <row r="317" spans="2:101" ht="18" customHeight="1" thickTop="1" x14ac:dyDescent="0.2">
      <c r="B317" s="61"/>
      <c r="C317" s="610"/>
      <c r="D317" s="677" t="str">
        <f t="shared" si="141"/>
        <v/>
      </c>
      <c r="E317" s="677" t="str">
        <f t="shared" si="143"/>
        <v/>
      </c>
      <c r="F317" s="677" t="str">
        <f t="shared" si="144"/>
        <v/>
      </c>
      <c r="G317"/>
      <c r="H317" s="5" t="s">
        <v>376</v>
      </c>
      <c r="I317" s="44">
        <f t="shared" si="142"/>
        <v>3</v>
      </c>
      <c r="J317" s="575"/>
      <c r="S317" s="127" t="s">
        <v>270</v>
      </c>
      <c r="T317" s="127" t="s">
        <v>408</v>
      </c>
      <c r="U317" s="127"/>
      <c r="V317" s="126"/>
      <c r="W317" s="126"/>
      <c r="X317" s="126"/>
      <c r="Y317" s="126"/>
      <c r="Z317" s="129"/>
      <c r="AA317" s="129"/>
      <c r="AB317" s="482">
        <f>SUMPRODUCT(AG274:AG277,AH274:AH277)</f>
        <v>-4848849335615375</v>
      </c>
      <c r="AC317" s="456"/>
      <c r="AD317" s="456"/>
      <c r="AE317" s="482">
        <f>AB317/(AB317+AD280/AK276)</f>
        <v>1.0000000000005389</v>
      </c>
      <c r="AF317" s="456"/>
      <c r="AG317" s="456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239"/>
      <c r="BF317" s="238"/>
      <c r="BG317" s="238"/>
      <c r="BH317" s="238"/>
      <c r="BI317" s="238"/>
      <c r="BJ317" s="238"/>
      <c r="BK317" s="238"/>
      <c r="BL317" s="238"/>
      <c r="BM317" s="238"/>
      <c r="BN317" s="238"/>
      <c r="BO317" s="238"/>
      <c r="BP317" s="238"/>
      <c r="BQ317" s="238"/>
      <c r="BR317" s="238"/>
      <c r="BS317" s="238"/>
      <c r="BT317" s="238"/>
      <c r="BU317" s="238"/>
      <c r="BV317" s="238"/>
      <c r="BW317" s="238"/>
      <c r="BX317" s="238"/>
      <c r="BY317" s="238"/>
      <c r="BZ317" s="238"/>
      <c r="CA317" s="238"/>
      <c r="CB317" s="238"/>
      <c r="CC317" s="238"/>
      <c r="CD317" s="238"/>
      <c r="CE317" s="238"/>
      <c r="CF317" s="238"/>
      <c r="CG317" s="238"/>
      <c r="CH317" s="238"/>
      <c r="CI317" s="238"/>
      <c r="CJ317" s="238"/>
      <c r="CK317" s="238"/>
      <c r="CL317" s="238"/>
      <c r="CM317" s="238"/>
      <c r="CN317" s="238"/>
      <c r="CO317" s="238"/>
      <c r="CP317" s="238"/>
      <c r="CQ317" s="238"/>
      <c r="CR317" s="238"/>
      <c r="CS317" s="238"/>
      <c r="CT317" s="238"/>
      <c r="CU317" s="238"/>
      <c r="CV317" s="238"/>
      <c r="CW317" s="465"/>
    </row>
    <row r="318" spans="2:101" ht="18" customHeight="1" x14ac:dyDescent="0.2">
      <c r="B318" s="61"/>
      <c r="C318" s="610"/>
      <c r="D318" s="677" t="str">
        <f t="shared" si="141"/>
        <v/>
      </c>
      <c r="E318" s="677" t="str">
        <f t="shared" si="143"/>
        <v/>
      </c>
      <c r="F318" s="677" t="str">
        <f t="shared" si="144"/>
        <v/>
      </c>
      <c r="G318" s="5" t="s">
        <v>322</v>
      </c>
      <c r="H318" s="11">
        <f>AVERAGE(H307:H316)</f>
        <v>4</v>
      </c>
      <c r="I318" s="648">
        <f t="shared" si="142"/>
        <v>2.9337394028365988</v>
      </c>
      <c r="J318" s="575"/>
      <c r="S318" s="132">
        <f>(-$T$273+SQRT($T$273^2-4*$T$274*($T$272-S312)))/(2*$T$274)</f>
        <v>2.9337394028365988</v>
      </c>
      <c r="T318" s="181">
        <f>(-$T$273+SQRT($T$273^2-4*$T$274*($T$272-U312)))/(2*$T$274)</f>
        <v>2.9113673960270541</v>
      </c>
      <c r="U318" s="134">
        <f>(-$T$273+SQRT($T$273^2-4*$T$274*($T$272-V312)))/(2*$T$274)</f>
        <v>2.9560478446062035</v>
      </c>
      <c r="V318" s="126"/>
      <c r="W318" s="126"/>
      <c r="X318" s="126"/>
      <c r="Y318" s="126"/>
      <c r="Z318" s="129"/>
      <c r="AA318" s="129"/>
      <c r="AB318" s="456"/>
      <c r="AC318" s="456"/>
      <c r="AD318" s="456"/>
      <c r="AE318" s="456"/>
      <c r="AF318" s="456"/>
      <c r="AG318" s="456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239" t="s">
        <v>407</v>
      </c>
      <c r="BF318" s="238"/>
      <c r="BG318" s="239" t="s">
        <v>408</v>
      </c>
      <c r="BH318" s="238"/>
      <c r="BI318" s="238"/>
      <c r="BJ318" s="238"/>
      <c r="BK318" s="238"/>
      <c r="BL318" s="238"/>
      <c r="BM318" s="238"/>
      <c r="BN318" s="238"/>
      <c r="BO318" s="238"/>
      <c r="BP318" s="238"/>
      <c r="BQ318" s="238"/>
      <c r="BR318" s="238"/>
      <c r="BS318" s="238"/>
      <c r="BT318" s="238"/>
      <c r="BU318" s="238"/>
      <c r="BV318" s="238"/>
      <c r="BW318" s="238"/>
      <c r="BX318" s="238"/>
      <c r="BY318" s="238"/>
      <c r="BZ318" s="238"/>
      <c r="CA318" s="238"/>
      <c r="CB318" s="238"/>
      <c r="CC318" s="238"/>
      <c r="CD318" s="238"/>
      <c r="CE318" s="238"/>
      <c r="CF318" s="238"/>
      <c r="CG318" s="238"/>
      <c r="CH318" s="238"/>
      <c r="CI318" s="238"/>
      <c r="CJ318" s="238"/>
      <c r="CK318" s="238"/>
      <c r="CL318" s="238"/>
      <c r="CM318" s="238"/>
      <c r="CN318" s="238"/>
      <c r="CO318" s="238"/>
      <c r="CP318" s="238"/>
      <c r="CQ318" s="238"/>
      <c r="CR318" s="238"/>
      <c r="CS318" s="238"/>
      <c r="CT318" s="238"/>
      <c r="CU318" s="238"/>
      <c r="CV318" s="238"/>
      <c r="CW318" s="465"/>
    </row>
    <row r="319" spans="2:101" ht="18" customHeight="1" x14ac:dyDescent="0.2">
      <c r="B319" s="61"/>
      <c r="C319" s="610"/>
      <c r="D319" s="677" t="str">
        <f t="shared" si="141"/>
        <v/>
      </c>
      <c r="E319" s="677" t="str">
        <f t="shared" si="143"/>
        <v/>
      </c>
      <c r="F319" s="677" t="str">
        <f t="shared" si="144"/>
        <v/>
      </c>
      <c r="G319"/>
      <c r="H319" s="5" t="s">
        <v>417</v>
      </c>
      <c r="I319" s="44">
        <f>IF(I317=1,"NA",IF(p="Q",Z277,P277))</f>
        <v>6.3102304350542548E-3</v>
      </c>
      <c r="J319" s="575"/>
      <c r="S319" s="182">
        <f>(U319-T319)/2</f>
        <v>7.6149313971016694E-3</v>
      </c>
      <c r="T319" s="182">
        <f>(T318-$S$318)/$S$318</f>
        <v>-7.6257648473867616E-3</v>
      </c>
      <c r="U319" s="183">
        <f>(U318-$S$318)/$S$318</f>
        <v>7.6040979468165763E-3</v>
      </c>
      <c r="V319" s="126"/>
      <c r="W319" s="126"/>
      <c r="X319" s="126"/>
      <c r="Y319" s="126"/>
      <c r="Z319" s="129"/>
      <c r="AA319" s="129"/>
      <c r="AB319" s="469" t="s">
        <v>270</v>
      </c>
      <c r="AC319" s="469" t="s">
        <v>408</v>
      </c>
      <c r="AD319" s="456"/>
      <c r="AE319" s="456"/>
      <c r="AF319" s="456"/>
      <c r="AG319" s="456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613">
        <f>AVERAGE($H$307:$H$316)</f>
        <v>4</v>
      </c>
      <c r="BF319" s="253"/>
      <c r="BG319" s="295">
        <f>BE319-$BG$278*SQRT(BE322+BG286/BP276)</f>
        <v>-530422512.77085972</v>
      </c>
      <c r="BH319" s="296">
        <f>2*BE319-BG319</f>
        <v>530422520.77085972</v>
      </c>
      <c r="BI319" s="238"/>
      <c r="BJ319" s="240"/>
      <c r="BK319" s="240"/>
      <c r="BL319" s="238"/>
      <c r="BM319" s="238"/>
      <c r="BN319" s="238"/>
      <c r="BO319" s="238"/>
      <c r="BP319" s="238"/>
      <c r="BQ319" s="238"/>
      <c r="BR319" s="238"/>
      <c r="BS319" s="238"/>
      <c r="BT319" s="238"/>
      <c r="BU319" s="238"/>
      <c r="BV319" s="238"/>
      <c r="BW319" s="238"/>
      <c r="BX319" s="238"/>
      <c r="BY319" s="238"/>
      <c r="BZ319" s="238"/>
      <c r="CA319" s="238"/>
      <c r="CB319" s="238"/>
      <c r="CC319" s="238"/>
      <c r="CD319" s="238"/>
      <c r="CE319" s="238"/>
      <c r="CF319" s="238"/>
      <c r="CG319" s="238"/>
      <c r="CH319" s="238"/>
      <c r="CI319" s="238"/>
      <c r="CJ319" s="238"/>
      <c r="CK319" s="238"/>
      <c r="CL319" s="238"/>
      <c r="CM319" s="238"/>
      <c r="CN319" s="238"/>
      <c r="CO319" s="238"/>
      <c r="CP319" s="238"/>
      <c r="CQ319" s="238"/>
      <c r="CR319" s="238"/>
      <c r="CS319" s="238"/>
      <c r="CT319" s="238"/>
      <c r="CU319" s="238"/>
      <c r="CV319" s="238"/>
      <c r="CW319" s="465"/>
    </row>
    <row r="320" spans="2:101" ht="18" customHeight="1" x14ac:dyDescent="0.2">
      <c r="B320" s="61"/>
      <c r="C320" s="610"/>
      <c r="D320" s="677" t="str">
        <f t="shared" si="141"/>
        <v/>
      </c>
      <c r="E320" s="677" t="str">
        <f t="shared" si="143"/>
        <v/>
      </c>
      <c r="F320" s="677" t="str">
        <f t="shared" si="144"/>
        <v/>
      </c>
      <c r="G320"/>
      <c r="H320" s="99" t="s">
        <v>418</v>
      </c>
      <c r="I320" s="91">
        <f>I319/I318/SQRT(I317)</f>
        <v>1.2418326034018435E-3</v>
      </c>
      <c r="J320" s="575"/>
      <c r="AB320" s="472">
        <f>AY314</f>
        <v>2.9757729858118864E-2</v>
      </c>
      <c r="AC320" s="533" t="e">
        <f>AY315</f>
        <v>#NUM!</v>
      </c>
      <c r="AD320" s="474" t="e">
        <f>AY316</f>
        <v>#NUM!</v>
      </c>
      <c r="AE320" s="456"/>
      <c r="AF320" s="456"/>
      <c r="AG320" s="456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240"/>
      <c r="BF320" s="240"/>
      <c r="BG320" s="240"/>
      <c r="BH320" s="240"/>
      <c r="BI320" s="240"/>
      <c r="BJ320" s="240"/>
      <c r="BK320" s="238"/>
      <c r="BL320" s="238"/>
      <c r="BM320" s="238"/>
      <c r="BN320" s="238"/>
      <c r="BO320" s="238"/>
      <c r="BP320" s="238"/>
      <c r="BQ320" s="238"/>
      <c r="BR320" s="238" t="s">
        <v>290</v>
      </c>
      <c r="BS320" s="238"/>
      <c r="BT320" s="238"/>
      <c r="BU320" s="238"/>
      <c r="BV320" s="238" t="s">
        <v>419</v>
      </c>
      <c r="BW320" s="238"/>
      <c r="BX320" s="238"/>
      <c r="BY320" s="238"/>
      <c r="BZ320" s="238"/>
      <c r="CA320" s="238"/>
      <c r="CB320" s="238"/>
      <c r="CC320" s="238"/>
      <c r="CD320" s="238"/>
      <c r="CE320" s="238"/>
      <c r="CF320" s="238"/>
      <c r="CG320" s="238"/>
      <c r="CH320" s="238"/>
      <c r="CI320" s="238"/>
      <c r="CJ320" s="238"/>
      <c r="CK320" s="238"/>
      <c r="CL320" s="238"/>
      <c r="CM320" s="238"/>
      <c r="CN320" s="238"/>
      <c r="CO320" s="238"/>
      <c r="CP320" s="238"/>
      <c r="CQ320" s="238"/>
      <c r="CR320" s="238"/>
      <c r="CS320" s="238"/>
      <c r="CT320" s="238"/>
      <c r="CU320" s="238"/>
      <c r="CV320" s="238"/>
      <c r="CW320" s="465"/>
    </row>
    <row r="321" spans="2:101" ht="18" customHeight="1" x14ac:dyDescent="0.25">
      <c r="B321" s="61"/>
      <c r="C321" s="610"/>
      <c r="D321" s="677" t="str">
        <f t="shared" si="141"/>
        <v/>
      </c>
      <c r="E321" s="677" t="str">
        <f t="shared" si="143"/>
        <v/>
      </c>
      <c r="F321" s="677" t="str">
        <f t="shared" si="144"/>
        <v/>
      </c>
      <c r="G321"/>
      <c r="H321" s="5" t="s">
        <v>202</v>
      </c>
      <c r="I321" s="44">
        <f>IF(p="Q",Z278,P278)</f>
        <v>2</v>
      </c>
      <c r="J321" s="575"/>
      <c r="AB321" s="534" t="e">
        <f>(AD321-AC321)/2</f>
        <v>#NUM!</v>
      </c>
      <c r="AC321" s="535" t="e">
        <f>(AC320-AB320)/AB320</f>
        <v>#NUM!</v>
      </c>
      <c r="AD321" s="536" t="e">
        <f>(AD320-AB320)/AB320</f>
        <v>#NUM!</v>
      </c>
      <c r="AE321" s="456"/>
      <c r="AF321" s="456"/>
      <c r="AG321" s="456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255" t="s">
        <v>413</v>
      </c>
      <c r="BF321" s="240"/>
      <c r="BG321" s="240"/>
      <c r="BH321" s="239" t="s">
        <v>414</v>
      </c>
      <c r="BI321" s="240"/>
      <c r="BJ321" s="240"/>
      <c r="BK321" s="238"/>
      <c r="BL321" s="238"/>
      <c r="BM321" s="238"/>
      <c r="BN321" s="238"/>
      <c r="BO321" s="238"/>
      <c r="BP321" s="238"/>
      <c r="BQ321" s="238"/>
      <c r="BR321" s="238" t="s">
        <v>280</v>
      </c>
      <c r="BS321" s="238" t="s">
        <v>170</v>
      </c>
      <c r="BT321" s="238" t="s">
        <v>292</v>
      </c>
      <c r="BU321" s="238" t="s">
        <v>293</v>
      </c>
      <c r="BV321" s="238" t="s">
        <v>294</v>
      </c>
      <c r="BW321" s="238" t="s">
        <v>295</v>
      </c>
      <c r="BX321" s="238" t="s">
        <v>296</v>
      </c>
      <c r="BY321" s="238" t="s">
        <v>297</v>
      </c>
      <c r="BZ321" s="238" t="s">
        <v>298</v>
      </c>
      <c r="CA321" s="238" t="s">
        <v>286</v>
      </c>
      <c r="CB321" s="238" t="s">
        <v>299</v>
      </c>
      <c r="CC321" s="418" t="s">
        <v>278</v>
      </c>
      <c r="CD321" s="238" t="s">
        <v>300</v>
      </c>
      <c r="CE321" s="238" t="s">
        <v>301</v>
      </c>
      <c r="CF321" s="238" t="s">
        <v>302</v>
      </c>
      <c r="CG321" s="238" t="s">
        <v>288</v>
      </c>
      <c r="CH321" s="238" t="s">
        <v>289</v>
      </c>
      <c r="CI321" s="238" t="s">
        <v>327</v>
      </c>
      <c r="CJ321" s="238" t="s">
        <v>304</v>
      </c>
      <c r="CK321" s="238" t="s">
        <v>305</v>
      </c>
      <c r="CL321" s="238" t="s">
        <v>306</v>
      </c>
      <c r="CM321" s="238" t="s">
        <v>300</v>
      </c>
      <c r="CN321" s="238" t="s">
        <v>301</v>
      </c>
      <c r="CO321" s="238" t="s">
        <v>302</v>
      </c>
      <c r="CP321" s="238" t="s">
        <v>307</v>
      </c>
      <c r="CQ321" s="238" t="s">
        <v>308</v>
      </c>
      <c r="CR321" s="238"/>
      <c r="CS321" s="238"/>
      <c r="CT321" s="238"/>
      <c r="CU321" s="238" t="s">
        <v>309</v>
      </c>
      <c r="CV321" s="238"/>
      <c r="CW321" s="465"/>
    </row>
    <row r="322" spans="2:101" ht="18" customHeight="1" x14ac:dyDescent="0.3">
      <c r="B322" s="61"/>
      <c r="C322" s="610"/>
      <c r="D322" s="677" t="str">
        <f t="shared" si="141"/>
        <v/>
      </c>
      <c r="E322" s="677" t="str">
        <f t="shared" si="143"/>
        <v/>
      </c>
      <c r="F322" s="677" t="str">
        <f t="shared" si="144"/>
        <v/>
      </c>
      <c r="G322" s="5" t="s">
        <v>245</v>
      </c>
      <c r="H322" s="44">
        <f>IF(I317=1,"NA",IF(p="Q",Z279,P279))</f>
        <v>7.7953530905721866E-2</v>
      </c>
      <c r="I322" s="44"/>
      <c r="J322" s="50"/>
      <c r="AB322" s="671" t="s">
        <v>421</v>
      </c>
      <c r="AC322" s="456"/>
      <c r="AD322" s="456"/>
      <c r="AE322" s="456"/>
      <c r="AF322" s="609">
        <f>AE317</f>
        <v>1.0000000000005389</v>
      </c>
      <c r="AG322" s="456"/>
      <c r="AH322" s="456"/>
      <c r="AI322" s="456"/>
      <c r="AJ322" s="456"/>
      <c r="AK322" s="456"/>
      <c r="AL322" s="456"/>
      <c r="AM322" s="456"/>
      <c r="AN322" s="456"/>
      <c r="AO322" s="456"/>
      <c r="AP322" s="456"/>
      <c r="AQ322" s="456"/>
      <c r="AR322" s="456"/>
      <c r="AS322" s="456"/>
      <c r="AT322" s="456"/>
      <c r="AU322" s="456"/>
      <c r="AV322" s="456"/>
      <c r="AW322" s="456"/>
      <c r="AX322" s="456"/>
      <c r="AY322" s="456"/>
      <c r="AZ322" s="456"/>
      <c r="BA322" s="456"/>
      <c r="BB322" s="456"/>
      <c r="BC322" s="456"/>
      <c r="BD322" s="456"/>
      <c r="BE322" s="139">
        <f>SUMPRODUCT(BJ278:BJ282,BK278:BK282)</f>
        <v>7.0337011574383072E+16</v>
      </c>
      <c r="BF322" s="240"/>
      <c r="BG322" s="240"/>
      <c r="BH322" s="139">
        <f>BE322/(BE322+BG286/BP276)</f>
        <v>0.99999999999999778</v>
      </c>
      <c r="BI322" s="240"/>
      <c r="BJ322" s="240"/>
      <c r="BK322" s="238"/>
      <c r="BL322" s="238"/>
      <c r="BM322" s="238"/>
      <c r="BN322" s="238"/>
      <c r="BO322" s="238"/>
      <c r="BP322" s="238"/>
      <c r="BQ322" s="238"/>
      <c r="BR322" s="240">
        <f>$BI$29/$BI$30</f>
        <v>-17.894488448782099</v>
      </c>
      <c r="BS322" s="240">
        <f>$BI$28/$BI$30</f>
        <v>359.02403518259086</v>
      </c>
      <c r="BT322" s="240">
        <f>$BI$27/$BI$30</f>
        <v>2397.5035457707181</v>
      </c>
      <c r="BU322" s="240">
        <f>($BI$26-BE319)/$BI$30</f>
        <v>-9759.3754709141704</v>
      </c>
      <c r="BV322" s="240">
        <f>-BS322</f>
        <v>-359.02403518259086</v>
      </c>
      <c r="BW322" s="240">
        <f>BR322*BT322-4*BU322</f>
        <v>-3864.5976220515586</v>
      </c>
      <c r="BX322" s="240">
        <f>BR322^2*-BU322+4*BS322*BU322-BT322^2</f>
        <v>-16638348.567463405</v>
      </c>
      <c r="BY322" s="240">
        <f>1/3*(3*BW322-BV322^2)</f>
        <v>-46830.683568314977</v>
      </c>
      <c r="BZ322" s="240">
        <f>1/27*(2*BV322^3-9*BV322*BW322+27*BX322)</f>
        <v>-20528811.389989737</v>
      </c>
      <c r="CA322" s="240">
        <f>BZ322^2/4+BY322^3/27</f>
        <v>101554136221484.94</v>
      </c>
      <c r="CB322" s="240">
        <f>2*SQRT(-BY322/3)</f>
        <v>249.88179490395046</v>
      </c>
      <c r="CC322" s="240" t="e">
        <f>ACOS(3*BZ322/(BY322*CB322))/3</f>
        <v>#NUM!</v>
      </c>
      <c r="CD322" s="240" t="e">
        <f>CB322*COS(CC322)-BV322/3</f>
        <v>#NUM!</v>
      </c>
      <c r="CE322" s="240" t="e">
        <f>CB322*COS(CC322+2*PI()/3)-BV322/3</f>
        <v>#NUM!</v>
      </c>
      <c r="CF322" s="240" t="e">
        <f>CB322*COS(CC322+4*PI()/3)-BV322/3</f>
        <v>#NUM!</v>
      </c>
      <c r="CG322" s="240">
        <f>(-BZ322/2+SQRT(CA322))^(1/3)</f>
        <v>272.97940651685042</v>
      </c>
      <c r="CH322" s="240">
        <f>(-BZ322/2-SQRT(CA322))^(1/3)</f>
        <v>57.184635483268117</v>
      </c>
      <c r="CI322" s="240">
        <f>IF(CA322&gt;0,+CG322+CH322-BV322/3,MAX(CD322:CF322))</f>
        <v>449.83872039431549</v>
      </c>
      <c r="CJ322" s="240">
        <f>SQRT(BR322^2/4-BS322+CI322)</f>
        <v>13.07164352415654</v>
      </c>
      <c r="CK322" s="251" t="e">
        <f>SQRT(3*BR322^2/4-CJ322^2-2*BS322+(4*BR322*BS322-8*BT322-BR322^3)/(4*CJ322))</f>
        <v>#NUM!</v>
      </c>
      <c r="CL322" s="251">
        <f>SQRT(3*BR322^2/4-CJ322^2-2*BS322-(4*BR322*BS322-8*BT322-BR322^3)/(4*CJ322))</f>
        <v>9.998359449024333</v>
      </c>
      <c r="CM322" s="240" t="e">
        <f>-BR322/4+CJ322/2+CK322/2</f>
        <v>#NUM!</v>
      </c>
      <c r="CN322" s="240" t="e">
        <f>-BR322/4+CJ322/2-CK322/2</f>
        <v>#NUM!</v>
      </c>
      <c r="CO322" s="240">
        <f>-BR322/4-CJ322/2+CL322/2</f>
        <v>2.936980074629421</v>
      </c>
      <c r="CP322" s="240">
        <f>-BR322/4-CJ322/2-CL322/2</f>
        <v>-7.061379374394912</v>
      </c>
      <c r="CQ322" s="240">
        <f t="shared" ref="CQ322:CT324" si="146">IF(ISERROR(CM322)=TRUE,0,(CM322&gt;MIN(X))*(CM322&lt;MAX(X))*CM322)</f>
        <v>0</v>
      </c>
      <c r="CR322" s="240">
        <f t="shared" si="146"/>
        <v>0</v>
      </c>
      <c r="CS322" s="240">
        <f t="shared" si="146"/>
        <v>2.936980074629421</v>
      </c>
      <c r="CT322" s="240">
        <f t="shared" si="146"/>
        <v>0</v>
      </c>
      <c r="CU322" s="240">
        <f>IF(SUM(CQ322:CT322)=MAX(CQ322:CT322),+MAX(CQ322:CT322),"There is not a unique solution!")</f>
        <v>2.936980074629421</v>
      </c>
      <c r="CV322" s="238"/>
      <c r="CW322" s="465"/>
    </row>
    <row r="323" spans="2:101" ht="18" customHeight="1" x14ac:dyDescent="0.2">
      <c r="B323" s="61"/>
      <c r="C323" s="610"/>
      <c r="D323" s="677" t="str">
        <f t="shared" si="141"/>
        <v/>
      </c>
      <c r="E323" s="677" t="str">
        <f t="shared" si="143"/>
        <v/>
      </c>
      <c r="F323" s="677" t="str">
        <f t="shared" si="144"/>
        <v/>
      </c>
      <c r="G323" s="6" t="s">
        <v>342</v>
      </c>
      <c r="H323" s="44" t="b">
        <f>IF(I317=1,"NA",IF(p="Q",Z280,P280))</f>
        <v>0</v>
      </c>
      <c r="I323" s="44"/>
      <c r="J323" s="44"/>
      <c r="BE323" s="240"/>
      <c r="BF323" s="240"/>
      <c r="BG323" s="240"/>
      <c r="BH323" s="240"/>
      <c r="BI323" s="240"/>
      <c r="BJ323" s="240"/>
      <c r="BK323" s="238"/>
      <c r="BL323" s="238"/>
      <c r="BM323" s="238"/>
      <c r="BN323" s="238"/>
      <c r="BO323" s="238"/>
      <c r="BP323" s="238"/>
      <c r="BQ323" s="238"/>
      <c r="BR323" s="240">
        <f>$BI$29/$BI$30</f>
        <v>-17.894488448782099</v>
      </c>
      <c r="BS323" s="240">
        <f>$BI$28/$BI$30</f>
        <v>359.02403518259086</v>
      </c>
      <c r="BT323" s="240">
        <f>$BI$27/$BI$30</f>
        <v>2397.5035457707181</v>
      </c>
      <c r="BU323" s="240">
        <f>($BI$26-BG319)/$BI$30</f>
        <v>1369673393918.447</v>
      </c>
      <c r="BV323" s="240">
        <f>-BS323</f>
        <v>-359.02403518259086</v>
      </c>
      <c r="BW323" s="240">
        <f>BR323*BT323-4*BU323</f>
        <v>-5478693618575.8877</v>
      </c>
      <c r="BX323" s="240">
        <f>BR323^2*-BU323+4*BS323*BU323-BT323^2</f>
        <v>1528395830664302.7</v>
      </c>
      <c r="BY323" s="240">
        <f>1/3*(3*BW323-BV323^2)</f>
        <v>-5478693661541.9736</v>
      </c>
      <c r="BZ323" s="240">
        <f>1/27*(2*BV323^3-9*BV323*BW323+27*BX323)</f>
        <v>872734930412925.87</v>
      </c>
      <c r="CA323" s="240">
        <f>BZ323^2/4+BY323^3/27</f>
        <v>-6.0907009374972325E+36</v>
      </c>
      <c r="CB323" s="240">
        <f>2*SQRT(-BY323/3)</f>
        <v>2702762.4538712176</v>
      </c>
      <c r="CC323" s="240">
        <f>ACOS(3*BZ323/(BY323*CB323))/3</f>
        <v>0.52365771387941595</v>
      </c>
      <c r="CD323" s="240">
        <f>CB323*COS(CC323)-BV323/3</f>
        <v>2340700.9679736309</v>
      </c>
      <c r="CE323" s="240">
        <f>CB323*COS(CC323+2*PI()/3)-BV323/3</f>
        <v>-2340620.9147900487</v>
      </c>
      <c r="CF323" s="240">
        <f>CB323*COS(CC323+4*PI()/3)-BV323/3</f>
        <v>278.97085159998244</v>
      </c>
      <c r="CG323" s="240" t="e">
        <f>(-BZ323/2+SQRT(CA323))^(1/3)</f>
        <v>#NUM!</v>
      </c>
      <c r="CH323" s="240" t="e">
        <f>(-BZ323/2-SQRT(CA323))^(1/3)</f>
        <v>#NUM!</v>
      </c>
      <c r="CI323" s="240">
        <f>IF(CA323&gt;0,+CG323+CH323-BV323/3,MAX(CD323:CF323))</f>
        <v>2340700.9679736309</v>
      </c>
      <c r="CJ323" s="240">
        <f>SQRT(BR323^2/4-BS323+CI323)</f>
        <v>1529.8437819325407</v>
      </c>
      <c r="CK323" s="251" t="e">
        <f>SQRT(3*BR323^2/4-CJ323^2-2*BS323+(4*BR323*BS323-8*BT323-BR323^3)/(4*CJ323))</f>
        <v>#NUM!</v>
      </c>
      <c r="CL323" s="251" t="e">
        <f>SQRT(3*BR323^2/4-CJ323^2-2*BS323-(4*BR323*BS323-8*BT323-BR323^3)/(4*CJ323))</f>
        <v>#NUM!</v>
      </c>
      <c r="CM323" s="240" t="e">
        <f>-BR323/4+CJ323/2+CK323/2</f>
        <v>#NUM!</v>
      </c>
      <c r="CN323" s="240" t="e">
        <f>-BR323/4+CJ323/2-CK323/2</f>
        <v>#NUM!</v>
      </c>
      <c r="CO323" s="240" t="e">
        <f>-BR323/4-CJ323/2+CL323/2</f>
        <v>#NUM!</v>
      </c>
      <c r="CP323" s="240" t="e">
        <f>-BR323/4-CJ323/2-CL323/2</f>
        <v>#NUM!</v>
      </c>
      <c r="CQ323" s="240">
        <f t="shared" si="146"/>
        <v>0</v>
      </c>
      <c r="CR323" s="240">
        <f t="shared" si="146"/>
        <v>0</v>
      </c>
      <c r="CS323" s="240">
        <f t="shared" si="146"/>
        <v>0</v>
      </c>
      <c r="CT323" s="240">
        <f t="shared" si="146"/>
        <v>0</v>
      </c>
      <c r="CU323" s="240">
        <f>IF(SUM(CQ323:CT323)=MAX(CQ323:CT323),+MAX(CQ323:CT323),"There is not a unique solution!")</f>
        <v>0</v>
      </c>
      <c r="CV323" s="238"/>
      <c r="CW323" s="465"/>
    </row>
    <row r="324" spans="2:101" ht="18" customHeight="1" x14ac:dyDescent="0.2">
      <c r="B324" s="61"/>
      <c r="C324" s="610"/>
      <c r="D324" s="677" t="str">
        <f t="shared" si="141"/>
        <v/>
      </c>
      <c r="E324" s="677" t="str">
        <f t="shared" si="143"/>
        <v/>
      </c>
      <c r="F324" s="677" t="str">
        <f t="shared" si="144"/>
        <v/>
      </c>
      <c r="G324" s="5" t="s">
        <v>344</v>
      </c>
      <c r="H324" s="44">
        <f>IF(I317=1,"NA",IF(p="Q",Z281,P281))</f>
        <v>0.9252617459205893</v>
      </c>
      <c r="I324" s="44"/>
      <c r="J324" s="44"/>
      <c r="S324" s="2"/>
      <c r="BE324" s="239" t="s">
        <v>270</v>
      </c>
      <c r="BF324" s="239" t="s">
        <v>408</v>
      </c>
      <c r="BG324" s="240"/>
      <c r="BH324" s="240"/>
      <c r="BI324" s="240"/>
      <c r="BJ324" s="240"/>
      <c r="BK324" s="238"/>
      <c r="BL324" s="238"/>
      <c r="BM324" s="238"/>
      <c r="BN324" s="238"/>
      <c r="BO324" s="238"/>
      <c r="BP324" s="238"/>
      <c r="BQ324" s="238"/>
      <c r="BR324" s="240">
        <f>$BI$29/$BI$30</f>
        <v>-17.894488448782099</v>
      </c>
      <c r="BS324" s="240">
        <f>$BI$28/$BI$30</f>
        <v>359.02403518259086</v>
      </c>
      <c r="BT324" s="240">
        <f>$BI$27/$BI$30</f>
        <v>2397.5035457707181</v>
      </c>
      <c r="BU324" s="240">
        <f>($BI$26-BH319)/$BI$30</f>
        <v>-1369673413437.198</v>
      </c>
      <c r="BV324" s="240">
        <f>-BS324</f>
        <v>-359.02403518259086</v>
      </c>
      <c r="BW324" s="240">
        <f>BR324*BT324-4*BU324</f>
        <v>5478693610846.6924</v>
      </c>
      <c r="BX324" s="240">
        <f>BR324^2*-BU324+4*BS324*BU324-BT324^2</f>
        <v>-1528395863940999.7</v>
      </c>
      <c r="BY324" s="240">
        <f>1/3*(3*BW324-BV324^2)</f>
        <v>5478693567880.6064</v>
      </c>
      <c r="BZ324" s="240">
        <f>1/27*(2*BV324^3-9*BV324*BW324+27*BX324)</f>
        <v>-872734971470548.37</v>
      </c>
      <c r="CA324" s="240">
        <f>BZ324^2/4+BY324^3/27</f>
        <v>6.0907010059584408E+36</v>
      </c>
      <c r="CB324" s="240" t="e">
        <f>2*SQRT(-BY324/3)</f>
        <v>#NUM!</v>
      </c>
      <c r="CC324" s="240" t="e">
        <f>ACOS(3*BZ324/(BY324*CB324))/3</f>
        <v>#NUM!</v>
      </c>
      <c r="CD324" s="240" t="e">
        <f>CB324*COS(CC324)-BV324/3</f>
        <v>#NUM!</v>
      </c>
      <c r="CE324" s="240" t="e">
        <f>CB324*COS(CC324+2*PI()/3)-BV324/3</f>
        <v>#NUM!</v>
      </c>
      <c r="CF324" s="240" t="e">
        <f>CB324*COS(CC324+4*PI()/3)-BV324/3</f>
        <v>#NUM!</v>
      </c>
      <c r="CG324" s="240">
        <f>(-BZ324/2+SQRT(CA324))^(1/3)</f>
        <v>1351460.8658224295</v>
      </c>
      <c r="CH324" s="240">
        <f>(-BZ324/2-SQRT(CA324))^(1/3)</f>
        <v>-1351301.5696404814</v>
      </c>
      <c r="CI324" s="240">
        <f>IF(CA324&gt;0,+CG324+CH324-BV324/3,MAX(CD324:CF324))</f>
        <v>278.970860342354</v>
      </c>
      <c r="CJ324" s="240">
        <f>SQRT(BR324^2/4-BS324+CI324)</f>
        <v>2.0906128554425175E-3</v>
      </c>
      <c r="CK324" s="251" t="e">
        <f>SQRT(3*BR324^2/4-CJ324^2-2*BS324+(4*BR324*BS324-8*BT324-BR324^3)/(4*CJ324))</f>
        <v>#NUM!</v>
      </c>
      <c r="CL324" s="251">
        <f>SQRT(3*BR324^2/4-CJ324^2-2*BS324-(4*BR324*BS324-8*BT324-BR324^3)/(4*CJ324))</f>
        <v>2163.5497178182982</v>
      </c>
      <c r="CM324" s="240" t="e">
        <f>-BR324/4+CJ324/2+CK324/2</f>
        <v>#NUM!</v>
      </c>
      <c r="CN324" s="240" t="e">
        <f>-BR324/4+CJ324/2-CK324/2</f>
        <v>#NUM!</v>
      </c>
      <c r="CO324" s="240">
        <f>-BR324/4-CJ324/2+CL324/2</f>
        <v>1086.2474357149169</v>
      </c>
      <c r="CP324" s="240">
        <f>-BR324/4-CJ324/2-CL324/2</f>
        <v>-1077.3022821033812</v>
      </c>
      <c r="CQ324" s="240">
        <f t="shared" si="146"/>
        <v>0</v>
      </c>
      <c r="CR324" s="240">
        <f t="shared" si="146"/>
        <v>0</v>
      </c>
      <c r="CS324" s="240">
        <f t="shared" si="146"/>
        <v>0</v>
      </c>
      <c r="CT324" s="240">
        <f t="shared" si="146"/>
        <v>0</v>
      </c>
      <c r="CU324" s="240">
        <f>IF(SUM(CQ324:CT324)=MAX(CQ324:CT324),+MAX(CQ324:CT324),"There is not a unique solution!")</f>
        <v>0</v>
      </c>
      <c r="CV324" s="238"/>
      <c r="CW324" s="465"/>
    </row>
    <row r="325" spans="2:101" ht="18" customHeight="1" x14ac:dyDescent="0.2">
      <c r="B325" s="61"/>
      <c r="C325" s="610"/>
      <c r="D325" s="677" t="str">
        <f t="shared" si="141"/>
        <v/>
      </c>
      <c r="E325" s="677" t="str">
        <f t="shared" si="143"/>
        <v/>
      </c>
      <c r="F325" s="677" t="str">
        <f t="shared" si="144"/>
        <v/>
      </c>
      <c r="G325"/>
      <c r="H325"/>
      <c r="I325"/>
      <c r="J325" s="91"/>
      <c r="S325" s="2"/>
      <c r="BE325" s="668">
        <f>CU322</f>
        <v>2.936980074629421</v>
      </c>
      <c r="BF325" s="669">
        <f>CU323</f>
        <v>0</v>
      </c>
      <c r="BG325" s="670">
        <f>CU324</f>
        <v>0</v>
      </c>
      <c r="BH325" s="240"/>
      <c r="BI325" s="240"/>
      <c r="BJ325" s="240"/>
      <c r="BK325" s="238"/>
      <c r="BL325" s="238"/>
      <c r="BM325" s="238"/>
      <c r="BN325" s="238"/>
      <c r="BO325" s="238"/>
      <c r="BP325" s="238"/>
      <c r="BQ325" s="238"/>
      <c r="BR325" s="238"/>
      <c r="BS325" s="238"/>
      <c r="BT325" s="238"/>
      <c r="BU325" s="238"/>
      <c r="BV325" s="238"/>
      <c r="BW325" s="238"/>
      <c r="BX325" s="238"/>
      <c r="BY325" s="238"/>
      <c r="BZ325" s="238"/>
      <c r="CA325" s="238"/>
      <c r="CB325" s="238"/>
      <c r="CC325" s="238"/>
      <c r="CD325" s="238"/>
      <c r="CE325" s="238"/>
      <c r="CF325" s="238"/>
      <c r="CG325" s="238"/>
      <c r="CH325" s="238"/>
      <c r="CI325" s="238"/>
      <c r="CJ325" s="238"/>
      <c r="CK325" s="238"/>
      <c r="CL325" s="238"/>
      <c r="CM325" s="238"/>
      <c r="CN325" s="238"/>
      <c r="CO325" s="238"/>
      <c r="CP325" s="238"/>
      <c r="CQ325" s="238"/>
      <c r="CR325" s="238"/>
      <c r="CS325" s="238"/>
      <c r="CT325" s="238"/>
      <c r="CU325" s="238"/>
      <c r="CV325" s="238"/>
      <c r="CW325" s="465"/>
    </row>
    <row r="326" spans="2:101" ht="18" customHeight="1" thickBot="1" x14ac:dyDescent="0.25">
      <c r="B326" s="62"/>
      <c r="C326" s="611"/>
      <c r="D326" s="678" t="str">
        <f t="shared" si="141"/>
        <v/>
      </c>
      <c r="E326" s="678" t="str">
        <f t="shared" si="143"/>
        <v/>
      </c>
      <c r="F326" s="678" t="str">
        <f t="shared" si="144"/>
        <v/>
      </c>
      <c r="G326" s="11" t="str">
        <f>IF(I320&gt;0.01,"The relative standard uncertainty is too great.","The relative standard uncertainty is okay.")</f>
        <v>The relative standard uncertainty is okay.</v>
      </c>
      <c r="H326"/>
      <c r="I326"/>
      <c r="J326" s="44"/>
      <c r="S326" s="2"/>
      <c r="BE326" s="297">
        <f>(BG326-BF326)/2</f>
        <v>0</v>
      </c>
      <c r="BF326" s="298">
        <f>(BF325-BE325)/BE325</f>
        <v>-1</v>
      </c>
      <c r="BG326" s="299">
        <f>(BG325-BE325)/BE325</f>
        <v>-1</v>
      </c>
      <c r="BH326" s="240"/>
      <c r="BI326" s="240"/>
      <c r="BJ326" s="240"/>
      <c r="BK326" s="238"/>
      <c r="BL326" s="238"/>
      <c r="BM326" s="238"/>
      <c r="BN326" s="238"/>
      <c r="BO326" s="238"/>
      <c r="BP326" s="238"/>
      <c r="BQ326" s="238"/>
      <c r="BR326" s="238"/>
      <c r="BS326" s="238"/>
      <c r="BT326" s="238"/>
      <c r="BU326" s="238"/>
      <c r="BV326" s="238"/>
      <c r="BW326" s="238"/>
      <c r="BX326" s="238"/>
      <c r="BY326" s="238"/>
      <c r="BZ326" s="238"/>
      <c r="CA326" s="238"/>
      <c r="CB326" s="238"/>
      <c r="CC326" s="238"/>
      <c r="CD326" s="238"/>
      <c r="CE326" s="238"/>
      <c r="CF326" s="238"/>
      <c r="CG326" s="238"/>
      <c r="CH326" s="238"/>
      <c r="CI326" s="238"/>
      <c r="CJ326" s="238"/>
      <c r="CK326" s="238"/>
      <c r="CL326" s="238"/>
      <c r="CM326" s="238"/>
      <c r="CN326" s="238"/>
      <c r="CO326" s="238"/>
      <c r="CP326" s="238"/>
      <c r="CQ326" s="238"/>
      <c r="CR326" s="238"/>
      <c r="CS326" s="238"/>
      <c r="CT326" s="238"/>
      <c r="CU326" s="238"/>
      <c r="CV326" s="238"/>
      <c r="CW326" s="465"/>
    </row>
    <row r="327" spans="2:101" ht="18" customHeight="1" thickTop="1" x14ac:dyDescent="0.2">
      <c r="B327" s="5" t="s">
        <v>420</v>
      </c>
      <c r="C327" s="11">
        <f>COUNT(B307:B326)</f>
        <v>9</v>
      </c>
      <c r="F327"/>
      <c r="J327" s="44"/>
      <c r="S327" s="2"/>
      <c r="BE327" s="672" t="s">
        <v>421</v>
      </c>
      <c r="BF327" s="240"/>
      <c r="BG327" s="240"/>
      <c r="BH327" s="240"/>
      <c r="BI327" s="606">
        <f>BH322</f>
        <v>0.99999999999999778</v>
      </c>
      <c r="BJ327" s="240"/>
      <c r="BK327" s="240"/>
      <c r="BL327" s="240"/>
      <c r="BM327" s="240"/>
      <c r="BN327" s="240"/>
      <c r="BO327" s="240"/>
      <c r="BP327" s="240"/>
      <c r="BQ327" s="240"/>
      <c r="BR327" s="240"/>
      <c r="BS327" s="240"/>
      <c r="BT327" s="240"/>
      <c r="BU327" s="240"/>
      <c r="BV327" s="240"/>
      <c r="BW327" s="240"/>
      <c r="BX327" s="240"/>
      <c r="BY327" s="240"/>
      <c r="BZ327" s="240"/>
      <c r="CA327" s="240"/>
      <c r="CB327" s="240"/>
      <c r="CC327" s="240"/>
      <c r="CD327" s="240"/>
      <c r="CE327" s="240"/>
      <c r="CF327" s="240"/>
      <c r="CG327" s="240"/>
      <c r="CH327" s="240"/>
      <c r="CI327" s="240"/>
      <c r="CJ327" s="240"/>
      <c r="CK327" s="240"/>
      <c r="CL327" s="240"/>
      <c r="CM327" s="240"/>
      <c r="CN327" s="240"/>
      <c r="CO327" s="240"/>
      <c r="CP327" s="240"/>
      <c r="CQ327" s="240"/>
      <c r="CR327" s="240"/>
      <c r="CS327" s="240"/>
      <c r="CT327" s="240"/>
      <c r="CU327" s="240"/>
      <c r="CV327" s="240"/>
      <c r="CW327" s="465"/>
    </row>
    <row r="328" spans="2:101" ht="18" customHeight="1" x14ac:dyDescent="0.2">
      <c r="J328" s="44"/>
      <c r="S328" s="2"/>
      <c r="CW328" s="465"/>
    </row>
    <row r="329" spans="2:101" ht="18" customHeight="1" x14ac:dyDescent="0.2">
      <c r="B329" s="12" t="str">
        <f>IF(p="q",+S308,+K305)</f>
        <v>Coefficients are not significantly different.</v>
      </c>
      <c r="C329" s="14"/>
      <c r="D329" s="14"/>
      <c r="E329" s="14"/>
      <c r="F329" s="14"/>
      <c r="G329" s="14"/>
      <c r="H329" s="13"/>
      <c r="I329" s="575"/>
      <c r="J329" s="44"/>
      <c r="S329" s="2"/>
      <c r="CW329" s="465"/>
    </row>
    <row r="330" spans="2:101" ht="18" customHeight="1" x14ac:dyDescent="0.2">
      <c r="B330" s="15" t="str">
        <f>IF(p="q",+S309,+K306)</f>
        <v>Consider including the new data as part of original calibration (Step 1).</v>
      </c>
      <c r="C330" s="17"/>
      <c r="D330" s="17"/>
      <c r="E330" s="17"/>
      <c r="F330" s="17"/>
      <c r="G330" s="17"/>
      <c r="H330" s="16"/>
      <c r="I330" s="575"/>
      <c r="J330"/>
      <c r="S330" s="2"/>
      <c r="CW330" s="465"/>
    </row>
    <row r="331" spans="2:101" ht="18" customHeight="1" x14ac:dyDescent="0.2">
      <c r="B331"/>
      <c r="C331"/>
      <c r="D331"/>
      <c r="E331"/>
      <c r="F331"/>
      <c r="G331"/>
      <c r="J331"/>
      <c r="S331" s="2"/>
      <c r="CW331" s="465"/>
    </row>
    <row r="332" spans="2:101" ht="18" customHeight="1" x14ac:dyDescent="0.2">
      <c r="B332" s="2" t="s">
        <v>422</v>
      </c>
      <c r="S332" s="2"/>
      <c r="CW332" s="465"/>
    </row>
    <row r="333" spans="2:101" ht="18" customHeight="1" x14ac:dyDescent="0.2">
      <c r="B333" s="640">
        <f>IF(p="Q",+S318,+K315)</f>
        <v>2.9337394028365988</v>
      </c>
      <c r="CW333" s="465"/>
    </row>
    <row r="334" spans="2:101" ht="18" customHeight="1" x14ac:dyDescent="0.2">
      <c r="J334" s="575"/>
      <c r="CW334" s="465"/>
    </row>
    <row r="335" spans="2:101" ht="18" customHeight="1" x14ac:dyDescent="0.2">
      <c r="B335" s="3" t="s">
        <v>423</v>
      </c>
      <c r="D335" s="1" t="s">
        <v>424</v>
      </c>
      <c r="J335" s="575"/>
    </row>
    <row r="336" spans="2:101" ht="18" customHeight="1" x14ac:dyDescent="0.2">
      <c r="B336" s="64">
        <f>ABS(IF(p="Q",+S319,+L316))</f>
        <v>7.6149313971016694E-3</v>
      </c>
      <c r="D336" s="64">
        <f>IF(p="Q",+V315,+N312)</f>
        <v>0.45660958287214432</v>
      </c>
    </row>
    <row r="338" spans="2:10" ht="18" customHeight="1" x14ac:dyDescent="0.2">
      <c r="B338" s="3" t="s">
        <v>425</v>
      </c>
    </row>
    <row r="339" spans="2:10" ht="18" customHeight="1" x14ac:dyDescent="0.2">
      <c r="B339" s="4" t="s">
        <v>259</v>
      </c>
      <c r="C339" s="4" t="s">
        <v>260</v>
      </c>
      <c r="E339" s="2" t="s">
        <v>426</v>
      </c>
    </row>
    <row r="340" spans="2:10" ht="18" customHeight="1" x14ac:dyDescent="0.2">
      <c r="B340" s="649">
        <f>IF(p="Q",+T318,+L315)</f>
        <v>2.9113673960270541</v>
      </c>
      <c r="C340" s="650">
        <f>IF(p="Q",+U318,+M315)</f>
        <v>2.9560478446062035</v>
      </c>
    </row>
    <row r="342" spans="2:10" ht="18" customHeight="1" x14ac:dyDescent="0.2">
      <c r="B342" s="1" t="s">
        <v>427</v>
      </c>
    </row>
    <row r="343" spans="2:10" ht="18" customHeight="1" x14ac:dyDescent="0.2">
      <c r="B343" s="2" t="s">
        <v>428</v>
      </c>
    </row>
    <row r="344" spans="2:10" ht="18" customHeight="1" x14ac:dyDescent="0.2">
      <c r="B344" s="2" t="s">
        <v>429</v>
      </c>
    </row>
    <row r="351" spans="2:10" ht="18" customHeight="1" x14ac:dyDescent="0.2">
      <c r="B351"/>
      <c r="C351"/>
      <c r="D351"/>
      <c r="E351"/>
      <c r="F351"/>
      <c r="G351"/>
      <c r="H351"/>
      <c r="I351"/>
      <c r="J351"/>
    </row>
    <row r="352" spans="2:10" ht="18" customHeight="1" x14ac:dyDescent="0.2">
      <c r="B352"/>
      <c r="C352"/>
      <c r="D352"/>
      <c r="E352"/>
      <c r="F352"/>
      <c r="G352"/>
      <c r="H352"/>
      <c r="I352"/>
      <c r="J352"/>
    </row>
    <row r="353" spans="2:11" ht="18" customHeight="1" x14ac:dyDescent="0.2">
      <c r="B353"/>
      <c r="C353"/>
      <c r="D353"/>
      <c r="E353"/>
      <c r="F353"/>
      <c r="G353"/>
      <c r="H353"/>
      <c r="I353"/>
      <c r="J353"/>
    </row>
    <row r="355" spans="2:11" ht="18" customHeight="1" x14ac:dyDescent="0.2">
      <c r="K355"/>
    </row>
    <row r="356" spans="2:11" ht="18" customHeight="1" x14ac:dyDescent="0.2">
      <c r="K356"/>
    </row>
    <row r="357" spans="2:11" ht="18" customHeight="1" x14ac:dyDescent="0.2">
      <c r="K357"/>
    </row>
    <row r="358" spans="2:11" ht="18" customHeight="1" x14ac:dyDescent="0.2">
      <c r="K358"/>
    </row>
    <row r="359" spans="2:11" ht="18" customHeight="1" x14ac:dyDescent="0.2">
      <c r="K359"/>
    </row>
  </sheetData>
  <sheetProtection sheet="1" objects="1" scenarios="1"/>
  <protectedRanges>
    <protectedRange sqref="C12:D61" name="Range1"/>
    <protectedRange sqref="D165" name="Range2"/>
    <protectedRange sqref="D167" name="Range3"/>
    <protectedRange sqref="D197:E206" name="Range4"/>
    <protectedRange sqref="C228:C237" name="Range5"/>
    <protectedRange sqref="C264:C273" name="Range6"/>
    <protectedRange sqref="E264:F273" name="Range7"/>
    <protectedRange sqref="B307:C326" name="Range8"/>
    <protectedRange sqref="H307:H316" name="Range9"/>
  </protectedRanges>
  <phoneticPr fontId="30" type="noConversion"/>
  <pageMargins left="1" right="1" top="0.5" bottom="0.5" header="0.2" footer="0.2"/>
  <pageSetup scale="67" orientation="portrait" r:id="rId1"/>
  <headerFooter alignWithMargins="0">
    <oddFooter>&amp;L&amp;F&amp;CPage &amp;P&amp;R&amp;D</oddFooter>
  </headerFooter>
  <rowBreaks count="7" manualBreakCount="7">
    <brk id="60" max="65535" man="1"/>
    <brk id="92" max="65535" man="1"/>
    <brk id="131" max="65535" man="1"/>
    <brk id="155" max="65535" man="1"/>
    <brk id="186" max="65535" man="1"/>
    <brk id="220" max="65535" man="1"/>
    <brk id="264" max="65535" man="1"/>
  </rowBreaks>
  <colBreaks count="3" manualBreakCount="3">
    <brk id="10" max="1048575" man="1"/>
    <brk id="18" max="1048575" man="1"/>
    <brk id="2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3"/>
  <sheetViews>
    <sheetView showGridLines="0" zoomScale="80" workbookViewId="0"/>
  </sheetViews>
  <sheetFormatPr defaultColWidth="6.77734375" defaultRowHeight="18" customHeight="1" x14ac:dyDescent="0.2"/>
  <cols>
    <col min="4" max="4" width="9.6640625" customWidth="1"/>
    <col min="16" max="16" width="9.6640625" customWidth="1"/>
    <col min="17" max="21" width="10.109375" customWidth="1"/>
    <col min="27" max="27" width="12.33203125" customWidth="1"/>
    <col min="28" max="31" width="12.21875" customWidth="1"/>
    <col min="32" max="32" width="12.77734375" customWidth="1"/>
    <col min="33" max="33" width="12.21875" customWidth="1"/>
    <col min="34" max="34" width="12.77734375" customWidth="1"/>
    <col min="35" max="35" width="10.109375" customWidth="1"/>
  </cols>
  <sheetData>
    <row r="1" spans="1:21" ht="18" customHeight="1" x14ac:dyDescent="0.2">
      <c r="A1" s="65"/>
      <c r="B1" s="1" t="s">
        <v>430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21" ht="18" customHeight="1" x14ac:dyDescent="0.2">
      <c r="A2" s="65"/>
      <c r="B2" s="1" t="s">
        <v>431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21" ht="18" customHeight="1" thickBot="1" x14ac:dyDescent="0.25">
      <c r="A3" s="65"/>
      <c r="B3" s="1" t="s">
        <v>432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21" ht="18" customHeight="1" thickTop="1" thickBot="1" x14ac:dyDescent="0.25">
      <c r="A4" s="65"/>
      <c r="B4" t="s">
        <v>433</v>
      </c>
      <c r="C4" s="65"/>
      <c r="D4" s="65"/>
      <c r="E4" s="65"/>
      <c r="F4" s="65"/>
      <c r="G4" s="65"/>
      <c r="H4" s="423">
        <v>0.95</v>
      </c>
      <c r="I4" s="66" t="s">
        <v>434</v>
      </c>
      <c r="J4" s="65"/>
      <c r="K4" s="65"/>
      <c r="L4" s="65"/>
      <c r="M4" s="65"/>
      <c r="N4" s="65"/>
    </row>
    <row r="5" spans="1:21" ht="18" customHeight="1" thickTop="1" x14ac:dyDescent="0.2">
      <c r="A5" s="65"/>
      <c r="B5" s="2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21" ht="18" customHeight="1" x14ac:dyDescent="0.2">
      <c r="A6" s="70">
        <f>MIN('Measurement Data'!C12:C61)</f>
        <v>0</v>
      </c>
      <c r="B6" s="1" t="s">
        <v>435</v>
      </c>
      <c r="C6" s="65"/>
      <c r="D6" s="65"/>
      <c r="E6" s="65"/>
      <c r="F6" s="65"/>
      <c r="G6" s="65"/>
      <c r="H6" s="341">
        <f>TINV(1-$H$4,df)</f>
        <v>2.109815577833317</v>
      </c>
      <c r="I6" s="348" t="s">
        <v>436</v>
      </c>
      <c r="J6" s="349"/>
      <c r="K6" s="349"/>
      <c r="L6" s="65"/>
      <c r="M6" s="65"/>
      <c r="N6" s="65"/>
    </row>
    <row r="7" spans="1:21" ht="18" customHeight="1" x14ac:dyDescent="0.2">
      <c r="A7" s="70">
        <f>MAX('Measurement Data'!C12:C61)</f>
        <v>9</v>
      </c>
      <c r="B7" s="1" t="s">
        <v>437</v>
      </c>
      <c r="C7" s="65"/>
      <c r="D7" s="65"/>
      <c r="E7" s="65"/>
      <c r="F7" s="65"/>
      <c r="G7" s="65"/>
      <c r="H7" s="342">
        <f>TINV(1-$H$4,df-1)</f>
        <v>2.119905299221255</v>
      </c>
      <c r="I7" s="350" t="s">
        <v>438</v>
      </c>
      <c r="J7" s="351"/>
      <c r="K7" s="351"/>
      <c r="L7" s="65"/>
      <c r="M7" s="65"/>
      <c r="N7" s="65"/>
    </row>
    <row r="8" spans="1:21" ht="18" customHeight="1" x14ac:dyDescent="0.2">
      <c r="A8" s="71">
        <f>n</f>
        <v>19</v>
      </c>
      <c r="B8" s="1" t="s">
        <v>439</v>
      </c>
      <c r="C8" s="65"/>
      <c r="D8" s="65"/>
      <c r="E8" s="65"/>
      <c r="F8" s="65"/>
      <c r="G8" s="65"/>
      <c r="H8" s="558">
        <f>TINV(1-$H$4,df-2)</f>
        <v>2.1314495455597742</v>
      </c>
      <c r="I8" s="559" t="s">
        <v>440</v>
      </c>
      <c r="J8" s="560"/>
      <c r="K8" s="560"/>
      <c r="L8" s="65"/>
      <c r="M8" s="65"/>
      <c r="N8" s="65"/>
    </row>
    <row r="9" spans="1:21" ht="18" customHeight="1" x14ac:dyDescent="0.2">
      <c r="A9" s="47"/>
      <c r="B9" s="1"/>
      <c r="C9" s="65"/>
      <c r="D9" s="65"/>
      <c r="E9" s="65"/>
      <c r="F9" s="65"/>
      <c r="G9" s="65"/>
      <c r="H9" s="574">
        <f>TINV(1-$H$4,df-3)</f>
        <v>2.1447866879178035</v>
      </c>
      <c r="I9" s="346" t="s">
        <v>441</v>
      </c>
      <c r="J9" s="347"/>
      <c r="K9" s="347"/>
      <c r="L9" s="65"/>
      <c r="M9" s="65"/>
      <c r="N9" s="65"/>
    </row>
    <row r="10" spans="1:21" ht="18" customHeight="1" x14ac:dyDescent="0.2">
      <c r="A10" s="2" t="s">
        <v>442</v>
      </c>
      <c r="B10" s="65"/>
      <c r="C10" s="65"/>
      <c r="D10" s="65"/>
      <c r="E10" s="65"/>
      <c r="F10" s="343" t="s">
        <v>443</v>
      </c>
      <c r="G10" s="344"/>
      <c r="H10" s="344"/>
      <c r="I10" s="345"/>
      <c r="J10" s="324" t="s">
        <v>444</v>
      </c>
      <c r="K10" s="325"/>
      <c r="L10" s="325"/>
      <c r="M10" s="326"/>
      <c r="N10" s="539" t="s">
        <v>445</v>
      </c>
      <c r="O10" s="540"/>
      <c r="P10" s="540"/>
      <c r="Q10" s="541"/>
      <c r="R10" s="300" t="s">
        <v>446</v>
      </c>
      <c r="S10" s="301"/>
      <c r="T10" s="301"/>
      <c r="U10" s="302"/>
    </row>
    <row r="11" spans="1:21" ht="18" customHeight="1" x14ac:dyDescent="0.2">
      <c r="A11" s="67" t="s">
        <v>156</v>
      </c>
      <c r="B11" s="67" t="s">
        <v>447</v>
      </c>
      <c r="C11" s="67" t="s">
        <v>448</v>
      </c>
      <c r="D11" s="123"/>
      <c r="E11" s="352"/>
      <c r="F11" s="315" t="s">
        <v>258</v>
      </c>
      <c r="G11" s="316" t="s">
        <v>259</v>
      </c>
      <c r="H11" s="317" t="s">
        <v>260</v>
      </c>
      <c r="I11" s="318" t="s">
        <v>449</v>
      </c>
      <c r="J11" s="327" t="s">
        <v>258</v>
      </c>
      <c r="K11" s="328" t="s">
        <v>259</v>
      </c>
      <c r="L11" s="329" t="s">
        <v>260</v>
      </c>
      <c r="M11" s="330" t="s">
        <v>449</v>
      </c>
      <c r="N11" s="542" t="s">
        <v>258</v>
      </c>
      <c r="O11" s="543" t="s">
        <v>259</v>
      </c>
      <c r="P11" s="544" t="s">
        <v>260</v>
      </c>
      <c r="Q11" s="546" t="s">
        <v>449</v>
      </c>
      <c r="R11" s="303" t="s">
        <v>258</v>
      </c>
      <c r="S11" s="304" t="s">
        <v>259</v>
      </c>
      <c r="T11" s="305" t="s">
        <v>260</v>
      </c>
      <c r="U11" s="306" t="s">
        <v>449</v>
      </c>
    </row>
    <row r="12" spans="1:21" ht="18" customHeight="1" x14ac:dyDescent="0.2">
      <c r="A12" s="424">
        <v>1</v>
      </c>
      <c r="B12" s="72">
        <f>IF($A12&gt;n,"",+'Measurement Data'!C12)</f>
        <v>0</v>
      </c>
      <c r="C12" s="73">
        <f>IF($A12&gt;n,-999,+'Measurement Data'!D12)</f>
        <v>0.21940000000000001</v>
      </c>
      <c r="D12" s="74"/>
      <c r="E12" s="74"/>
      <c r="F12" s="319"/>
      <c r="G12" s="320"/>
      <c r="H12" s="320"/>
      <c r="I12" s="321">
        <f>+C12-('Measurement Data'!$K$27+'Measurement Data'!$K$28*B12)</f>
        <v>1.2971515789473675</v>
      </c>
      <c r="J12" s="331"/>
      <c r="K12" s="332"/>
      <c r="L12" s="332"/>
      <c r="M12" s="333">
        <f>+C12-('Measurement Data'!$U$30+B12*'Measurement Data'!$U$31+B12^2*'Measurement Data'!$U$32)</f>
        <v>2.2978646616529125E-2</v>
      </c>
      <c r="N12" s="547"/>
      <c r="O12" s="548"/>
      <c r="P12" s="548"/>
      <c r="Q12" s="549">
        <f>+C12-('Measurement Data'!$AD$30+B12*'Measurement Data'!$AD$31+B12^2*'Measurement Data'!$AD$32+B12^3*'Measurement Data'!$AD$33)</f>
        <v>2.4228981544687861E-2</v>
      </c>
      <c r="R12" s="307"/>
      <c r="S12" s="308"/>
      <c r="T12" s="308"/>
      <c r="U12" s="309">
        <f>+C12-('Measurement Data'!$BI$26+B12*'Measurement Data'!$BI$27+B12^2*'Measurement Data'!$BI$28+B12^3*'Measurement Data'!$BI$29+B12^4*'Measurement Data'!$BI$30)</f>
        <v>-1.1643436647051086E-3</v>
      </c>
    </row>
    <row r="13" spans="1:21" ht="18" customHeight="1" x14ac:dyDescent="0.2">
      <c r="A13" s="425">
        <v>2</v>
      </c>
      <c r="B13" s="74">
        <f>IF($A13&gt;n,"",+'Measurement Data'!C13)</f>
        <v>0.5</v>
      </c>
      <c r="C13" s="75">
        <f>IF($A13&gt;n,-999,+'Measurement Data'!D13)</f>
        <v>0.71409999999999996</v>
      </c>
      <c r="D13" s="74"/>
      <c r="E13" s="74"/>
      <c r="F13" s="319"/>
      <c r="G13" s="320"/>
      <c r="H13" s="320"/>
      <c r="I13" s="321">
        <f>IF(A13&gt;n,+I12,+C13-('Measurement Data'!$K$27+'Measurement Data'!$K$28*B13))</f>
        <v>0.8415978947368401</v>
      </c>
      <c r="J13" s="331"/>
      <c r="K13" s="332"/>
      <c r="L13" s="332"/>
      <c r="M13" s="333">
        <f>IF(A13&gt;n,M12,+C13-('Measurement Data'!$U$30+B13*'Measurement Data'!$U$31+B13^2*'Measurement Data'!$U$32))</f>
        <v>-7.8507268170553424E-3</v>
      </c>
      <c r="N13" s="547"/>
      <c r="O13" s="548"/>
      <c r="P13" s="548"/>
      <c r="Q13" s="549">
        <f>IF(A13&gt;n,Q12,+C13-('Measurement Data'!$AD$30+B13*'Measurement Data'!$AD$31+B13^2*'Measurement Data'!$AD$32+B13^3*'Measurement Data'!$AD$33))</f>
        <v>-7.4339485076320155E-3</v>
      </c>
      <c r="R13" s="307"/>
      <c r="S13" s="308"/>
      <c r="T13" s="308"/>
      <c r="U13" s="309">
        <f>IF(A13&gt;n,+U12,+C13-('Measurement Data'!$BI$26+B13*'Measurement Data'!$BI$27+B13^2*'Measurement Data'!$BI$28+B13^3*'Measurement Data'!$BI$29+B13^4*'Measurement Data'!$BI$30))</f>
        <v>-4.6124679280211689E-3</v>
      </c>
    </row>
    <row r="14" spans="1:21" ht="18" customHeight="1" x14ac:dyDescent="0.2">
      <c r="A14" s="425">
        <v>3</v>
      </c>
      <c r="B14" s="74">
        <f>IF($A14&gt;n,"",+'Measurement Data'!C14)</f>
        <v>1</v>
      </c>
      <c r="C14" s="75">
        <f>IF($A14&gt;n,-999,+'Measurement Data'!D14)</f>
        <v>1.2885</v>
      </c>
      <c r="D14" s="74"/>
      <c r="E14" s="74"/>
      <c r="F14" s="319"/>
      <c r="G14" s="320"/>
      <c r="H14" s="320"/>
      <c r="I14" s="321">
        <f>IF(A14&gt;n,+I13,+C14-('Measurement Data'!$K$27+'Measurement Data'!$K$28*B14))</f>
        <v>0.46574421052631276</v>
      </c>
      <c r="J14" s="331"/>
      <c r="K14" s="332"/>
      <c r="L14" s="332"/>
      <c r="M14" s="333">
        <f>IF(A14&gt;n,M13,+C14-('Measurement Data'!$U$30+B14*'Measurement Data'!$U$31+B14^2*'Measurement Data'!$U$32))</f>
        <v>-8.9476662243974658E-3</v>
      </c>
      <c r="N14" s="547"/>
      <c r="O14" s="548"/>
      <c r="P14" s="548"/>
      <c r="Q14" s="549">
        <f>IF(A14&gt;n,Q13,+C14-('Measurement Data'!$AD$30+B14*'Measurement Data'!$AD$31+B14^2*'Measurement Data'!$AD$32+B14^3*'Measurement Data'!$AD$33))</f>
        <v>-9.1192808222997357E-3</v>
      </c>
      <c r="R14" s="307"/>
      <c r="S14" s="308"/>
      <c r="T14" s="308"/>
      <c r="U14" s="309">
        <f>IF(A14&gt;n,+U13,+C14-('Measurement Data'!$BI$26+B14*'Measurement Data'!$BI$27+B14^2*'Measurement Data'!$BI$28+B14^3*'Measurement Data'!$BI$29+B14^4*'Measurement Data'!$BI$30))</f>
        <v>6.9797554227291059E-3</v>
      </c>
    </row>
    <row r="15" spans="1:21" ht="18" customHeight="1" x14ac:dyDescent="0.2">
      <c r="A15" s="425">
        <v>4</v>
      </c>
      <c r="B15" s="74">
        <f>IF($A15&gt;n,"",+'Measurement Data'!C15)</f>
        <v>1.5</v>
      </c>
      <c r="C15" s="75">
        <f>IF($A15&gt;n,-999,+'Measurement Data'!D15)</f>
        <v>1.9132</v>
      </c>
      <c r="D15" s="74"/>
      <c r="E15" s="74"/>
      <c r="F15" s="319"/>
      <c r="G15" s="320"/>
      <c r="H15" s="320"/>
      <c r="I15" s="321">
        <f>IF(A15&gt;n,+I14,+C15-('Measurement Data'!$K$27+'Measurement Data'!$K$28*B15))</f>
        <v>0.14019052631578544</v>
      </c>
      <c r="J15" s="331"/>
      <c r="K15" s="332"/>
      <c r="L15" s="332"/>
      <c r="M15" s="333">
        <f>IF(A15&gt;n,M14,+C15-('Measurement Data'!$U$30+B15*'Measurement Data'!$U$31+B15^2*'Measurement Data'!$U$32))</f>
        <v>-9.7121716054973106E-3</v>
      </c>
      <c r="N15" s="547"/>
      <c r="O15" s="548"/>
      <c r="P15" s="548"/>
      <c r="Q15" s="549">
        <f>IF(A15&gt;n,Q14,+C15-('Measurement Data'!$AD$30+B15*'Measurement Data'!$AD$31+B15^2*'Measurement Data'!$AD$32+B15^3*'Measurement Data'!$AD$33))</f>
        <v>-1.0257660863239204E-2</v>
      </c>
      <c r="R15" s="307"/>
      <c r="S15" s="308"/>
      <c r="T15" s="308"/>
      <c r="U15" s="309">
        <f>IF(A15&gt;n,+U14,+C15-('Measurement Data'!$BI$26+B15*'Measurement Data'!$BI$27+B15^2*'Measurement Data'!$BI$28+B15^3*'Measurement Data'!$BI$29+B15^4*'Measurement Data'!$BI$30))</f>
        <v>8.5383788763013779E-3</v>
      </c>
    </row>
    <row r="16" spans="1:21" ht="18" customHeight="1" x14ac:dyDescent="0.2">
      <c r="A16" s="425">
        <v>5</v>
      </c>
      <c r="B16" s="74">
        <f>IF($A16&gt;n,-999,+'Measurement Data'!C16)</f>
        <v>2</v>
      </c>
      <c r="C16" s="75">
        <f>IF($A16&gt;n,-999,+'Measurement Data'!D16)</f>
        <v>2.5910000000000002</v>
      </c>
      <c r="D16" s="74"/>
      <c r="E16" s="74"/>
      <c r="F16" s="319"/>
      <c r="G16" s="320"/>
      <c r="H16" s="320"/>
      <c r="I16" s="321">
        <f>IF(A16&gt;n,+I15,+C16-('Measurement Data'!$K$27+'Measurement Data'!$K$28*B16))</f>
        <v>-0.13226315789474175</v>
      </c>
      <c r="J16" s="331"/>
      <c r="K16" s="332"/>
      <c r="L16" s="332"/>
      <c r="M16" s="333">
        <f>IF(A16&gt;n,M15,+C16-('Measurement Data'!$U$30+B16*'Measurement Data'!$U$31+B16^2*'Measurement Data'!$U$32))</f>
        <v>-7.344242960354741E-3</v>
      </c>
      <c r="N16" s="547"/>
      <c r="O16" s="548"/>
      <c r="P16" s="548"/>
      <c r="Q16" s="549">
        <f>IF(A16&gt;n,Q15,+C16-('Measurement Data'!$AD$30+B16*'Measurement Data'!$AD$31+B16^2*'Measurement Data'!$AD$32+B16^3*'Measurement Data'!$AD$33))</f>
        <v>-8.0797340943741247E-3</v>
      </c>
      <c r="R16" s="307"/>
      <c r="S16" s="308"/>
      <c r="T16" s="308"/>
      <c r="U16" s="309">
        <f>IF(A16&gt;n,+U15,+C16-('Measurement Data'!$BI$26+B16*'Measurement Data'!$BI$27+B16^2*'Measurement Data'!$BI$28+B16^3*'Measurement Data'!$BI$29+B16^4*'Measurement Data'!$BI$30))</f>
        <v>6.6085618610918218E-3</v>
      </c>
    </row>
    <row r="17" spans="1:21" ht="18" customHeight="1" x14ac:dyDescent="0.2">
      <c r="A17" s="425">
        <v>6</v>
      </c>
      <c r="B17" s="74">
        <f>IF($A17&gt;n,-999,+'Measurement Data'!C17)</f>
        <v>2.5</v>
      </c>
      <c r="C17" s="75">
        <f>IF($A17&gt;n,-999,+'Measurement Data'!D17)</f>
        <v>3.2866</v>
      </c>
      <c r="D17" s="74"/>
      <c r="E17" s="74"/>
      <c r="F17" s="319"/>
      <c r="G17" s="320"/>
      <c r="H17" s="320"/>
      <c r="I17" s="321">
        <f>IF(A17&gt;n,+I16,+C17-('Measurement Data'!$K$27+'Measurement Data'!$K$28*B17))</f>
        <v>-0.38691684210526933</v>
      </c>
      <c r="J17" s="331"/>
      <c r="K17" s="332"/>
      <c r="L17" s="332"/>
      <c r="M17" s="333">
        <f>IF(A17&gt;n,M16,+C17-('Measurement Data'!$U$30+B17*'Measurement Data'!$U$31+B17^2*'Measurement Data'!$U$32))</f>
        <v>-3.7143880288970088E-2</v>
      </c>
      <c r="N17" s="547"/>
      <c r="O17" s="548"/>
      <c r="P17" s="548"/>
      <c r="Q17" s="549">
        <f>IF(A17&gt;n,Q16,+C17-('Measurement Data'!$AD$30+B17*'Measurement Data'!$AD$31+B17^2*'Measurement Data'!$AD$32+B17^3*'Measurement Data'!$AD$33))</f>
        <v>-3.791614597962889E-2</v>
      </c>
      <c r="R17" s="307"/>
      <c r="S17" s="308"/>
      <c r="T17" s="308"/>
      <c r="U17" s="309">
        <f>IF(A17&gt;n,+U16,+C17-('Measurement Data'!$BI$26+B17*'Measurement Data'!$BI$27+B17^2*'Measurement Data'!$BI$28+B17^3*'Measurement Data'!$BI$29+B17^4*'Measurement Data'!$BI$30))</f>
        <v>-3.0945429254864987E-2</v>
      </c>
    </row>
    <row r="18" spans="1:21" ht="18" customHeight="1" x14ac:dyDescent="0.2">
      <c r="A18" s="425">
        <v>7</v>
      </c>
      <c r="B18" s="74">
        <f>IF($A18&gt;n,-999,+'Measurement Data'!C18)</f>
        <v>3</v>
      </c>
      <c r="C18" s="75">
        <f>IF($A18&gt;n,-999,+'Measurement Data'!D18)</f>
        <v>4.1078000000000001</v>
      </c>
      <c r="D18" s="74"/>
      <c r="E18" s="74"/>
      <c r="F18" s="319"/>
      <c r="G18" s="320"/>
      <c r="H18" s="320"/>
      <c r="I18" s="321">
        <f>IF(A18&gt;n,+I17,+C18-('Measurement Data'!$K$27+'Measurement Data'!$K$28*B18))</f>
        <v>-0.51597052631579654</v>
      </c>
      <c r="J18" s="331"/>
      <c r="K18" s="332"/>
      <c r="L18" s="332"/>
      <c r="M18" s="333">
        <f>IF(A18&gt;n,M17,+C18-('Measurement Data'!$U$30+B18*'Measurement Data'!$U$31+B18^2*'Measurement Data'!$U$32))</f>
        <v>8.6889164086567661E-3</v>
      </c>
      <c r="N18" s="547"/>
      <c r="O18" s="548"/>
      <c r="P18" s="548"/>
      <c r="Q18" s="549">
        <f>IF(A18&gt;n,Q17,+C18-('Measurement Data'!$AD$30+B18*'Measurement Data'!$AD$31+B18^2*'Measurement Data'!$AD$32+B18^3*'Measurement Data'!$AD$33))</f>
        <v>8.0024580170734438E-3</v>
      </c>
      <c r="R18" s="307"/>
      <c r="S18" s="308"/>
      <c r="T18" s="308"/>
      <c r="U18" s="309">
        <f>IF(A18&gt;n,+U17,+C18-('Measurement Data'!$BI$26+B18*'Measurement Data'!$BI$27+B18^2*'Measurement Data'!$BI$28+B18^3*'Measurement Data'!$BI$29+B18^4*'Measurement Data'!$BI$30))</f>
        <v>6.2597788361076212E-3</v>
      </c>
    </row>
    <row r="19" spans="1:21" ht="18" customHeight="1" x14ac:dyDescent="0.2">
      <c r="A19" s="425">
        <v>8</v>
      </c>
      <c r="B19" s="74">
        <f>IF($A19&gt;n,-999,+'Measurement Data'!C19)</f>
        <v>3.5</v>
      </c>
      <c r="C19" s="75">
        <f>IF($A19&gt;n,-999,+'Measurement Data'!D19)</f>
        <v>4.9446000000000003</v>
      </c>
      <c r="D19" s="74"/>
      <c r="E19" s="74"/>
      <c r="F19" s="319"/>
      <c r="G19" s="320"/>
      <c r="H19" s="320"/>
      <c r="I19" s="321">
        <f>IF(A19&gt;n,+I18,+C19-('Measurement Data'!$K$27+'Measurement Data'!$K$28*B19))</f>
        <v>-0.62942421052632369</v>
      </c>
      <c r="J19" s="331"/>
      <c r="K19" s="332"/>
      <c r="L19" s="332"/>
      <c r="M19" s="333">
        <f>IF(A19&gt;n,M18,+C19-('Measurement Data'!$U$30+B19*'Measurement Data'!$U$31+B19^2*'Measurement Data'!$U$32))</f>
        <v>2.015414713252639E-2</v>
      </c>
      <c r="N19" s="547"/>
      <c r="O19" s="548"/>
      <c r="P19" s="548"/>
      <c r="Q19" s="549">
        <f>IF(A19&gt;n,Q18,+C19-('Measurement Data'!$AD$30+B19*'Measurement Data'!$AD$31+B19^2*'Measurement Data'!$AD$32+B19^3*'Measurement Data'!$AD$33))</f>
        <v>1.9645432431809162E-2</v>
      </c>
      <c r="R19" s="307"/>
      <c r="S19" s="308"/>
      <c r="T19" s="308"/>
      <c r="U19" s="309">
        <f>IF(A19&gt;n,+U18,+C19-('Measurement Data'!$BI$26+B19*'Measurement Data'!$BI$27+B19^2*'Measurement Data'!$BI$28+B19^3*'Measurement Data'!$BI$29+B19^4*'Measurement Data'!$BI$30))</f>
        <v>1.0226666381324634E-2</v>
      </c>
    </row>
    <row r="20" spans="1:21" ht="18" customHeight="1" x14ac:dyDescent="0.2">
      <c r="A20" s="425">
        <v>9</v>
      </c>
      <c r="B20" s="74">
        <f>IF($A20&gt;n,-999,+'Measurement Data'!C20)</f>
        <v>4</v>
      </c>
      <c r="C20" s="75">
        <f>IF($A20&gt;n,-999,+'Measurement Data'!D20)</f>
        <v>5.8144999999999998</v>
      </c>
      <c r="D20" s="74"/>
      <c r="E20" s="74"/>
      <c r="F20" s="319"/>
      <c r="G20" s="320"/>
      <c r="H20" s="320"/>
      <c r="I20" s="321">
        <f>IF(A20&gt;n,+I19,+C20-('Measurement Data'!$K$27+'Measurement Data'!$K$28*B20))</f>
        <v>-0.7097778947368516</v>
      </c>
      <c r="J20" s="331"/>
      <c r="K20" s="332"/>
      <c r="L20" s="332"/>
      <c r="M20" s="333">
        <f>IF(A20&gt;n,M19,+C20-('Measurement Data'!$U$30+B20*'Measurement Data'!$U$31+B20^2*'Measurement Data'!$U$32))</f>
        <v>1.4751811882637078E-2</v>
      </c>
      <c r="N20" s="547"/>
      <c r="O20" s="548"/>
      <c r="P20" s="548"/>
      <c r="Q20" s="549">
        <f>IF(A20&gt;n,Q19,+C20-('Measurement Data'!$AD$30+B20*'Measurement Data'!$AD$31+B20^2*'Measurement Data'!$AD$32+B20^3*'Measurement Data'!$AD$33))</f>
        <v>1.4482131800652276E-2</v>
      </c>
      <c r="R20" s="307"/>
      <c r="S20" s="308"/>
      <c r="T20" s="308"/>
      <c r="U20" s="309">
        <f>IF(A20&gt;n,+U19,+C20-('Measurement Data'!$BI$26+B20*'Measurement Data'!$BI$27+B20^2*'Measurement Data'!$BI$28+B20^3*'Measurement Data'!$BI$29+B20^4*'Measurement Data'!$BI$30))</f>
        <v>-1.2317943226047845E-4</v>
      </c>
    </row>
    <row r="21" spans="1:21" ht="18" customHeight="1" x14ac:dyDescent="0.2">
      <c r="A21" s="425">
        <v>10</v>
      </c>
      <c r="B21" s="74">
        <f>IF($A21&gt;n,-999,+'Measurement Data'!C21)</f>
        <v>4.5</v>
      </c>
      <c r="C21" s="75">
        <f>IF($A21&gt;n,-999,+'Measurement Data'!D21)</f>
        <v>6.7229999999999999</v>
      </c>
      <c r="D21" s="74"/>
      <c r="E21" s="74"/>
      <c r="F21" s="319"/>
      <c r="G21" s="320"/>
      <c r="H21" s="320"/>
      <c r="I21" s="321">
        <f>IF(A21&gt;n,+I20,+C21-('Measurement Data'!$K$27+'Measurement Data'!$K$28*B21))</f>
        <v>-0.75153157894737799</v>
      </c>
      <c r="J21" s="331"/>
      <c r="K21" s="332"/>
      <c r="L21" s="332"/>
      <c r="M21" s="333">
        <f>IF(A21&gt;n,M20,+C21-('Measurement Data'!$U$30+B21*'Measurement Data'!$U$31+B21^2*'Measurement Data'!$U$32))</f>
        <v>-2.0180893410088885E-3</v>
      </c>
      <c r="N21" s="547"/>
      <c r="O21" s="548"/>
      <c r="P21" s="548"/>
      <c r="Q21" s="549">
        <f>IF(A21&gt;n,Q20,+C21-('Measurement Data'!$AD$30+B21*'Measurement Data'!$AD$31+B21^2*'Measurement Data'!$AD$32+B21^3*'Measurement Data'!$AD$33))</f>
        <v>-2.0180893403187738E-3</v>
      </c>
      <c r="R21" s="307"/>
      <c r="S21" s="308"/>
      <c r="T21" s="308"/>
      <c r="U21" s="309">
        <f>IF(A21&gt;n,+U20,+C21-('Measurement Data'!$BI$26+B21*'Measurement Data'!$BI$27+B21^2*'Measurement Data'!$BI$28+B21^3*'Measurement Data'!$BI$29+B21^4*'Measurement Data'!$BI$30))</f>
        <v>-1.8449064478049948E-2</v>
      </c>
    </row>
    <row r="22" spans="1:21" ht="18" customHeight="1" x14ac:dyDescent="0.2">
      <c r="A22" s="425">
        <v>11</v>
      </c>
      <c r="B22" s="74">
        <f>IF($A22&gt;n,-999,+'Measurement Data'!C22)</f>
        <v>5</v>
      </c>
      <c r="C22" s="75">
        <f>IF($A22&gt;n,-999,+'Measurement Data'!D22)</f>
        <v>7.7283999999999997</v>
      </c>
      <c r="D22" s="74"/>
      <c r="E22" s="74"/>
      <c r="F22" s="319"/>
      <c r="G22" s="320"/>
      <c r="H22" s="320"/>
      <c r="I22" s="321">
        <f>IF(A22&gt;n,+I21,+C22-('Measurement Data'!$K$27+'Measurement Data'!$K$28*B22))</f>
        <v>-0.69638526315790639</v>
      </c>
      <c r="J22" s="331"/>
      <c r="K22" s="332"/>
      <c r="L22" s="332"/>
      <c r="M22" s="333">
        <f>IF(A22&gt;n,M21,+C22-('Measurement Data'!$U$30+B22*'Measurement Data'!$U$31+B22^2*'Measurement Data'!$U$32))</f>
        <v>2.8144443461586732E-2</v>
      </c>
      <c r="N22" s="547"/>
      <c r="O22" s="548"/>
      <c r="P22" s="548"/>
      <c r="Q22" s="549">
        <f>IF(A22&gt;n,Q21,+C22-('Measurement Data'!$AD$30+B22*'Measurement Data'!$AD$31+B22^2*'Measurement Data'!$AD$32+B22^3*'Measurement Data'!$AD$33))</f>
        <v>2.8414123544972192E-2</v>
      </c>
      <c r="R22" s="307"/>
      <c r="S22" s="308"/>
      <c r="T22" s="308"/>
      <c r="U22" s="309">
        <f>IF(A22&gt;n,+U21,+C22-('Measurement Data'!$BI$26+B22*'Measurement Data'!$BI$27+B22^2*'Measurement Data'!$BI$28+B22^3*'Measurement Data'!$BI$29+B22^4*'Measurement Data'!$BI$30))</f>
        <v>1.3808812310188934E-2</v>
      </c>
    </row>
    <row r="23" spans="1:21" ht="18" customHeight="1" x14ac:dyDescent="0.2">
      <c r="A23" s="425">
        <v>12</v>
      </c>
      <c r="B23" s="74">
        <f>IF($A23&gt;n,-999,+'Measurement Data'!C23)</f>
        <v>5.5</v>
      </c>
      <c r="C23" s="75">
        <f>IF($A23&gt;n,-999,+'Measurement Data'!D23)</f>
        <v>8.7566000000000006</v>
      </c>
      <c r="D23" s="74"/>
      <c r="E23" s="74"/>
      <c r="F23" s="319"/>
      <c r="G23" s="320"/>
      <c r="H23" s="320"/>
      <c r="I23" s="321">
        <f>IF(A23&gt;n,+I22,+C23-('Measurement Data'!$K$27+'Measurement Data'!$K$28*B23))</f>
        <v>-0.61843894736843374</v>
      </c>
      <c r="J23" s="331"/>
      <c r="K23" s="332"/>
      <c r="L23" s="332"/>
      <c r="M23" s="333">
        <f>IF(A23&gt;n,M22,+C23-('Measurement Data'!$U$30+B23*'Measurement Data'!$U$31+B23^2*'Measurement Data'!$U$32))</f>
        <v>3.1139410290426994E-2</v>
      </c>
      <c r="N23" s="547"/>
      <c r="O23" s="548"/>
      <c r="P23" s="548"/>
      <c r="Q23" s="549">
        <f>IF(A23&gt;n,Q22,+C23-('Measurement Data'!$AD$30+B23*'Measurement Data'!$AD$31+B23^2*'Measurement Data'!$AD$32+B23^3*'Measurement Data'!$AD$33))</f>
        <v>3.1648124992601723E-2</v>
      </c>
      <c r="R23" s="307"/>
      <c r="S23" s="308"/>
      <c r="T23" s="308"/>
      <c r="U23" s="309">
        <f>IF(A23&gt;n,+U22,+C23-('Measurement Data'!$BI$26+B23*'Measurement Data'!$BI$27+B23^2*'Measurement Data'!$BI$28+B23^3*'Measurement Data'!$BI$29+B23^4*'Measurement Data'!$BI$30))</f>
        <v>2.2229358938332666E-2</v>
      </c>
    </row>
    <row r="24" spans="1:21" ht="18" customHeight="1" x14ac:dyDescent="0.2">
      <c r="A24" s="425">
        <v>13</v>
      </c>
      <c r="B24" s="74">
        <f>IF($A24&gt;n,-999,+'Measurement Data'!C24)</f>
        <v>6</v>
      </c>
      <c r="C24" s="75">
        <f>IF($A24&gt;n,-999,+'Measurement Data'!D24)</f>
        <v>9.8012999999999995</v>
      </c>
      <c r="D24" s="74"/>
      <c r="E24" s="74"/>
      <c r="F24" s="319"/>
      <c r="G24" s="320"/>
      <c r="H24" s="320"/>
      <c r="I24" s="321">
        <f>IF(A24&gt;n,+I23,+C24-('Measurement Data'!$K$27+'Measurement Data'!$K$28*B24))</f>
        <v>-0.52399263157896137</v>
      </c>
      <c r="J24" s="331"/>
      <c r="K24" s="332"/>
      <c r="L24" s="332"/>
      <c r="M24" s="333">
        <f>IF(A24&gt;n,M23,+C24-('Measurement Data'!$U$30+B24*'Measurement Data'!$U$31+B24^2*'Measurement Data'!$U$32))</f>
        <v>6.6681114550526388E-4</v>
      </c>
      <c r="N24" s="547"/>
      <c r="O24" s="548"/>
      <c r="P24" s="548"/>
      <c r="Q24" s="549">
        <f>IF(A24&gt;n,Q23,+C24-('Measurement Data'!$AD$30+B24*'Measurement Data'!$AD$31+B24^2*'Measurement Data'!$AD$32+B24^3*'Measurement Data'!$AD$33))</f>
        <v>1.3532695386420102E-3</v>
      </c>
      <c r="R24" s="307"/>
      <c r="S24" s="308"/>
      <c r="T24" s="308"/>
      <c r="U24" s="309">
        <f>IF(A24&gt;n,+U23,+C24-('Measurement Data'!$BI$26+B24*'Measurement Data'!$BI$27+B24^2*'Measurement Data'!$BI$28+B24^3*'Measurement Data'!$BI$29+B24^4*'Measurement Data'!$BI$30))</f>
        <v>-3.8940964810585399E-4</v>
      </c>
    </row>
    <row r="25" spans="1:21" ht="18" customHeight="1" x14ac:dyDescent="0.2">
      <c r="A25" s="425">
        <v>14</v>
      </c>
      <c r="B25" s="74">
        <f>IF($A25&gt;n,-999,+'Measurement Data'!C25)</f>
        <v>6.5</v>
      </c>
      <c r="C25" s="75">
        <f>IF($A25&gt;n,-999,+'Measurement Data'!D25)</f>
        <v>10.8818</v>
      </c>
      <c r="D25" s="74"/>
      <c r="E25" s="74"/>
      <c r="F25" s="319"/>
      <c r="G25" s="320"/>
      <c r="H25" s="320"/>
      <c r="I25" s="321">
        <f>IF(A25&gt;n,+I24,+C25-('Measurement Data'!$K$27+'Measurement Data'!$K$28*B25))</f>
        <v>-0.39374631578948716</v>
      </c>
      <c r="J25" s="331"/>
      <c r="K25" s="332"/>
      <c r="L25" s="332"/>
      <c r="M25" s="333">
        <f>IF(A25&gt;n,M24,+C25-('Measurement Data'!$U$30+B25*'Measurement Data'!$U$31+B25^2*'Measurement Data'!$U$32))</f>
        <v>-4.3973353973170148E-2</v>
      </c>
      <c r="N25" s="547"/>
      <c r="O25" s="548"/>
      <c r="P25" s="548"/>
      <c r="Q25" s="549">
        <f>IF(A25&gt;n,Q24,+C25-('Measurement Data'!$AD$30+B25*'Measurement Data'!$AD$31+B25^2*'Measurement Data'!$AD$32+B25^3*'Measurement Data'!$AD$33))</f>
        <v>-4.3201088280826028E-2</v>
      </c>
      <c r="R25" s="307"/>
      <c r="S25" s="308"/>
      <c r="T25" s="308"/>
      <c r="U25" s="309">
        <f>IF(A25&gt;n,+U24,+C25-('Measurement Data'!$BI$26+B25*'Measurement Data'!$BI$27+B25^2*'Measurement Data'!$BI$28+B25^3*'Measurement Data'!$BI$29+B25^4*'Measurement Data'!$BI$30))</f>
        <v>-3.6230371563970465E-2</v>
      </c>
    </row>
    <row r="26" spans="1:21" ht="18" customHeight="1" x14ac:dyDescent="0.2">
      <c r="A26" s="425">
        <v>15</v>
      </c>
      <c r="B26" s="74">
        <f>IF($A26&gt;n,-999,+'Measurement Data'!C26)</f>
        <v>7</v>
      </c>
      <c r="C26" s="75">
        <f>IF($A26&gt;n,-999,+'Measurement Data'!D26)</f>
        <v>12.0982</v>
      </c>
      <c r="D26" s="74"/>
      <c r="E26" s="74"/>
      <c r="F26" s="319"/>
      <c r="G26" s="320"/>
      <c r="H26" s="320"/>
      <c r="I26" s="321">
        <f>IF(A26&gt;n,+I25,+C26-('Measurement Data'!$K$27+'Measurement Data'!$K$28*B26))</f>
        <v>-0.12760000000001526</v>
      </c>
      <c r="J26" s="331"/>
      <c r="K26" s="332"/>
      <c r="L26" s="332"/>
      <c r="M26" s="333">
        <f>IF(A26&gt;n,M25,+C26-('Measurement Data'!$U$30+B26*'Measurement Data'!$U$31+B26^2*'Measurement Data'!$U$32))</f>
        <v>-2.6810850656051599E-3</v>
      </c>
      <c r="N26" s="547"/>
      <c r="O26" s="548"/>
      <c r="P26" s="548"/>
      <c r="Q26" s="549">
        <f>IF(A26&gt;n,Q25,+C26-('Measurement Data'!$AD$30+B26*'Measurement Data'!$AD$31+B26^2*'Measurement Data'!$AD$32+B26^3*'Measurement Data'!$AD$33))</f>
        <v>-1.9455939297277069E-3</v>
      </c>
      <c r="R26" s="307"/>
      <c r="S26" s="308"/>
      <c r="T26" s="308"/>
      <c r="U26" s="309">
        <f>IF(A26&gt;n,+U25,+C26-('Measurement Data'!$BI$26+B26*'Measurement Data'!$BI$27+B26^2*'Measurement Data'!$BI$28+B26^3*'Measurement Data'!$BI$29+B26^4*'Measurement Data'!$BI$30))</f>
        <v>1.2742702015533069E-2</v>
      </c>
    </row>
    <row r="27" spans="1:21" ht="18" customHeight="1" x14ac:dyDescent="0.2">
      <c r="A27" s="425">
        <v>16</v>
      </c>
      <c r="B27" s="74">
        <f>IF($A27&gt;n,-999,+'Measurement Data'!C27)</f>
        <v>7.5</v>
      </c>
      <c r="C27" s="75">
        <f>IF($A27&gt;n,-999,+'Measurement Data'!D27)</f>
        <v>13.312200000000001</v>
      </c>
      <c r="D27" s="74"/>
      <c r="E27" s="74"/>
      <c r="F27" s="319"/>
      <c r="G27" s="320"/>
      <c r="H27" s="320"/>
      <c r="I27" s="321">
        <f>IF(A27&gt;n,+I26,+C27-('Measurement Data'!$K$27+'Measurement Data'!$K$28*B27))</f>
        <v>0.13614631578945691</v>
      </c>
      <c r="J27" s="331"/>
      <c r="K27" s="332"/>
      <c r="L27" s="332"/>
      <c r="M27" s="333">
        <f>IF(A27&gt;n,M26,+C27-('Measurement Data'!$U$30+B27*'Measurement Data'!$U$31+B27^2*'Measurement Data'!$U$32))</f>
        <v>-1.3756382131798972E-2</v>
      </c>
      <c r="N27" s="547"/>
      <c r="O27" s="548"/>
      <c r="P27" s="548"/>
      <c r="Q27" s="549">
        <f>IF(A27&gt;n,Q26,+C27-('Measurement Data'!$AD$30+B27*'Measurement Data'!$AD$31+B27^2*'Measurement Data'!$AD$32+B27^3*'Measurement Data'!$AD$33))</f>
        <v>-1.3210892871986957E-2</v>
      </c>
      <c r="R27" s="307"/>
      <c r="S27" s="308"/>
      <c r="T27" s="308"/>
      <c r="U27" s="309">
        <f>IF(A27&gt;n,+U26,+C27-('Measurement Data'!$BI$26+B27*'Measurement Data'!$BI$27+B27^2*'Measurement Data'!$BI$28+B27^3*'Measurement Data'!$BI$29+B27^4*'Measurement Data'!$BI$30))</f>
        <v>5.5851468548375749E-3</v>
      </c>
    </row>
    <row r="28" spans="1:21" ht="18" customHeight="1" x14ac:dyDescent="0.2">
      <c r="A28" s="425">
        <v>17</v>
      </c>
      <c r="B28" s="74">
        <f>IF($A28&gt;n,-999,+'Measurement Data'!C28)</f>
        <v>8</v>
      </c>
      <c r="C28" s="75">
        <f>IF($A28&gt;n,-999,+'Measurement Data'!D28)</f>
        <v>14.584</v>
      </c>
      <c r="D28" s="74"/>
      <c r="E28" s="74"/>
      <c r="F28" s="319"/>
      <c r="G28" s="320"/>
      <c r="H28" s="320"/>
      <c r="I28" s="321">
        <f>IF(A28&gt;n,+I27,+C28-('Measurement Data'!$K$27+'Measurement Data'!$K$28*B28))</f>
        <v>0.45769263157892937</v>
      </c>
      <c r="J28" s="331"/>
      <c r="K28" s="332"/>
      <c r="L28" s="332"/>
      <c r="M28" s="333">
        <f>IF(A28&gt;n,M27,+C28-('Measurement Data'!$U$30+B28*'Measurement Data'!$U$31+B28^2*'Measurement Data'!$U$32))</f>
        <v>-1.6999245171749777E-2</v>
      </c>
      <c r="N28" s="547"/>
      <c r="O28" s="548"/>
      <c r="P28" s="548"/>
      <c r="Q28" s="549">
        <f>IF(A28&gt;n,Q27,+C28-('Measurement Data'!$AD$30+B28*'Measurement Data'!$AD$31+B28^2*'Measurement Data'!$AD$32+B28^3*'Measurement Data'!$AD$33))</f>
        <v>-1.682763057153025E-2</v>
      </c>
      <c r="R28" s="307"/>
      <c r="S28" s="308"/>
      <c r="T28" s="308"/>
      <c r="U28" s="309">
        <f>IF(A28&gt;n,+U27,+C28-('Measurement Data'!$BI$26+B28*'Measurement Data'!$BI$27+B28^2*'Measurement Data'!$BI$28+B28^3*'Measurement Data'!$BI$29+B28^4*'Measurement Data'!$BI$30))</f>
        <v>-7.2859434198235817E-4</v>
      </c>
    </row>
    <row r="29" spans="1:21" ht="18" customHeight="1" x14ac:dyDescent="0.2">
      <c r="A29" s="425">
        <v>18</v>
      </c>
      <c r="B29" s="74">
        <f>IF($A29&gt;n,-999,+'Measurement Data'!C29)</f>
        <v>8.5</v>
      </c>
      <c r="C29" s="75">
        <f>IF($A29&gt;n,-999,+'Measurement Data'!D29)</f>
        <v>15.9238</v>
      </c>
      <c r="D29" s="74"/>
      <c r="E29" s="74"/>
      <c r="F29" s="319"/>
      <c r="G29" s="320"/>
      <c r="H29" s="320"/>
      <c r="I29" s="321">
        <f>IF(A29&gt;n,+I28,+C29-('Measurement Data'!$K$27+'Measurement Data'!$K$28*B29))</f>
        <v>0.84723894736840322</v>
      </c>
      <c r="J29" s="331"/>
      <c r="K29" s="332"/>
      <c r="L29" s="332"/>
      <c r="M29" s="333">
        <f>IF(A29&gt;n,M28,+C29-('Measurement Data'!$U$30+B29*'Measurement Data'!$U$31+B29^2*'Measurement Data'!$U$32))</f>
        <v>-2.2096741854582547E-3</v>
      </c>
      <c r="N29" s="547"/>
      <c r="O29" s="548"/>
      <c r="P29" s="548"/>
      <c r="Q29" s="549">
        <f>IF(A29&gt;n,Q28,+C29-('Measurement Data'!$AD$30+B29*'Measurement Data'!$AD$31+B29^2*'Measurement Data'!$AD$32+B29^3*'Measurement Data'!$AD$33))</f>
        <v>-2.6264524922776644E-3</v>
      </c>
      <c r="R29" s="307"/>
      <c r="S29" s="308"/>
      <c r="T29" s="308"/>
      <c r="U29" s="309">
        <f>IF(A29&gt;n,+U28,+C29-('Measurement Data'!$BI$26+B29*'Measurement Data'!$BI$27+B29^2*'Measurement Data'!$BI$28+B29^3*'Measurement Data'!$BI$29+B29^4*'Measurement Data'!$BI$30))</f>
        <v>1.950280687879058E-4</v>
      </c>
    </row>
    <row r="30" spans="1:21" ht="18" customHeight="1" x14ac:dyDescent="0.2">
      <c r="A30" s="425">
        <v>19</v>
      </c>
      <c r="B30" s="74">
        <f>IF($A30&gt;n,-999,+'Measurement Data'!C30)</f>
        <v>9</v>
      </c>
      <c r="C30" s="75">
        <f>IF($A30&gt;n,-999,+'Measurement Data'!D30)</f>
        <v>17.327100000000002</v>
      </c>
      <c r="D30" s="74"/>
      <c r="E30" s="74"/>
      <c r="F30" s="319"/>
      <c r="G30" s="320"/>
      <c r="H30" s="320"/>
      <c r="I30" s="321">
        <f>IF(A30&gt;n,+I29,+C30-('Measurement Data'!$K$27+'Measurement Data'!$K$28*B30))</f>
        <v>1.3002852631578783</v>
      </c>
      <c r="J30" s="331"/>
      <c r="K30" s="332"/>
      <c r="L30" s="332"/>
      <c r="M30" s="333">
        <f>IF(A30&gt;n,M29,+C30-('Measurement Data'!$U$30+B30*'Measurement Data'!$U$31+B30^2*'Measurement Data'!$U$32))</f>
        <v>2.6112330827078978E-2</v>
      </c>
      <c r="N30" s="547"/>
      <c r="O30" s="548"/>
      <c r="P30" s="548"/>
      <c r="Q30" s="549">
        <f>IF(A30&gt;n,Q29,+C30-('Measurement Data'!$AD$30+B30*'Measurement Data'!$AD$31+B30^2*'Measurement Data'!$AD$32+B30^3*'Measurement Data'!$AD$33))</f>
        <v>2.4861995901847678E-2</v>
      </c>
      <c r="R30" s="307"/>
      <c r="S30" s="308"/>
      <c r="T30" s="308"/>
      <c r="U30" s="309">
        <f>IF(A30&gt;n,+U29,+C30-('Measurement Data'!$BI$26+B30*'Measurement Data'!$BI$27+B30^2*'Measurement Data'!$BI$28+B30^3*'Measurement Data'!$BI$29+B30^4*'Measurement Data'!$BI$30))</f>
        <v>-5.3132932949750966E-4</v>
      </c>
    </row>
    <row r="31" spans="1:21" ht="18" customHeight="1" x14ac:dyDescent="0.2">
      <c r="A31" s="425">
        <v>20</v>
      </c>
      <c r="B31" s="74">
        <f>IF($A31&gt;n,-999,+'Measurement Data'!C31)</f>
        <v>-999</v>
      </c>
      <c r="C31" s="75">
        <f>IF($A31&gt;n,-999,+'Measurement Data'!D31)</f>
        <v>-999</v>
      </c>
      <c r="D31" s="74"/>
      <c r="E31" s="74"/>
      <c r="F31" s="319"/>
      <c r="G31" s="320"/>
      <c r="H31" s="320"/>
      <c r="I31" s="321">
        <f>IF(A31&gt;n,+I30,+C31-('Measurement Data'!$K$27+'Measurement Data'!$K$28*B31))</f>
        <v>1.3002852631578783</v>
      </c>
      <c r="J31" s="331"/>
      <c r="K31" s="332"/>
      <c r="L31" s="332"/>
      <c r="M31" s="333">
        <f>IF(A31&gt;n,M30,+C31-('Measurement Data'!$U$30+B31*'Measurement Data'!$U$31+B31^2*'Measurement Data'!$U$32))</f>
        <v>2.6112330827078978E-2</v>
      </c>
      <c r="N31" s="547"/>
      <c r="O31" s="548"/>
      <c r="P31" s="548"/>
      <c r="Q31" s="549">
        <f>IF(A31&gt;n,Q30,+C31-('Measurement Data'!$AD$30+B31*'Measurement Data'!$AD$31+B31^2*'Measurement Data'!$AD$32+B31^3*'Measurement Data'!$AD$33))</f>
        <v>2.4861995901847678E-2</v>
      </c>
      <c r="R31" s="307"/>
      <c r="S31" s="308"/>
      <c r="T31" s="308"/>
      <c r="U31" s="309">
        <f>IF(A31&gt;n,+U30,+C31-('Measurement Data'!$BI$26+B31*'Measurement Data'!$BI$27+B31^2*'Measurement Data'!$BI$28+B31^3*'Measurement Data'!$BI$29+B31^4*'Measurement Data'!$BI$30))</f>
        <v>-5.3132932949750966E-4</v>
      </c>
    </row>
    <row r="32" spans="1:21" ht="18" customHeight="1" x14ac:dyDescent="0.2">
      <c r="A32" s="425">
        <v>21</v>
      </c>
      <c r="B32" s="74">
        <f>IF($A32&gt;n,-999,+'Measurement Data'!C32)</f>
        <v>-999</v>
      </c>
      <c r="C32" s="75">
        <f>IF($A32&gt;n,-999,+'Measurement Data'!D32)</f>
        <v>-999</v>
      </c>
      <c r="D32" s="74"/>
      <c r="E32" s="74"/>
      <c r="F32" s="319"/>
      <c r="G32" s="320"/>
      <c r="H32" s="320"/>
      <c r="I32" s="321">
        <f>IF(A32&gt;n,+I31,+C32-('Measurement Data'!$K$27+'Measurement Data'!$K$28*B32))</f>
        <v>1.3002852631578783</v>
      </c>
      <c r="J32" s="331"/>
      <c r="K32" s="332"/>
      <c r="L32" s="332"/>
      <c r="M32" s="333">
        <f>IF(A32&gt;n,M31,+C32-('Measurement Data'!$U$30+B32*'Measurement Data'!$U$31+B32^2*'Measurement Data'!$U$32))</f>
        <v>2.6112330827078978E-2</v>
      </c>
      <c r="N32" s="547"/>
      <c r="O32" s="548"/>
      <c r="P32" s="548"/>
      <c r="Q32" s="549">
        <f>IF(A32&gt;n,Q31,+C32-('Measurement Data'!$AD$30+B32*'Measurement Data'!$AD$31+B32^2*'Measurement Data'!$AD$32+B32^3*'Measurement Data'!$AD$33))</f>
        <v>2.4861995901847678E-2</v>
      </c>
      <c r="R32" s="307"/>
      <c r="S32" s="308"/>
      <c r="T32" s="308"/>
      <c r="U32" s="309">
        <f>IF(A32&gt;n,+U31,+C32-('Measurement Data'!$BI$26+B32*'Measurement Data'!$BI$27+B32^2*'Measurement Data'!$BI$28+B32^3*'Measurement Data'!$BI$29+B32^4*'Measurement Data'!$BI$30))</f>
        <v>-5.3132932949750966E-4</v>
      </c>
    </row>
    <row r="33" spans="1:21" ht="18" customHeight="1" x14ac:dyDescent="0.2">
      <c r="A33" s="425">
        <v>22</v>
      </c>
      <c r="B33" s="74">
        <f>IF($A33&gt;n,-999,+'Measurement Data'!C33)</f>
        <v>-999</v>
      </c>
      <c r="C33" s="75">
        <f>IF($A33&gt;n,-999,+'Measurement Data'!D33)</f>
        <v>-999</v>
      </c>
      <c r="D33" s="74"/>
      <c r="E33" s="74"/>
      <c r="F33" s="319"/>
      <c r="G33" s="320"/>
      <c r="H33" s="320"/>
      <c r="I33" s="321">
        <f>IF(A33&gt;n,+I32,+C33-('Measurement Data'!$K$27+'Measurement Data'!$K$28*B33))</f>
        <v>1.3002852631578783</v>
      </c>
      <c r="J33" s="331"/>
      <c r="K33" s="332"/>
      <c r="L33" s="332"/>
      <c r="M33" s="333">
        <f>IF(A33&gt;n,M32,+C33-('Measurement Data'!$U$30+B33*'Measurement Data'!$U$31+B33^2*'Measurement Data'!$U$32))</f>
        <v>2.6112330827078978E-2</v>
      </c>
      <c r="N33" s="547"/>
      <c r="O33" s="548"/>
      <c r="P33" s="548"/>
      <c r="Q33" s="549">
        <f>IF(A33&gt;n,Q32,+C33-('Measurement Data'!$AD$30+B33*'Measurement Data'!$AD$31+B33^2*'Measurement Data'!$AD$32+B33^3*'Measurement Data'!$AD$33))</f>
        <v>2.4861995901847678E-2</v>
      </c>
      <c r="R33" s="307"/>
      <c r="S33" s="308"/>
      <c r="T33" s="308"/>
      <c r="U33" s="309">
        <f>IF(A33&gt;n,+U32,+C33-('Measurement Data'!$BI$26+B33*'Measurement Data'!$BI$27+B33^2*'Measurement Data'!$BI$28+B33^3*'Measurement Data'!$BI$29+B33^4*'Measurement Data'!$BI$30))</f>
        <v>-5.3132932949750966E-4</v>
      </c>
    </row>
    <row r="34" spans="1:21" ht="18" customHeight="1" x14ac:dyDescent="0.2">
      <c r="A34" s="425">
        <v>23</v>
      </c>
      <c r="B34" s="74">
        <f>IF($A34&gt;n,-999,+'Measurement Data'!C34)</f>
        <v>-999</v>
      </c>
      <c r="C34" s="75">
        <f>IF($A34&gt;n,-999,+'Measurement Data'!D34)</f>
        <v>-999</v>
      </c>
      <c r="D34" s="74"/>
      <c r="E34" s="74"/>
      <c r="F34" s="319"/>
      <c r="G34" s="320"/>
      <c r="H34" s="320"/>
      <c r="I34" s="321">
        <f>IF(A34&gt;n,+I33,+C34-('Measurement Data'!$K$27+'Measurement Data'!$K$28*B34))</f>
        <v>1.3002852631578783</v>
      </c>
      <c r="J34" s="331"/>
      <c r="K34" s="332"/>
      <c r="L34" s="332"/>
      <c r="M34" s="333">
        <f>IF(A34&gt;n,M33,+C34-('Measurement Data'!$U$30+B34*'Measurement Data'!$U$31+B34^2*'Measurement Data'!$U$32))</f>
        <v>2.6112330827078978E-2</v>
      </c>
      <c r="N34" s="547"/>
      <c r="O34" s="548"/>
      <c r="P34" s="548"/>
      <c r="Q34" s="549">
        <f>IF(A34&gt;n,Q33,+C34-('Measurement Data'!$AD$30+B34*'Measurement Data'!$AD$31+B34^2*'Measurement Data'!$AD$32+B34^3*'Measurement Data'!$AD$33))</f>
        <v>2.4861995901847678E-2</v>
      </c>
      <c r="R34" s="307"/>
      <c r="S34" s="308"/>
      <c r="T34" s="308"/>
      <c r="U34" s="309">
        <f>IF(A34&gt;n,+U33,+C34-('Measurement Data'!$BI$26+B34*'Measurement Data'!$BI$27+B34^2*'Measurement Data'!$BI$28+B34^3*'Measurement Data'!$BI$29+B34^4*'Measurement Data'!$BI$30))</f>
        <v>-5.3132932949750966E-4</v>
      </c>
    </row>
    <row r="35" spans="1:21" ht="18" customHeight="1" x14ac:dyDescent="0.2">
      <c r="A35" s="425">
        <v>24</v>
      </c>
      <c r="B35" s="74">
        <f>IF($A35&gt;n,-999,+'Measurement Data'!C35)</f>
        <v>-999</v>
      </c>
      <c r="C35" s="75">
        <f>IF($A35&gt;n,-999,+'Measurement Data'!D35)</f>
        <v>-999</v>
      </c>
      <c r="D35" s="74"/>
      <c r="E35" s="74"/>
      <c r="F35" s="319"/>
      <c r="G35" s="320"/>
      <c r="H35" s="320"/>
      <c r="I35" s="321">
        <f>IF(A35&gt;n,+I34,+C35-('Measurement Data'!$K$27+'Measurement Data'!$K$28*B35))</f>
        <v>1.3002852631578783</v>
      </c>
      <c r="J35" s="331"/>
      <c r="K35" s="332"/>
      <c r="L35" s="332"/>
      <c r="M35" s="333">
        <f>IF(A35&gt;n,M34,+C35-('Measurement Data'!$U$30+B35*'Measurement Data'!$U$31+B35^2*'Measurement Data'!$U$32))</f>
        <v>2.6112330827078978E-2</v>
      </c>
      <c r="N35" s="547"/>
      <c r="O35" s="548"/>
      <c r="P35" s="548"/>
      <c r="Q35" s="549">
        <f>IF(A35&gt;n,Q34,+C35-('Measurement Data'!$AD$30+B35*'Measurement Data'!$AD$31+B35^2*'Measurement Data'!$AD$32+B35^3*'Measurement Data'!$AD$33))</f>
        <v>2.4861995901847678E-2</v>
      </c>
      <c r="R35" s="307"/>
      <c r="S35" s="308"/>
      <c r="T35" s="308"/>
      <c r="U35" s="309">
        <f>IF(A35&gt;n,+U34,+C35-('Measurement Data'!$BI$26+B35*'Measurement Data'!$BI$27+B35^2*'Measurement Data'!$BI$28+B35^3*'Measurement Data'!$BI$29+B35^4*'Measurement Data'!$BI$30))</f>
        <v>-5.3132932949750966E-4</v>
      </c>
    </row>
    <row r="36" spans="1:21" ht="18" customHeight="1" x14ac:dyDescent="0.2">
      <c r="A36" s="425">
        <v>25</v>
      </c>
      <c r="B36" s="74">
        <f>IF($A36&gt;n,-999,+'Measurement Data'!C36)</f>
        <v>-999</v>
      </c>
      <c r="C36" s="75">
        <f>IF($A36&gt;n,-999,+'Measurement Data'!D36)</f>
        <v>-999</v>
      </c>
      <c r="D36" s="74"/>
      <c r="E36" s="74"/>
      <c r="F36" s="319"/>
      <c r="G36" s="320"/>
      <c r="H36" s="320"/>
      <c r="I36" s="321">
        <f>IF(A36&gt;n,+I35,+C36-('Measurement Data'!$K$27+'Measurement Data'!$K$28*B36))</f>
        <v>1.3002852631578783</v>
      </c>
      <c r="J36" s="331"/>
      <c r="K36" s="332"/>
      <c r="L36" s="332"/>
      <c r="M36" s="333">
        <f>IF(A36&gt;n,M35,+C36-('Measurement Data'!$U$30+B36*'Measurement Data'!$U$31+B36^2*'Measurement Data'!$U$32))</f>
        <v>2.6112330827078978E-2</v>
      </c>
      <c r="N36" s="547"/>
      <c r="O36" s="548"/>
      <c r="P36" s="548"/>
      <c r="Q36" s="549">
        <f>IF(A36&gt;n,Q35,+C36-('Measurement Data'!$AD$30+B36*'Measurement Data'!$AD$31+B36^2*'Measurement Data'!$AD$32+B36^3*'Measurement Data'!$AD$33))</f>
        <v>2.4861995901847678E-2</v>
      </c>
      <c r="R36" s="307"/>
      <c r="S36" s="308"/>
      <c r="T36" s="308"/>
      <c r="U36" s="309">
        <f>IF(A36&gt;n,+U35,+C36-('Measurement Data'!$BI$26+B36*'Measurement Data'!$BI$27+B36^2*'Measurement Data'!$BI$28+B36^3*'Measurement Data'!$BI$29+B36^4*'Measurement Data'!$BI$30))</f>
        <v>-5.3132932949750966E-4</v>
      </c>
    </row>
    <row r="37" spans="1:21" ht="18" customHeight="1" x14ac:dyDescent="0.2">
      <c r="A37" s="425">
        <v>26</v>
      </c>
      <c r="B37" s="74">
        <f>IF($A37&gt;n,-999,+'Measurement Data'!C37)</f>
        <v>-999</v>
      </c>
      <c r="C37" s="75">
        <f>IF($A37&gt;n,-999,+'Measurement Data'!D37)</f>
        <v>-999</v>
      </c>
      <c r="D37" s="74"/>
      <c r="E37" s="74"/>
      <c r="F37" s="319"/>
      <c r="G37" s="320"/>
      <c r="H37" s="320"/>
      <c r="I37" s="321">
        <f>IF(A37&gt;n,+I36,+C37-('Measurement Data'!$K$27+'Measurement Data'!$K$28*B37))</f>
        <v>1.3002852631578783</v>
      </c>
      <c r="J37" s="331"/>
      <c r="K37" s="332"/>
      <c r="L37" s="332"/>
      <c r="M37" s="333">
        <f>IF(A37&gt;n,M36,+C37-('Measurement Data'!$U$30+B37*'Measurement Data'!$U$31+B37^2*'Measurement Data'!$U$32))</f>
        <v>2.6112330827078978E-2</v>
      </c>
      <c r="N37" s="547"/>
      <c r="O37" s="548"/>
      <c r="P37" s="548"/>
      <c r="Q37" s="549">
        <f>IF(A37&gt;n,Q36,+C37-('Measurement Data'!$AD$30+B37*'Measurement Data'!$AD$31+B37^2*'Measurement Data'!$AD$32+B37^3*'Measurement Data'!$AD$33))</f>
        <v>2.4861995901847678E-2</v>
      </c>
      <c r="R37" s="307"/>
      <c r="S37" s="308"/>
      <c r="T37" s="308"/>
      <c r="U37" s="309">
        <f>IF(A37&gt;n,+U36,+C37-('Measurement Data'!$BI$26+B37*'Measurement Data'!$BI$27+B37^2*'Measurement Data'!$BI$28+B37^3*'Measurement Data'!$BI$29+B37^4*'Measurement Data'!$BI$30))</f>
        <v>-5.3132932949750966E-4</v>
      </c>
    </row>
    <row r="38" spans="1:21" ht="18" customHeight="1" x14ac:dyDescent="0.2">
      <c r="A38" s="425">
        <v>27</v>
      </c>
      <c r="B38" s="74">
        <f>IF($A38&gt;n,-999,+'Measurement Data'!C38)</f>
        <v>-999</v>
      </c>
      <c r="C38" s="75">
        <f>IF($A38&gt;n,-999,+'Measurement Data'!D38)</f>
        <v>-999</v>
      </c>
      <c r="D38" s="74"/>
      <c r="E38" s="74"/>
      <c r="F38" s="319"/>
      <c r="G38" s="320"/>
      <c r="H38" s="320"/>
      <c r="I38" s="321">
        <f>IF(A38&gt;n,+I37,+C38-('Measurement Data'!$K$27+'Measurement Data'!$K$28*B38))</f>
        <v>1.3002852631578783</v>
      </c>
      <c r="J38" s="331"/>
      <c r="K38" s="332"/>
      <c r="L38" s="332"/>
      <c r="M38" s="333">
        <f>IF(A38&gt;n,M37,+C38-('Measurement Data'!$U$30+B38*'Measurement Data'!$U$31+B38^2*'Measurement Data'!$U$32))</f>
        <v>2.6112330827078978E-2</v>
      </c>
      <c r="N38" s="547"/>
      <c r="O38" s="548"/>
      <c r="P38" s="548"/>
      <c r="Q38" s="549">
        <f>IF(A38&gt;n,Q37,+C38-('Measurement Data'!$AD$30+B38*'Measurement Data'!$AD$31+B38^2*'Measurement Data'!$AD$32+B38^3*'Measurement Data'!$AD$33))</f>
        <v>2.4861995901847678E-2</v>
      </c>
      <c r="R38" s="307"/>
      <c r="S38" s="308"/>
      <c r="T38" s="308"/>
      <c r="U38" s="309">
        <f>IF(A38&gt;n,+U37,+C38-('Measurement Data'!$BI$26+B38*'Measurement Data'!$BI$27+B38^2*'Measurement Data'!$BI$28+B38^3*'Measurement Data'!$BI$29+B38^4*'Measurement Data'!$BI$30))</f>
        <v>-5.3132932949750966E-4</v>
      </c>
    </row>
    <row r="39" spans="1:21" ht="18" customHeight="1" x14ac:dyDescent="0.2">
      <c r="A39" s="425">
        <v>28</v>
      </c>
      <c r="B39" s="74">
        <f>IF($A39&gt;n,-999,+'Measurement Data'!C39)</f>
        <v>-999</v>
      </c>
      <c r="C39" s="75">
        <f>IF($A39&gt;n,-999,+'Measurement Data'!D39)</f>
        <v>-999</v>
      </c>
      <c r="D39" s="74"/>
      <c r="E39" s="74"/>
      <c r="F39" s="319"/>
      <c r="G39" s="320"/>
      <c r="H39" s="320"/>
      <c r="I39" s="321">
        <f>IF(A39&gt;n,+I38,+C39-('Measurement Data'!$K$27+'Measurement Data'!$K$28*B39))</f>
        <v>1.3002852631578783</v>
      </c>
      <c r="J39" s="331"/>
      <c r="K39" s="332"/>
      <c r="L39" s="332"/>
      <c r="M39" s="333">
        <f>IF(A39&gt;n,M38,+C39-('Measurement Data'!$U$30+B39*'Measurement Data'!$U$31+B39^2*'Measurement Data'!$U$32))</f>
        <v>2.6112330827078978E-2</v>
      </c>
      <c r="N39" s="547"/>
      <c r="O39" s="548"/>
      <c r="P39" s="548"/>
      <c r="Q39" s="549">
        <f>IF(A39&gt;n,Q38,+C39-('Measurement Data'!$AD$30+B39*'Measurement Data'!$AD$31+B39^2*'Measurement Data'!$AD$32+B39^3*'Measurement Data'!$AD$33))</f>
        <v>2.4861995901847678E-2</v>
      </c>
      <c r="R39" s="307"/>
      <c r="S39" s="308"/>
      <c r="T39" s="308"/>
      <c r="U39" s="309">
        <f>IF(A39&gt;n,+U38,+C39-('Measurement Data'!$BI$26+B39*'Measurement Data'!$BI$27+B39^2*'Measurement Data'!$BI$28+B39^3*'Measurement Data'!$BI$29+B39^4*'Measurement Data'!$BI$30))</f>
        <v>-5.3132932949750966E-4</v>
      </c>
    </row>
    <row r="40" spans="1:21" ht="18" customHeight="1" x14ac:dyDescent="0.2">
      <c r="A40" s="425">
        <v>29</v>
      </c>
      <c r="B40" s="74">
        <f>IF($A40&gt;n,-999,+'Measurement Data'!C40)</f>
        <v>-999</v>
      </c>
      <c r="C40" s="75">
        <f>IF($A40&gt;n,-999,+'Measurement Data'!D40)</f>
        <v>-999</v>
      </c>
      <c r="D40" s="74"/>
      <c r="E40" s="74"/>
      <c r="F40" s="319"/>
      <c r="G40" s="320"/>
      <c r="H40" s="320"/>
      <c r="I40" s="321">
        <f>IF(A40&gt;n,+I39,+C40-('Measurement Data'!$K$27+'Measurement Data'!$K$28*B40))</f>
        <v>1.3002852631578783</v>
      </c>
      <c r="J40" s="331"/>
      <c r="K40" s="332"/>
      <c r="L40" s="332"/>
      <c r="M40" s="333">
        <f>IF(A40&gt;n,M39,+C40-('Measurement Data'!$U$30+B40*'Measurement Data'!$U$31+B40^2*'Measurement Data'!$U$32))</f>
        <v>2.6112330827078978E-2</v>
      </c>
      <c r="N40" s="547"/>
      <c r="O40" s="548"/>
      <c r="P40" s="548"/>
      <c r="Q40" s="549">
        <f>IF(A40&gt;n,Q39,+C40-('Measurement Data'!$AD$30+B40*'Measurement Data'!$AD$31+B40^2*'Measurement Data'!$AD$32+B40^3*'Measurement Data'!$AD$33))</f>
        <v>2.4861995901847678E-2</v>
      </c>
      <c r="R40" s="307"/>
      <c r="S40" s="308"/>
      <c r="T40" s="308"/>
      <c r="U40" s="309">
        <f>IF(A40&gt;n,+U39,+C40-('Measurement Data'!$BI$26+B40*'Measurement Data'!$BI$27+B40^2*'Measurement Data'!$BI$28+B40^3*'Measurement Data'!$BI$29+B40^4*'Measurement Data'!$BI$30))</f>
        <v>-5.3132932949750966E-4</v>
      </c>
    </row>
    <row r="41" spans="1:21" ht="18" customHeight="1" x14ac:dyDescent="0.2">
      <c r="A41" s="425">
        <v>30</v>
      </c>
      <c r="B41" s="74">
        <f>IF($A41&gt;n,-999,+'Measurement Data'!C41)</f>
        <v>-999</v>
      </c>
      <c r="C41" s="75">
        <f>IF($A41&gt;n,-999,+'Measurement Data'!D41)</f>
        <v>-999</v>
      </c>
      <c r="D41" s="74"/>
      <c r="E41" s="74"/>
      <c r="F41" s="319"/>
      <c r="G41" s="320"/>
      <c r="H41" s="320"/>
      <c r="I41" s="321">
        <f>IF(A41&gt;n,+I40,+C41-('Measurement Data'!$K$27+'Measurement Data'!$K$28*B41))</f>
        <v>1.3002852631578783</v>
      </c>
      <c r="J41" s="331"/>
      <c r="K41" s="332"/>
      <c r="L41" s="332"/>
      <c r="M41" s="333">
        <f>IF(A41&gt;n,M40,+C41-('Measurement Data'!$U$30+B41*'Measurement Data'!$U$31+B41^2*'Measurement Data'!$U$32))</f>
        <v>2.6112330827078978E-2</v>
      </c>
      <c r="N41" s="547"/>
      <c r="O41" s="548"/>
      <c r="P41" s="548"/>
      <c r="Q41" s="549">
        <f>IF(A41&gt;n,Q40,+C41-('Measurement Data'!$AD$30+B41*'Measurement Data'!$AD$31+B41^2*'Measurement Data'!$AD$32+B41^3*'Measurement Data'!$AD$33))</f>
        <v>2.4861995901847678E-2</v>
      </c>
      <c r="R41" s="307"/>
      <c r="S41" s="308"/>
      <c r="T41" s="308"/>
      <c r="U41" s="309">
        <f>IF(A41&gt;n,+U40,+C41-('Measurement Data'!$BI$26+B41*'Measurement Data'!$BI$27+B41^2*'Measurement Data'!$BI$28+B41^3*'Measurement Data'!$BI$29+B41^4*'Measurement Data'!$BI$30))</f>
        <v>-5.3132932949750966E-4</v>
      </c>
    </row>
    <row r="42" spans="1:21" ht="18" customHeight="1" x14ac:dyDescent="0.2">
      <c r="A42" s="425">
        <v>31</v>
      </c>
      <c r="B42" s="74">
        <f>IF($A42&gt;n,-999,+'Measurement Data'!C42)</f>
        <v>-999</v>
      </c>
      <c r="C42" s="75">
        <f>IF($A42&gt;n,-999,+'Measurement Data'!D42)</f>
        <v>-999</v>
      </c>
      <c r="D42" s="74"/>
      <c r="E42" s="74"/>
      <c r="F42" s="319"/>
      <c r="G42" s="320"/>
      <c r="H42" s="320"/>
      <c r="I42" s="321">
        <f>IF(A42&gt;n,+I41,+C42-('Measurement Data'!$K$27+'Measurement Data'!$K$28*B42))</f>
        <v>1.3002852631578783</v>
      </c>
      <c r="J42" s="331"/>
      <c r="K42" s="332"/>
      <c r="L42" s="332"/>
      <c r="M42" s="333">
        <f>IF(A42&gt;n,M41,+C42-('Measurement Data'!$U$30+B42*'Measurement Data'!$U$31+B42^2*'Measurement Data'!$U$32))</f>
        <v>2.6112330827078978E-2</v>
      </c>
      <c r="N42" s="547"/>
      <c r="O42" s="548"/>
      <c r="P42" s="548"/>
      <c r="Q42" s="549">
        <f>IF(A42&gt;n,Q41,+C42-('Measurement Data'!$AD$30+B42*'Measurement Data'!$AD$31+B42^2*'Measurement Data'!$AD$32+B42^3*'Measurement Data'!$AD$33))</f>
        <v>2.4861995901847678E-2</v>
      </c>
      <c r="R42" s="307"/>
      <c r="S42" s="308"/>
      <c r="T42" s="308"/>
      <c r="U42" s="309">
        <f>IF(A42&gt;n,+U41,+C42-('Measurement Data'!$BI$26+B42*'Measurement Data'!$BI$27+B42^2*'Measurement Data'!$BI$28+B42^3*'Measurement Data'!$BI$29+B42^4*'Measurement Data'!$BI$30))</f>
        <v>-5.3132932949750966E-4</v>
      </c>
    </row>
    <row r="43" spans="1:21" ht="18" customHeight="1" x14ac:dyDescent="0.2">
      <c r="A43" s="425">
        <v>32</v>
      </c>
      <c r="B43" s="74">
        <f>IF($A43&gt;n,-999,+'Measurement Data'!C43)</f>
        <v>-999</v>
      </c>
      <c r="C43" s="75">
        <f>IF($A43&gt;n,-999,+'Measurement Data'!D43)</f>
        <v>-999</v>
      </c>
      <c r="D43" s="74"/>
      <c r="E43" s="74"/>
      <c r="F43" s="319"/>
      <c r="G43" s="320"/>
      <c r="H43" s="320"/>
      <c r="I43" s="321">
        <f>IF(A43&gt;n,+I42,+C43-('Measurement Data'!$K$27+'Measurement Data'!$K$28*B43))</f>
        <v>1.3002852631578783</v>
      </c>
      <c r="J43" s="331"/>
      <c r="K43" s="332"/>
      <c r="L43" s="332"/>
      <c r="M43" s="333">
        <f>IF(A43&gt;n,M42,+C43-('Measurement Data'!$U$30+B43*'Measurement Data'!$U$31+B43^2*'Measurement Data'!$U$32))</f>
        <v>2.6112330827078978E-2</v>
      </c>
      <c r="N43" s="547"/>
      <c r="O43" s="548"/>
      <c r="P43" s="548"/>
      <c r="Q43" s="549">
        <f>IF(A43&gt;n,Q42,+C43-('Measurement Data'!$AD$30+B43*'Measurement Data'!$AD$31+B43^2*'Measurement Data'!$AD$32+B43^3*'Measurement Data'!$AD$33))</f>
        <v>2.4861995901847678E-2</v>
      </c>
      <c r="R43" s="307"/>
      <c r="S43" s="308"/>
      <c r="T43" s="308"/>
      <c r="U43" s="309">
        <f>IF(A43&gt;n,+U42,+C43-('Measurement Data'!$BI$26+B43*'Measurement Data'!$BI$27+B43^2*'Measurement Data'!$BI$28+B43^3*'Measurement Data'!$BI$29+B43^4*'Measurement Data'!$BI$30))</f>
        <v>-5.3132932949750966E-4</v>
      </c>
    </row>
    <row r="44" spans="1:21" ht="18" customHeight="1" x14ac:dyDescent="0.2">
      <c r="A44" s="425">
        <v>33</v>
      </c>
      <c r="B44" s="74">
        <f>IF($A44&gt;n,-999,+'Measurement Data'!C44)</f>
        <v>-999</v>
      </c>
      <c r="C44" s="75">
        <f>IF($A44&gt;n,-999,+'Measurement Data'!D44)</f>
        <v>-999</v>
      </c>
      <c r="D44" s="74"/>
      <c r="E44" s="74"/>
      <c r="F44" s="319"/>
      <c r="G44" s="320"/>
      <c r="H44" s="320"/>
      <c r="I44" s="321">
        <f>IF(A44&gt;n,+I43,+C44-('Measurement Data'!$K$27+'Measurement Data'!$K$28*B44))</f>
        <v>1.3002852631578783</v>
      </c>
      <c r="J44" s="331"/>
      <c r="K44" s="332"/>
      <c r="L44" s="332"/>
      <c r="M44" s="333">
        <f>IF(A44&gt;n,M43,+C44-('Measurement Data'!$U$30+B44*'Measurement Data'!$U$31+B44^2*'Measurement Data'!$U$32))</f>
        <v>2.6112330827078978E-2</v>
      </c>
      <c r="N44" s="547"/>
      <c r="O44" s="548"/>
      <c r="P44" s="548"/>
      <c r="Q44" s="549">
        <f>IF(A44&gt;n,Q43,+C44-('Measurement Data'!$AD$30+B44*'Measurement Data'!$AD$31+B44^2*'Measurement Data'!$AD$32+B44^3*'Measurement Data'!$AD$33))</f>
        <v>2.4861995901847678E-2</v>
      </c>
      <c r="R44" s="307"/>
      <c r="S44" s="308"/>
      <c r="T44" s="308"/>
      <c r="U44" s="309">
        <f>IF(A44&gt;n,+U43,+C44-('Measurement Data'!$BI$26+B44*'Measurement Data'!$BI$27+B44^2*'Measurement Data'!$BI$28+B44^3*'Measurement Data'!$BI$29+B44^4*'Measurement Data'!$BI$30))</f>
        <v>-5.3132932949750966E-4</v>
      </c>
    </row>
    <row r="45" spans="1:21" ht="18" customHeight="1" x14ac:dyDescent="0.2">
      <c r="A45" s="425">
        <v>34</v>
      </c>
      <c r="B45" s="74">
        <f>IF($A45&gt;n,-999,+'Measurement Data'!C45)</f>
        <v>-999</v>
      </c>
      <c r="C45" s="75">
        <f>IF($A45&gt;n,-999,+'Measurement Data'!D45)</f>
        <v>-999</v>
      </c>
      <c r="D45" s="74"/>
      <c r="E45" s="74"/>
      <c r="F45" s="319"/>
      <c r="G45" s="320"/>
      <c r="H45" s="320"/>
      <c r="I45" s="321">
        <f>IF(A45&gt;n,+I44,+C45-('Measurement Data'!$K$27+'Measurement Data'!$K$28*B45))</f>
        <v>1.3002852631578783</v>
      </c>
      <c r="J45" s="331"/>
      <c r="K45" s="332"/>
      <c r="L45" s="332"/>
      <c r="M45" s="333">
        <f>IF(A45&gt;n,M44,+C45-('Measurement Data'!$U$30+B45*'Measurement Data'!$U$31+B45^2*'Measurement Data'!$U$32))</f>
        <v>2.6112330827078978E-2</v>
      </c>
      <c r="N45" s="547"/>
      <c r="O45" s="548"/>
      <c r="P45" s="548"/>
      <c r="Q45" s="549">
        <f>IF(A45&gt;n,Q44,+C45-('Measurement Data'!$AD$30+B45*'Measurement Data'!$AD$31+B45^2*'Measurement Data'!$AD$32+B45^3*'Measurement Data'!$AD$33))</f>
        <v>2.4861995901847678E-2</v>
      </c>
      <c r="R45" s="307"/>
      <c r="S45" s="308"/>
      <c r="T45" s="308"/>
      <c r="U45" s="309">
        <f>IF(A45&gt;n,+U44,+C45-('Measurement Data'!$BI$26+B45*'Measurement Data'!$BI$27+B45^2*'Measurement Data'!$BI$28+B45^3*'Measurement Data'!$BI$29+B45^4*'Measurement Data'!$BI$30))</f>
        <v>-5.3132932949750966E-4</v>
      </c>
    </row>
    <row r="46" spans="1:21" ht="18" customHeight="1" x14ac:dyDescent="0.2">
      <c r="A46" s="425">
        <v>35</v>
      </c>
      <c r="B46" s="74">
        <f>IF($A46&gt;n,-999,+'Measurement Data'!C46)</f>
        <v>-999</v>
      </c>
      <c r="C46" s="75">
        <f>IF($A46&gt;n,-999,+'Measurement Data'!D46)</f>
        <v>-999</v>
      </c>
      <c r="D46" s="74"/>
      <c r="E46" s="74"/>
      <c r="F46" s="319"/>
      <c r="G46" s="320"/>
      <c r="H46" s="320"/>
      <c r="I46" s="321">
        <f>IF(A46&gt;n,+I45,+C46-('Measurement Data'!$K$27+'Measurement Data'!$K$28*B46))</f>
        <v>1.3002852631578783</v>
      </c>
      <c r="J46" s="331"/>
      <c r="K46" s="332"/>
      <c r="L46" s="332"/>
      <c r="M46" s="333">
        <f>IF(A46&gt;n,M45,+C46-('Measurement Data'!$U$30+B46*'Measurement Data'!$U$31+B46^2*'Measurement Data'!$U$32))</f>
        <v>2.6112330827078978E-2</v>
      </c>
      <c r="N46" s="547"/>
      <c r="O46" s="548"/>
      <c r="P46" s="548"/>
      <c r="Q46" s="549">
        <f>IF(A46&gt;n,Q45,+C46-('Measurement Data'!$AD$30+B46*'Measurement Data'!$AD$31+B46^2*'Measurement Data'!$AD$32+B46^3*'Measurement Data'!$AD$33))</f>
        <v>2.4861995901847678E-2</v>
      </c>
      <c r="R46" s="307"/>
      <c r="S46" s="308"/>
      <c r="T46" s="308"/>
      <c r="U46" s="309">
        <f>IF(A46&gt;n,+U45,+C46-('Measurement Data'!$BI$26+B46*'Measurement Data'!$BI$27+B46^2*'Measurement Data'!$BI$28+B46^3*'Measurement Data'!$BI$29+B46^4*'Measurement Data'!$BI$30))</f>
        <v>-5.3132932949750966E-4</v>
      </c>
    </row>
    <row r="47" spans="1:21" ht="18" customHeight="1" x14ac:dyDescent="0.2">
      <c r="A47" s="425">
        <v>36</v>
      </c>
      <c r="B47" s="74">
        <f>IF($A47&gt;n,-999,+'Measurement Data'!C47)</f>
        <v>-999</v>
      </c>
      <c r="C47" s="75">
        <f>IF($A47&gt;n,-999,+'Measurement Data'!D47)</f>
        <v>-999</v>
      </c>
      <c r="D47" s="74"/>
      <c r="E47" s="74"/>
      <c r="F47" s="319"/>
      <c r="G47" s="320"/>
      <c r="H47" s="320"/>
      <c r="I47" s="321">
        <f>IF(A47&gt;n,+I46,+C47-('Measurement Data'!$K$27+'Measurement Data'!$K$28*B47))</f>
        <v>1.3002852631578783</v>
      </c>
      <c r="J47" s="331"/>
      <c r="K47" s="332"/>
      <c r="L47" s="332"/>
      <c r="M47" s="333">
        <f>IF(A47&gt;n,M46,+C47-('Measurement Data'!$U$30+B47*'Measurement Data'!$U$31+B47^2*'Measurement Data'!$U$32))</f>
        <v>2.6112330827078978E-2</v>
      </c>
      <c r="N47" s="547"/>
      <c r="O47" s="548"/>
      <c r="P47" s="548"/>
      <c r="Q47" s="549">
        <f>IF(A47&gt;n,Q46,+C47-('Measurement Data'!$AD$30+B47*'Measurement Data'!$AD$31+B47^2*'Measurement Data'!$AD$32+B47^3*'Measurement Data'!$AD$33))</f>
        <v>2.4861995901847678E-2</v>
      </c>
      <c r="R47" s="307"/>
      <c r="S47" s="308"/>
      <c r="T47" s="308"/>
      <c r="U47" s="309">
        <f>IF(A47&gt;n,+U46,+C47-('Measurement Data'!$BI$26+B47*'Measurement Data'!$BI$27+B47^2*'Measurement Data'!$BI$28+B47^3*'Measurement Data'!$BI$29+B47^4*'Measurement Data'!$BI$30))</f>
        <v>-5.3132932949750966E-4</v>
      </c>
    </row>
    <row r="48" spans="1:21" ht="18" customHeight="1" x14ac:dyDescent="0.2">
      <c r="A48" s="425">
        <v>37</v>
      </c>
      <c r="B48" s="74">
        <f>IF($A48&gt;n,-999,+'Measurement Data'!C48)</f>
        <v>-999</v>
      </c>
      <c r="C48" s="75">
        <f>IF($A48&gt;n,-999,+'Measurement Data'!D48)</f>
        <v>-999</v>
      </c>
      <c r="D48" s="74"/>
      <c r="E48" s="74"/>
      <c r="F48" s="319"/>
      <c r="G48" s="320"/>
      <c r="H48" s="320"/>
      <c r="I48" s="321">
        <f>IF(A48&gt;n,+I47,+C48-('Measurement Data'!$K$27+'Measurement Data'!$K$28*B48))</f>
        <v>1.3002852631578783</v>
      </c>
      <c r="J48" s="331"/>
      <c r="K48" s="332"/>
      <c r="L48" s="332"/>
      <c r="M48" s="333">
        <f>IF(A48&gt;n,M47,+C48-('Measurement Data'!$U$30+B48*'Measurement Data'!$U$31+B48^2*'Measurement Data'!$U$32))</f>
        <v>2.6112330827078978E-2</v>
      </c>
      <c r="N48" s="547"/>
      <c r="O48" s="548"/>
      <c r="P48" s="548"/>
      <c r="Q48" s="549">
        <f>IF(A48&gt;n,Q47,+C48-('Measurement Data'!$AD$30+B48*'Measurement Data'!$AD$31+B48^2*'Measurement Data'!$AD$32+B48^3*'Measurement Data'!$AD$33))</f>
        <v>2.4861995901847678E-2</v>
      </c>
      <c r="R48" s="307"/>
      <c r="S48" s="308"/>
      <c r="T48" s="308"/>
      <c r="U48" s="309">
        <f>IF(A48&gt;n,+U47,+C48-('Measurement Data'!$BI$26+B48*'Measurement Data'!$BI$27+B48^2*'Measurement Data'!$BI$28+B48^3*'Measurement Data'!$BI$29+B48^4*'Measurement Data'!$BI$30))</f>
        <v>-5.3132932949750966E-4</v>
      </c>
    </row>
    <row r="49" spans="1:35" ht="18" customHeight="1" x14ac:dyDescent="0.2">
      <c r="A49" s="425">
        <v>38</v>
      </c>
      <c r="B49" s="74">
        <f>IF($A49&gt;n,-999,+'Measurement Data'!C49)</f>
        <v>-999</v>
      </c>
      <c r="C49" s="75">
        <f>IF($A49&gt;n,-999,+'Measurement Data'!D49)</f>
        <v>-999</v>
      </c>
      <c r="D49" s="74"/>
      <c r="E49" s="74"/>
      <c r="F49" s="319"/>
      <c r="G49" s="320"/>
      <c r="H49" s="320"/>
      <c r="I49" s="321">
        <f>IF(A49&gt;n,+I48,+C49-('Measurement Data'!$K$27+'Measurement Data'!$K$28*B49))</f>
        <v>1.3002852631578783</v>
      </c>
      <c r="J49" s="331"/>
      <c r="K49" s="332"/>
      <c r="L49" s="332"/>
      <c r="M49" s="333">
        <f>IF(A49&gt;n,M48,+C49-('Measurement Data'!$U$30+B49*'Measurement Data'!$U$31+B49^2*'Measurement Data'!$U$32))</f>
        <v>2.6112330827078978E-2</v>
      </c>
      <c r="N49" s="547"/>
      <c r="O49" s="548"/>
      <c r="P49" s="548"/>
      <c r="Q49" s="549">
        <f>IF(A49&gt;n,Q48,+C49-('Measurement Data'!$AD$30+B49*'Measurement Data'!$AD$31+B49^2*'Measurement Data'!$AD$32+B49^3*'Measurement Data'!$AD$33))</f>
        <v>2.4861995901847678E-2</v>
      </c>
      <c r="R49" s="307"/>
      <c r="S49" s="308"/>
      <c r="T49" s="308"/>
      <c r="U49" s="309">
        <f>IF(A49&gt;n,+U48,+C49-('Measurement Data'!$BI$26+B49*'Measurement Data'!$BI$27+B49^2*'Measurement Data'!$BI$28+B49^3*'Measurement Data'!$BI$29+B49^4*'Measurement Data'!$BI$30))</f>
        <v>-5.3132932949750966E-4</v>
      </c>
    </row>
    <row r="50" spans="1:35" ht="18" customHeight="1" x14ac:dyDescent="0.2">
      <c r="A50" s="425">
        <v>39</v>
      </c>
      <c r="B50" s="74">
        <f>IF($A50&gt;n,-999,+'Measurement Data'!C50)</f>
        <v>-999</v>
      </c>
      <c r="C50" s="75">
        <f>IF($A50&gt;n,-999,+'Measurement Data'!D50)</f>
        <v>-999</v>
      </c>
      <c r="D50" s="74"/>
      <c r="E50" s="74"/>
      <c r="F50" s="319"/>
      <c r="G50" s="320"/>
      <c r="H50" s="320"/>
      <c r="I50" s="321">
        <f>IF(A50&gt;n,+I49,+C50-('Measurement Data'!$K$27+'Measurement Data'!$K$28*B50))</f>
        <v>1.3002852631578783</v>
      </c>
      <c r="J50" s="331"/>
      <c r="K50" s="332"/>
      <c r="L50" s="332"/>
      <c r="M50" s="333">
        <f>IF(A50&gt;n,M49,+C50-('Measurement Data'!$U$30+B50*'Measurement Data'!$U$31+B50^2*'Measurement Data'!$U$32))</f>
        <v>2.6112330827078978E-2</v>
      </c>
      <c r="N50" s="547"/>
      <c r="O50" s="548"/>
      <c r="P50" s="548"/>
      <c r="Q50" s="549">
        <f>IF(A50&gt;n,Q49,+C50-('Measurement Data'!$AD$30+B50*'Measurement Data'!$AD$31+B50^2*'Measurement Data'!$AD$32+B50^3*'Measurement Data'!$AD$33))</f>
        <v>2.4861995901847678E-2</v>
      </c>
      <c r="R50" s="307"/>
      <c r="S50" s="308"/>
      <c r="T50" s="308"/>
      <c r="U50" s="309">
        <f>IF(A50&gt;n,+U49,+C50-('Measurement Data'!$BI$26+B50*'Measurement Data'!$BI$27+B50^2*'Measurement Data'!$BI$28+B50^3*'Measurement Data'!$BI$29+B50^4*'Measurement Data'!$BI$30))</f>
        <v>-5.3132932949750966E-4</v>
      </c>
    </row>
    <row r="51" spans="1:35" ht="18" customHeight="1" x14ac:dyDescent="0.2">
      <c r="A51" s="425">
        <v>40</v>
      </c>
      <c r="B51" s="74">
        <f>IF($A51&gt;n,-999,+'Measurement Data'!C51)</f>
        <v>-999</v>
      </c>
      <c r="C51" s="75">
        <f>IF($A51&gt;n,-999,+'Measurement Data'!D51)</f>
        <v>-999</v>
      </c>
      <c r="D51" s="74"/>
      <c r="E51" s="74"/>
      <c r="F51" s="319"/>
      <c r="G51" s="320"/>
      <c r="H51" s="320"/>
      <c r="I51" s="321">
        <f>IF(A51&gt;n,+I50,+C51-('Measurement Data'!$K$27+'Measurement Data'!$K$28*B51))</f>
        <v>1.3002852631578783</v>
      </c>
      <c r="J51" s="331"/>
      <c r="K51" s="332"/>
      <c r="L51" s="332"/>
      <c r="M51" s="333">
        <f>IF(A51&gt;n,M50,+C51-('Measurement Data'!$U$30+B51*'Measurement Data'!$U$31+B51^2*'Measurement Data'!$U$32))</f>
        <v>2.6112330827078978E-2</v>
      </c>
      <c r="N51" s="547"/>
      <c r="O51" s="548"/>
      <c r="P51" s="548"/>
      <c r="Q51" s="549">
        <f>IF(A51&gt;n,Q50,+C51-('Measurement Data'!$AD$30+B51*'Measurement Data'!$AD$31+B51^2*'Measurement Data'!$AD$32+B51^3*'Measurement Data'!$AD$33))</f>
        <v>2.4861995901847678E-2</v>
      </c>
      <c r="R51" s="307"/>
      <c r="S51" s="308"/>
      <c r="T51" s="308"/>
      <c r="U51" s="309">
        <f>IF(A51&gt;n,+U50,+C51-('Measurement Data'!$BI$26+B51*'Measurement Data'!$BI$27+B51^2*'Measurement Data'!$BI$28+B51^3*'Measurement Data'!$BI$29+B51^4*'Measurement Data'!$BI$30))</f>
        <v>-5.3132932949750966E-4</v>
      </c>
    </row>
    <row r="52" spans="1:35" ht="18" customHeight="1" x14ac:dyDescent="0.2">
      <c r="A52" s="425">
        <v>41</v>
      </c>
      <c r="B52" s="74">
        <f>IF($A52&gt;n,-999,+'Measurement Data'!C52)</f>
        <v>-999</v>
      </c>
      <c r="C52" s="75">
        <f>IF($A52&gt;n,-999,+'Measurement Data'!D52)</f>
        <v>-999</v>
      </c>
      <c r="D52" s="74"/>
      <c r="E52" s="74"/>
      <c r="F52" s="319"/>
      <c r="G52" s="320"/>
      <c r="H52" s="320"/>
      <c r="I52" s="321">
        <f>IF(A52&gt;n,+I51,+C52-('Measurement Data'!$K$27+'Measurement Data'!$K$28*B52))</f>
        <v>1.3002852631578783</v>
      </c>
      <c r="J52" s="331"/>
      <c r="K52" s="332"/>
      <c r="L52" s="332"/>
      <c r="M52" s="333">
        <f>IF(A52&gt;n,M51,+C52-('Measurement Data'!$U$30+B52*'Measurement Data'!$U$31+B52^2*'Measurement Data'!$U$32))</f>
        <v>2.6112330827078978E-2</v>
      </c>
      <c r="N52" s="547"/>
      <c r="O52" s="548"/>
      <c r="P52" s="548"/>
      <c r="Q52" s="549">
        <f>IF(A52&gt;n,Q51,+C52-('Measurement Data'!$AD$30+B52*'Measurement Data'!$AD$31+B52^2*'Measurement Data'!$AD$32+B52^3*'Measurement Data'!$AD$33))</f>
        <v>2.4861995901847678E-2</v>
      </c>
      <c r="R52" s="307"/>
      <c r="S52" s="308"/>
      <c r="T52" s="308"/>
      <c r="U52" s="309">
        <f>IF(A52&gt;n,+U51,+C52-('Measurement Data'!$BI$26+B52*'Measurement Data'!$BI$27+B52^2*'Measurement Data'!$BI$28+B52^3*'Measurement Data'!$BI$29+B52^4*'Measurement Data'!$BI$30))</f>
        <v>-5.3132932949750966E-4</v>
      </c>
    </row>
    <row r="53" spans="1:35" ht="18" customHeight="1" x14ac:dyDescent="0.2">
      <c r="A53" s="425">
        <v>42</v>
      </c>
      <c r="B53" s="74">
        <f>IF($A53&gt;n,-999,+'Measurement Data'!C53)</f>
        <v>-999</v>
      </c>
      <c r="C53" s="75">
        <f>IF($A53&gt;n,-999,+'Measurement Data'!D53)</f>
        <v>-999</v>
      </c>
      <c r="D53" s="74"/>
      <c r="E53" s="74"/>
      <c r="F53" s="319"/>
      <c r="G53" s="320"/>
      <c r="H53" s="320"/>
      <c r="I53" s="321">
        <f>IF(A53&gt;n,+I52,+C53-('Measurement Data'!$K$27+'Measurement Data'!$K$28*B53))</f>
        <v>1.3002852631578783</v>
      </c>
      <c r="J53" s="331"/>
      <c r="K53" s="332"/>
      <c r="L53" s="332"/>
      <c r="M53" s="333">
        <f>IF(A53&gt;n,M52,+C53-('Measurement Data'!$U$30+B53*'Measurement Data'!$U$31+B53^2*'Measurement Data'!$U$32))</f>
        <v>2.6112330827078978E-2</v>
      </c>
      <c r="N53" s="547"/>
      <c r="O53" s="548"/>
      <c r="P53" s="548"/>
      <c r="Q53" s="549">
        <f>IF(A53&gt;n,Q52,+C53-('Measurement Data'!$AD$30+B53*'Measurement Data'!$AD$31+B53^2*'Measurement Data'!$AD$32+B53^3*'Measurement Data'!$AD$33))</f>
        <v>2.4861995901847678E-2</v>
      </c>
      <c r="R53" s="307"/>
      <c r="S53" s="308"/>
      <c r="T53" s="308"/>
      <c r="U53" s="309">
        <f>IF(A53&gt;n,+U52,+C53-('Measurement Data'!$BI$26+B53*'Measurement Data'!$BI$27+B53^2*'Measurement Data'!$BI$28+B53^3*'Measurement Data'!$BI$29+B53^4*'Measurement Data'!$BI$30))</f>
        <v>-5.3132932949750966E-4</v>
      </c>
    </row>
    <row r="54" spans="1:35" ht="18" customHeight="1" x14ac:dyDescent="0.2">
      <c r="A54" s="425">
        <v>43</v>
      </c>
      <c r="B54" s="74">
        <f>IF($A54&gt;n,-999,+'Measurement Data'!C54)</f>
        <v>-999</v>
      </c>
      <c r="C54" s="75">
        <f>IF($A54&gt;n,-999,+'Measurement Data'!D54)</f>
        <v>-999</v>
      </c>
      <c r="D54" s="74"/>
      <c r="E54" s="74"/>
      <c r="F54" s="319"/>
      <c r="G54" s="320"/>
      <c r="H54" s="320"/>
      <c r="I54" s="321">
        <f>IF(A54&gt;n,+I53,+C54-('Measurement Data'!$K$27+'Measurement Data'!$K$28*B54))</f>
        <v>1.3002852631578783</v>
      </c>
      <c r="J54" s="331"/>
      <c r="K54" s="332"/>
      <c r="L54" s="332"/>
      <c r="M54" s="333">
        <f>IF(A54&gt;n,M53,+C54-('Measurement Data'!$U$30+B54*'Measurement Data'!$U$31+B54^2*'Measurement Data'!$U$32))</f>
        <v>2.6112330827078978E-2</v>
      </c>
      <c r="N54" s="547"/>
      <c r="O54" s="548"/>
      <c r="P54" s="548"/>
      <c r="Q54" s="549">
        <f>IF(A54&gt;n,Q53,+C54-('Measurement Data'!$AD$30+B54*'Measurement Data'!$AD$31+B54^2*'Measurement Data'!$AD$32+B54^3*'Measurement Data'!$AD$33))</f>
        <v>2.4861995901847678E-2</v>
      </c>
      <c r="R54" s="307"/>
      <c r="S54" s="308"/>
      <c r="T54" s="308"/>
      <c r="U54" s="309">
        <f>IF(A54&gt;n,+U53,+C54-('Measurement Data'!$BI$26+B54*'Measurement Data'!$BI$27+B54^2*'Measurement Data'!$BI$28+B54^3*'Measurement Data'!$BI$29+B54^4*'Measurement Data'!$BI$30))</f>
        <v>-5.3132932949750966E-4</v>
      </c>
    </row>
    <row r="55" spans="1:35" ht="18" customHeight="1" x14ac:dyDescent="0.2">
      <c r="A55" s="425">
        <v>44</v>
      </c>
      <c r="B55" s="74">
        <f>IF($A55&gt;n,-999,+'Measurement Data'!C55)</f>
        <v>-999</v>
      </c>
      <c r="C55" s="75">
        <f>IF($A55&gt;n,-999,+'Measurement Data'!D55)</f>
        <v>-999</v>
      </c>
      <c r="D55" s="74"/>
      <c r="E55" s="74"/>
      <c r="F55" s="319"/>
      <c r="G55" s="320"/>
      <c r="H55" s="320"/>
      <c r="I55" s="321">
        <f>IF(A55&gt;n,+I54,+C55-('Measurement Data'!$K$27+'Measurement Data'!$K$28*B55))</f>
        <v>1.3002852631578783</v>
      </c>
      <c r="J55" s="331"/>
      <c r="K55" s="332"/>
      <c r="L55" s="332"/>
      <c r="M55" s="333">
        <f>IF(A55&gt;n,M54,+C55-('Measurement Data'!$U$30+B55*'Measurement Data'!$U$31+B55^2*'Measurement Data'!$U$32))</f>
        <v>2.6112330827078978E-2</v>
      </c>
      <c r="N55" s="547"/>
      <c r="O55" s="548"/>
      <c r="P55" s="548"/>
      <c r="Q55" s="549">
        <f>IF(A55&gt;n,Q54,+C55-('Measurement Data'!$AD$30+B55*'Measurement Data'!$AD$31+B55^2*'Measurement Data'!$AD$32+B55^3*'Measurement Data'!$AD$33))</f>
        <v>2.4861995901847678E-2</v>
      </c>
      <c r="R55" s="307"/>
      <c r="S55" s="308"/>
      <c r="T55" s="308"/>
      <c r="U55" s="309">
        <f>IF(A55&gt;n,+U54,+C55-('Measurement Data'!$BI$26+B55*'Measurement Data'!$BI$27+B55^2*'Measurement Data'!$BI$28+B55^3*'Measurement Data'!$BI$29+B55^4*'Measurement Data'!$BI$30))</f>
        <v>-5.3132932949750966E-4</v>
      </c>
    </row>
    <row r="56" spans="1:35" ht="18" customHeight="1" x14ac:dyDescent="0.2">
      <c r="A56" s="425">
        <v>45</v>
      </c>
      <c r="B56" s="74">
        <f>IF($A56&gt;n,-999,+'Measurement Data'!C56)</f>
        <v>-999</v>
      </c>
      <c r="C56" s="75">
        <f>IF($A56&gt;n,-999,+'Measurement Data'!D56)</f>
        <v>-999</v>
      </c>
      <c r="D56" s="74"/>
      <c r="E56" s="74"/>
      <c r="F56" s="319"/>
      <c r="G56" s="320"/>
      <c r="H56" s="320"/>
      <c r="I56" s="321">
        <f>IF(A56&gt;n,+I55,+C56-('Measurement Data'!$K$27+'Measurement Data'!$K$28*B56))</f>
        <v>1.3002852631578783</v>
      </c>
      <c r="J56" s="331"/>
      <c r="K56" s="332"/>
      <c r="L56" s="332"/>
      <c r="M56" s="333">
        <f>IF(A56&gt;n,M55,+C56-('Measurement Data'!$U$30+B56*'Measurement Data'!$U$31+B56^2*'Measurement Data'!$U$32))</f>
        <v>2.6112330827078978E-2</v>
      </c>
      <c r="N56" s="547"/>
      <c r="O56" s="548"/>
      <c r="P56" s="548"/>
      <c r="Q56" s="549">
        <f>IF(A56&gt;n,Q55,+C56-('Measurement Data'!$AD$30+B56*'Measurement Data'!$AD$31+B56^2*'Measurement Data'!$AD$32+B56^3*'Measurement Data'!$AD$33))</f>
        <v>2.4861995901847678E-2</v>
      </c>
      <c r="R56" s="307"/>
      <c r="S56" s="308"/>
      <c r="T56" s="308"/>
      <c r="U56" s="309">
        <f>IF(A56&gt;n,+U55,+C56-('Measurement Data'!$BI$26+B56*'Measurement Data'!$BI$27+B56^2*'Measurement Data'!$BI$28+B56^3*'Measurement Data'!$BI$29+B56^4*'Measurement Data'!$BI$30))</f>
        <v>-5.3132932949750966E-4</v>
      </c>
    </row>
    <row r="57" spans="1:35" ht="18" customHeight="1" x14ac:dyDescent="0.2">
      <c r="A57" s="425">
        <v>46</v>
      </c>
      <c r="B57" s="74">
        <f>IF($A57&gt;n,-999,+'Measurement Data'!C57)</f>
        <v>-999</v>
      </c>
      <c r="C57" s="75">
        <f>IF($A57&gt;n,-999,+'Measurement Data'!D57)</f>
        <v>-999</v>
      </c>
      <c r="D57" s="74"/>
      <c r="E57" s="74"/>
      <c r="F57" s="319"/>
      <c r="G57" s="320"/>
      <c r="H57" s="320"/>
      <c r="I57" s="321">
        <f>IF(A57&gt;n,+I56,+C57-('Measurement Data'!$K$27+'Measurement Data'!$K$28*B57))</f>
        <v>1.3002852631578783</v>
      </c>
      <c r="J57" s="331"/>
      <c r="K57" s="332"/>
      <c r="L57" s="332"/>
      <c r="M57" s="333">
        <f>IF(A57&gt;n,M56,+C57-('Measurement Data'!$U$30+B57*'Measurement Data'!$U$31+B57^2*'Measurement Data'!$U$32))</f>
        <v>2.6112330827078978E-2</v>
      </c>
      <c r="N57" s="547"/>
      <c r="O57" s="548"/>
      <c r="P57" s="548"/>
      <c r="Q57" s="549">
        <f>IF(A57&gt;n,Q56,+C57-('Measurement Data'!$AD$30+B57*'Measurement Data'!$AD$31+B57^2*'Measurement Data'!$AD$32+B57^3*'Measurement Data'!$AD$33))</f>
        <v>2.4861995901847678E-2</v>
      </c>
      <c r="R57" s="307"/>
      <c r="S57" s="308"/>
      <c r="T57" s="308"/>
      <c r="U57" s="309">
        <f>IF(A57&gt;n,+U56,+C57-('Measurement Data'!$BI$26+B57*'Measurement Data'!$BI$27+B57^2*'Measurement Data'!$BI$28+B57^3*'Measurement Data'!$BI$29+B57^4*'Measurement Data'!$BI$30))</f>
        <v>-5.3132932949750966E-4</v>
      </c>
    </row>
    <row r="58" spans="1:35" ht="18" customHeight="1" x14ac:dyDescent="0.2">
      <c r="A58" s="425">
        <v>47</v>
      </c>
      <c r="B58" s="74">
        <f>IF($A58&gt;n,-999,+'Measurement Data'!C58)</f>
        <v>-999</v>
      </c>
      <c r="C58" s="75">
        <f>IF($A58&gt;n,-999,+'Measurement Data'!D58)</f>
        <v>-999</v>
      </c>
      <c r="D58" s="74"/>
      <c r="E58" s="74"/>
      <c r="F58" s="319"/>
      <c r="G58" s="320"/>
      <c r="H58" s="320"/>
      <c r="I58" s="321">
        <f>IF(A58&gt;n,+I57,+C58-('Measurement Data'!$K$27+'Measurement Data'!$K$28*B58))</f>
        <v>1.3002852631578783</v>
      </c>
      <c r="J58" s="331"/>
      <c r="K58" s="332"/>
      <c r="L58" s="332"/>
      <c r="M58" s="333">
        <f>IF(A58&gt;n,M57,+C58-('Measurement Data'!$U$30+B58*'Measurement Data'!$U$31+B58^2*'Measurement Data'!$U$32))</f>
        <v>2.6112330827078978E-2</v>
      </c>
      <c r="N58" s="547"/>
      <c r="O58" s="548"/>
      <c r="P58" s="548"/>
      <c r="Q58" s="549">
        <f>IF(A58&gt;n,Q57,+C58-('Measurement Data'!$AD$30+B58*'Measurement Data'!$AD$31+B58^2*'Measurement Data'!$AD$32+B58^3*'Measurement Data'!$AD$33))</f>
        <v>2.4861995901847678E-2</v>
      </c>
      <c r="R58" s="307"/>
      <c r="S58" s="308"/>
      <c r="T58" s="308"/>
      <c r="U58" s="309">
        <f>IF(A58&gt;n,+U57,+C58-('Measurement Data'!$BI$26+B58*'Measurement Data'!$BI$27+B58^2*'Measurement Data'!$BI$28+B58^3*'Measurement Data'!$BI$29+B58^4*'Measurement Data'!$BI$30))</f>
        <v>-5.3132932949750966E-4</v>
      </c>
    </row>
    <row r="59" spans="1:35" ht="18" customHeight="1" x14ac:dyDescent="0.2">
      <c r="A59" s="425">
        <v>48</v>
      </c>
      <c r="B59" s="74">
        <f>IF($A59&gt;n,-999,+'Measurement Data'!C59)</f>
        <v>-999</v>
      </c>
      <c r="C59" s="75">
        <f>IF($A59&gt;n,-999,+'Measurement Data'!D59)</f>
        <v>-999</v>
      </c>
      <c r="D59" s="74"/>
      <c r="E59" s="74"/>
      <c r="F59" s="319"/>
      <c r="G59" s="320"/>
      <c r="H59" s="320"/>
      <c r="I59" s="321">
        <f>IF(A59&gt;n,+I58,+C59-('Measurement Data'!$K$27+'Measurement Data'!$K$28*B59))</f>
        <v>1.3002852631578783</v>
      </c>
      <c r="J59" s="331"/>
      <c r="K59" s="332"/>
      <c r="L59" s="332"/>
      <c r="M59" s="333">
        <f>IF(A59&gt;n,M58,+C59-('Measurement Data'!$U$30+B59*'Measurement Data'!$U$31+B59^2*'Measurement Data'!$U$32))</f>
        <v>2.6112330827078978E-2</v>
      </c>
      <c r="N59" s="547"/>
      <c r="O59" s="548"/>
      <c r="P59" s="548"/>
      <c r="Q59" s="549">
        <f>IF(A59&gt;n,Q58,+C59-('Measurement Data'!$AD$30+B59*'Measurement Data'!$AD$31+B59^2*'Measurement Data'!$AD$32+B59^3*'Measurement Data'!$AD$33))</f>
        <v>2.4861995901847678E-2</v>
      </c>
      <c r="R59" s="307"/>
      <c r="S59" s="308"/>
      <c r="T59" s="308"/>
      <c r="U59" s="309">
        <f>IF(A59&gt;n,+U58,+C59-('Measurement Data'!$BI$26+B59*'Measurement Data'!$BI$27+B59^2*'Measurement Data'!$BI$28+B59^3*'Measurement Data'!$BI$29+B59^4*'Measurement Data'!$BI$30))</f>
        <v>-5.3132932949750966E-4</v>
      </c>
    </row>
    <row r="60" spans="1:35" ht="18" customHeight="1" x14ac:dyDescent="0.2">
      <c r="A60" s="425">
        <v>49</v>
      </c>
      <c r="B60" s="74">
        <f>IF($A60&gt;n,-999,+'Measurement Data'!C60)</f>
        <v>-999</v>
      </c>
      <c r="C60" s="75">
        <f>IF($A60&gt;n,-999,+'Measurement Data'!D60)</f>
        <v>-999</v>
      </c>
      <c r="D60" s="74"/>
      <c r="E60" s="74"/>
      <c r="F60" s="319"/>
      <c r="G60" s="320"/>
      <c r="H60" s="320"/>
      <c r="I60" s="321">
        <f>IF(A60&gt;n,+I59,+C60-('Measurement Data'!$K$27+'Measurement Data'!$K$28*B60))</f>
        <v>1.3002852631578783</v>
      </c>
      <c r="J60" s="331"/>
      <c r="K60" s="332"/>
      <c r="L60" s="332"/>
      <c r="M60" s="333">
        <f>IF(A60&gt;n,M59,+C60-('Measurement Data'!$U$30+B60*'Measurement Data'!$U$31+B60^2*'Measurement Data'!$U$32))</f>
        <v>2.6112330827078978E-2</v>
      </c>
      <c r="N60" s="547"/>
      <c r="O60" s="548"/>
      <c r="P60" s="548"/>
      <c r="Q60" s="549">
        <f>IF(A60&gt;n,Q59,+C60-('Measurement Data'!$AD$30+B60*'Measurement Data'!$AD$31+B60^2*'Measurement Data'!$AD$32+B60^3*'Measurement Data'!$AD$33))</f>
        <v>2.4861995901847678E-2</v>
      </c>
      <c r="R60" s="307"/>
      <c r="S60" s="308"/>
      <c r="T60" s="308"/>
      <c r="U60" s="309">
        <f>IF(A60&gt;n,+U59,+C60-('Measurement Data'!$BI$26+B60*'Measurement Data'!$BI$27+B60^2*'Measurement Data'!$BI$28+B60^3*'Measurement Data'!$BI$29+B60^4*'Measurement Data'!$BI$30))</f>
        <v>-5.3132932949750966E-4</v>
      </c>
    </row>
    <row r="61" spans="1:35" ht="18" customHeight="1" x14ac:dyDescent="0.2">
      <c r="A61" s="426">
        <v>50</v>
      </c>
      <c r="B61" s="76">
        <f>IF($A61&gt;n,-999,+'Measurement Data'!C61)</f>
        <v>-999</v>
      </c>
      <c r="C61" s="77">
        <f>IF($A61&gt;n,-999,+'Measurement Data'!D61)</f>
        <v>-999</v>
      </c>
      <c r="D61" s="74"/>
      <c r="E61" s="74"/>
      <c r="F61" s="319"/>
      <c r="G61" s="320"/>
      <c r="H61" s="320"/>
      <c r="I61" s="321">
        <f>IF(A61&gt;n,+I60,+C61-('Measurement Data'!$K$27+'Measurement Data'!$K$28*B61))</f>
        <v>1.3002852631578783</v>
      </c>
      <c r="J61" s="331"/>
      <c r="K61" s="332"/>
      <c r="L61" s="332"/>
      <c r="M61" s="333">
        <f>IF(A61&gt;n,M60,+C61-('Measurement Data'!$U$30+B61*'Measurement Data'!$U$31+B61^2*'Measurement Data'!$U$32))</f>
        <v>2.6112330827078978E-2</v>
      </c>
      <c r="N61" s="547"/>
      <c r="O61" s="548"/>
      <c r="P61" s="548"/>
      <c r="Q61" s="549">
        <f>IF(A61&gt;n,Q60,+C61-('Measurement Data'!$AD$30+B61*'Measurement Data'!$AD$31+B61^2*'Measurement Data'!$AD$32+B61^3*'Measurement Data'!$AD$33))</f>
        <v>2.4861995901847678E-2</v>
      </c>
      <c r="R61" s="307"/>
      <c r="S61" s="308"/>
      <c r="T61" s="308"/>
      <c r="U61" s="309">
        <f>IF(A61&gt;n,+U60,+C61-('Measurement Data'!$BI$26+B61*'Measurement Data'!$BI$27+B61^2*'Measurement Data'!$BI$28+B61^3*'Measurement Data'!$BI$29+B61^4*'Measurement Data'!$BI$30))</f>
        <v>-5.3132932949750966E-4</v>
      </c>
    </row>
    <row r="62" spans="1:35" ht="18" customHeight="1" x14ac:dyDescent="0.2">
      <c r="A62" s="427"/>
      <c r="B62" s="124"/>
      <c r="C62" s="124"/>
      <c r="D62" s="124"/>
      <c r="E62" s="124"/>
      <c r="F62" s="319"/>
      <c r="G62" s="320"/>
      <c r="H62" s="320"/>
      <c r="I62" s="322"/>
      <c r="J62" s="331"/>
      <c r="K62" s="332"/>
      <c r="L62" s="332"/>
      <c r="M62" s="334"/>
      <c r="N62" s="547"/>
      <c r="O62" s="548"/>
      <c r="P62" s="548"/>
      <c r="Q62" s="550"/>
      <c r="R62" s="307"/>
      <c r="S62" s="308"/>
      <c r="T62" s="308"/>
      <c r="U62" s="308"/>
      <c r="V62" s="421" t="s">
        <v>450</v>
      </c>
      <c r="W62" s="422"/>
      <c r="X62" s="443" t="s">
        <v>451</v>
      </c>
      <c r="Y62" s="444"/>
      <c r="Z62" s="445"/>
      <c r="AA62" s="564" t="s">
        <v>452</v>
      </c>
      <c r="AB62" s="565"/>
      <c r="AC62" s="565"/>
      <c r="AD62" s="566"/>
      <c r="AE62" s="446" t="s">
        <v>453</v>
      </c>
      <c r="AF62" s="446"/>
      <c r="AG62" s="446"/>
      <c r="AH62" s="446"/>
      <c r="AI62" s="447"/>
    </row>
    <row r="63" spans="1:35" ht="18" customHeight="1" x14ac:dyDescent="0.2">
      <c r="A63" s="428">
        <v>1</v>
      </c>
      <c r="B63" s="429">
        <f>A6</f>
        <v>0</v>
      </c>
      <c r="C63" s="430">
        <f>B63^2</f>
        <v>0</v>
      </c>
      <c r="D63" s="562">
        <f>B63^3</f>
        <v>0</v>
      </c>
      <c r="E63" s="431">
        <f>B63^4</f>
        <v>0</v>
      </c>
      <c r="F63" s="354">
        <f>'Measurement Data'!$K$27+'Measurement Data'!$K$28*'Chart Data'!B63</f>
        <v>-1.0777515789473675</v>
      </c>
      <c r="G63" s="354">
        <f>F63-$H$6*SQRT(SUMPRODUCT(A63:B63,V63:W63))</f>
        <v>-1.7351480048080314</v>
      </c>
      <c r="H63" s="354">
        <f>F63+F63-G63</f>
        <v>-0.42035515308670357</v>
      </c>
      <c r="I63" s="322"/>
      <c r="J63" s="335">
        <f>'Measurement Data'!$U$30+'Chart Data'!B63*'Measurement Data'!$U$31+'Chart Data'!B63^2*'Measurement Data'!$U$32</f>
        <v>0.19642135338347089</v>
      </c>
      <c r="K63" s="336">
        <f>$J63-$H$7*SQRT(SUMPRODUCT(A63:C63,X63:Z63))</f>
        <v>0.16738141948913321</v>
      </c>
      <c r="L63" s="336">
        <f>J63+J63-K63</f>
        <v>0.22546128727780856</v>
      </c>
      <c r="M63" s="334"/>
      <c r="N63" s="551">
        <f>'Measurement Data'!$AD$30+B63*'Measurement Data'!$AD$31+B63^2*'Measurement Data'!$AD$32+B63^3*'Measurement Data'!$AD$33</f>
        <v>0.19517101845531215</v>
      </c>
      <c r="O63" s="552">
        <f>N63-SQRT(SUMPRODUCT(AA63:AD63,A63:D63)*$H$8)</f>
        <v>0.17063502939918404</v>
      </c>
      <c r="P63" s="552">
        <f>N63+N63-O63</f>
        <v>0.21970700751144026</v>
      </c>
      <c r="Q63" s="550"/>
      <c r="R63" s="311">
        <f>SUMPRODUCT(A63:E63,'Measurement Data'!$BI$43:$BM$43)</f>
        <v>0.22056434366470512</v>
      </c>
      <c r="S63" s="353">
        <f>R63-SQRT(SUMPRODUCT(AE63:AI63,A63:E63)*$H$9)</f>
        <v>0.19967404057448518</v>
      </c>
      <c r="T63" s="353">
        <f>R63+R63-S63</f>
        <v>0.24145464675492506</v>
      </c>
      <c r="U63" s="308"/>
      <c r="V63" s="440">
        <f>SUMPRODUCT($A63:$B63,'Measurement Data'!$K$52:$L$52)</f>
        <v>9.7088029763965869E-2</v>
      </c>
      <c r="W63" s="441">
        <f>SUMPRODUCT($A63:$B63,'Measurement Data'!$K$53:$L$53)</f>
        <v>-1.5744004826589057E-2</v>
      </c>
      <c r="X63" s="448">
        <f>SUMPRODUCT($A63:$C63,'Measurement Data'!$U$59:$W$59)</f>
        <v>1.8765421590116315E-4</v>
      </c>
      <c r="Y63" s="449">
        <f>SUMPRODUCT($A63:$C63,'Measurement Data'!$U$60:$W$60)</f>
        <v>-8.104909714019109E-5</v>
      </c>
      <c r="Z63" s="449">
        <f>SUMPRODUCT($A63:$C63,'Measurement Data'!$U$61:$W$61)</f>
        <v>7.3017204630802785E-6</v>
      </c>
      <c r="AA63" s="567">
        <f>SUMPRODUCT($A63:$D63,'Measurement Data'!$AD$59:$AG$59)</f>
        <v>2.8244382336731943E-4</v>
      </c>
      <c r="AB63" s="568">
        <f>SUMPRODUCT($A63:$D63,'Measurement Data'!$AD$60:$AG$60)</f>
        <v>-2.2757028776598952E-4</v>
      </c>
      <c r="AC63" s="568">
        <f>SUMPRODUCT($A63:$D63,'Measurement Data'!$AD$61:$AG$61)</f>
        <v>4.9120664933446321E-5</v>
      </c>
      <c r="AD63" s="569">
        <f>SUMPRODUCT($A63:$D63,'Measurement Data'!$AD$62:$AG$62)</f>
        <v>-3.0976995903975121E-6</v>
      </c>
      <c r="AE63" s="450">
        <f>SUMPRODUCT(A63:E63,'Measurement Data'!$BG$59:$BK$59)</f>
        <v>2.0347233860581361E-4</v>
      </c>
      <c r="AF63" s="450">
        <f>SUMPRODUCT(A63:E63,'Measurement Data'!$BG$60:$BK$60)</f>
        <v>-2.5914376365361369E-4</v>
      </c>
      <c r="AG63" s="450">
        <f>SUMPRODUCT(A63:E63,'Measurement Data'!$BG$61:$BK$61)</f>
        <v>9.7391867348246803E-5</v>
      </c>
      <c r="AH63" s="450">
        <f>SUMPRODUCT(A63:E63,'Measurement Data'!$BG$62:$BK$62)</f>
        <v>-1.4007771008297041E-5</v>
      </c>
      <c r="AI63" s="451">
        <f>SUMPRODUCT(A63:E63,'Measurement Data'!$BG$63:$BK$63)</f>
        <v>6.814591301332632E-7</v>
      </c>
    </row>
    <row r="64" spans="1:35" ht="18" customHeight="1" x14ac:dyDescent="0.2">
      <c r="A64" s="432">
        <v>1</v>
      </c>
      <c r="B64" s="433">
        <f t="shared" ref="B64:B95" si="0">B63+0.02*($A$7-$B$63)</f>
        <v>0.18</v>
      </c>
      <c r="C64" s="434">
        <f t="shared" ref="C64:C113" si="1">B64^2</f>
        <v>3.2399999999999998E-2</v>
      </c>
      <c r="D64" s="563">
        <f t="shared" ref="D64:D113" si="2">B64^3</f>
        <v>5.8319999999999995E-3</v>
      </c>
      <c r="E64" s="435">
        <f t="shared" ref="E64:E113" si="3">B64^4</f>
        <v>1.0497599999999998E-3</v>
      </c>
      <c r="F64" s="355">
        <f>'Measurement Data'!$K$27+'Measurement Data'!$K$28*'Chart Data'!B64</f>
        <v>-0.73566025263157764</v>
      </c>
      <c r="G64" s="354">
        <f t="shared" ref="G64:G113" si="4">F64-$H$6*SQRT(SUMPRODUCT(A64:B64,V64:W64))</f>
        <v>-1.3739746431568145</v>
      </c>
      <c r="H64" s="354">
        <f>F64+F64-G64</f>
        <v>-9.7345862106340775E-2</v>
      </c>
      <c r="I64" s="322"/>
      <c r="J64" s="337">
        <f>'Measurement Data'!$U$30+'Chart Data'!B64*'Measurement Data'!$U$31+'Chart Data'!B64^2*'Measurement Data'!$U$32</f>
        <v>0.37985566421938438</v>
      </c>
      <c r="K64" s="336">
        <f>$J64-$H$7*SQRT(SUMPRODUCT(A64:C64,X64:Z64))</f>
        <v>0.35299858663416539</v>
      </c>
      <c r="L64" s="336">
        <f t="shared" ref="L64:L113" si="5">J64+J64-K64</f>
        <v>0.40671274180460337</v>
      </c>
      <c r="M64" s="334"/>
      <c r="N64" s="551">
        <f>'Measurement Data'!$AD$30+B64*'Measurement Data'!$AD$31+B64^2*'Measurement Data'!$AD$32+B64^3*'Measurement Data'!$AD$33</f>
        <v>0.37893558246226089</v>
      </c>
      <c r="O64" s="553">
        <f t="shared" ref="O64:O113" si="6">N64-SQRT(SUMPRODUCT(AA64:AD64,A64:D64)*$H$8)</f>
        <v>0.35768682124711854</v>
      </c>
      <c r="P64" s="552">
        <f t="shared" ref="P64:P113" si="7">N64+N64-O64</f>
        <v>0.40018434367740324</v>
      </c>
      <c r="Q64" s="550"/>
      <c r="R64" s="312">
        <f>SUMPRODUCT(A64:E64,'Measurement Data'!$BI$43:$BM$43)</f>
        <v>0.39215229463100371</v>
      </c>
      <c r="S64" s="308">
        <f t="shared" ref="S64:S113" si="8">R64-SQRT(SUMPRODUCT(AE64:AI64,A64:E64)*$H$9)</f>
        <v>0.37537770866040387</v>
      </c>
      <c r="T64" s="353">
        <f t="shared" ref="T64:T113" si="9">R64+R64-S64</f>
        <v>0.40892688060160354</v>
      </c>
      <c r="U64" s="308"/>
      <c r="V64" s="319">
        <f>SUMPRODUCT($A64:$B64,'Measurement Data'!$K$52:$L$52)</f>
        <v>9.4254108895179836E-2</v>
      </c>
      <c r="W64" s="322">
        <f>SUMPRODUCT($A64:$B64,'Measurement Data'!$K$53:$L$53)</f>
        <v>-1.5114244633525495E-2</v>
      </c>
      <c r="X64" s="331">
        <f>SUMPRODUCT($A64:$C64,'Measurement Data'!$U$59:$W$59)</f>
        <v>1.7330195415893256E-4</v>
      </c>
      <c r="Y64" s="332">
        <f>SUMPRODUCT($A64:$C64,'Measurement Data'!$U$60:$W$60)</f>
        <v>-7.2253015157396172E-5</v>
      </c>
      <c r="Z64" s="332">
        <f>SUMPRODUCT($A64:$C64,'Measurement Data'!$U$61:$W$61)</f>
        <v>6.3925274115362589E-6</v>
      </c>
      <c r="AA64" s="570">
        <f>SUMPRODUCT($A64:$D64,'Measurement Data'!$AD$59:$AG$59)</f>
        <v>2.4305461532927441E-4</v>
      </c>
      <c r="AB64" s="552">
        <f>SUMPRODUCT($A64:$D64,'Measurement Data'!$AD$60:$AG$60)</f>
        <v>-1.8007330513639493E-4</v>
      </c>
      <c r="AC64" s="552">
        <f>SUMPRODUCT($A64:$D64,'Measurement Data'!$AD$61:$AG$61)</f>
        <v>3.7165760280807102E-5</v>
      </c>
      <c r="AD64" s="571">
        <f>SUMPRODUCT($A64:$D64,'Measurement Data'!$AD$62:$AG$62)</f>
        <v>-2.279498731057121E-6</v>
      </c>
      <c r="AE64" s="308">
        <f>SUMPRODUCT(A64:E64,'Measurement Data'!$BG$59:$BK$59)</f>
        <v>1.5990097969825634E-4</v>
      </c>
      <c r="AF64" s="308">
        <f>SUMPRODUCT(A64:E64,'Measurement Data'!$BG$60:$BK$60)</f>
        <v>-1.695257104389003E-4</v>
      </c>
      <c r="AG64" s="308">
        <f>SUMPRODUCT(A64:E64,'Measurement Data'!$BG$61:$BK$61)</f>
        <v>5.7211631555784088E-5</v>
      </c>
      <c r="AH64" s="308">
        <f>SUMPRODUCT(A64:E64,'Measurement Data'!$BG$62:$BK$62)</f>
        <v>-7.6658619311858117E-6</v>
      </c>
      <c r="AI64" s="310">
        <f>SUMPRODUCT(A64:E64,'Measurement Data'!$BG$63:$BK$63)</f>
        <v>3.5468569412212855E-7</v>
      </c>
    </row>
    <row r="65" spans="1:35" ht="18" customHeight="1" x14ac:dyDescent="0.2">
      <c r="A65" s="432">
        <v>1</v>
      </c>
      <c r="B65" s="433">
        <f t="shared" si="0"/>
        <v>0.36</v>
      </c>
      <c r="C65" s="434">
        <f t="shared" si="1"/>
        <v>0.12959999999999999</v>
      </c>
      <c r="D65" s="563">
        <f t="shared" si="2"/>
        <v>4.6655999999999996E-2</v>
      </c>
      <c r="E65" s="435">
        <f t="shared" si="3"/>
        <v>1.6796159999999997E-2</v>
      </c>
      <c r="F65" s="355">
        <f>'Measurement Data'!$K$27+'Measurement Data'!$K$28*'Chart Data'!B65</f>
        <v>-0.39356892631578788</v>
      </c>
      <c r="G65" s="320">
        <f t="shared" si="4"/>
        <v>-1.0130280751399923</v>
      </c>
      <c r="H65" s="354">
        <f t="shared" ref="H65:H113" si="10">F65+F65-G65</f>
        <v>0.2258902225084165</v>
      </c>
      <c r="I65" s="322"/>
      <c r="J65" s="337">
        <f>'Measurement Data'!$U$30+'Chart Data'!B65*'Measurement Data'!$U$31+'Chart Data'!B65^2*'Measurement Data'!$U$32</f>
        <v>0.5697657716054968</v>
      </c>
      <c r="K65" s="332">
        <f t="shared" ref="K65:K113" si="11">$J65-$H$7*SQRT(SUMPRODUCT(A65:C65,X65:Z65))</f>
        <v>0.54493720386406375</v>
      </c>
      <c r="L65" s="336">
        <f t="shared" si="5"/>
        <v>0.59459433934692985</v>
      </c>
      <c r="M65" s="334"/>
      <c r="N65" s="551">
        <f>'Measurement Data'!$AD$30+B65*'Measurement Data'!$AD$31+B65^2*'Measurement Data'!$AD$32+B65^3*'Measurement Data'!$AD$33</f>
        <v>0.56914162794505019</v>
      </c>
      <c r="O65" s="553">
        <f t="shared" si="6"/>
        <v>0.55062884742732998</v>
      </c>
      <c r="P65" s="552">
        <f t="shared" si="7"/>
        <v>0.58765440846277039</v>
      </c>
      <c r="Q65" s="550"/>
      <c r="R65" s="312">
        <f>SUMPRODUCT(A65:E65,'Measurement Data'!$BI$43:$BM$43)</f>
        <v>0.57251300497057223</v>
      </c>
      <c r="S65" s="308">
        <f t="shared" si="8"/>
        <v>0.55852831180041596</v>
      </c>
      <c r="T65" s="353">
        <f t="shared" si="9"/>
        <v>0.5864976981407285</v>
      </c>
      <c r="U65" s="308"/>
      <c r="V65" s="319">
        <f>SUMPRODUCT($A65:$B65,'Measurement Data'!$K$52:$L$52)</f>
        <v>9.1420188026393803E-2</v>
      </c>
      <c r="W65" s="322">
        <f>SUMPRODUCT($A65:$B65,'Measurement Data'!$K$53:$L$53)</f>
        <v>-1.4484484440461931E-2</v>
      </c>
      <c r="X65" s="331">
        <f>SUMPRODUCT($A65:$C65,'Measurement Data'!$U$59:$W$59)</f>
        <v>1.5942284390270956E-4</v>
      </c>
      <c r="Y65" s="332">
        <f>SUMPRODUCT($A65:$C65,'Measurement Data'!$U$60:$W$60)</f>
        <v>-6.3790922458841908E-5</v>
      </c>
      <c r="Z65" s="332">
        <f>SUMPRODUCT($A65:$C65,'Measurement Data'!$U$61:$W$61)</f>
        <v>5.5204442804634238E-6</v>
      </c>
      <c r="AA65" s="570">
        <f>SUMPRODUCT($A65:$D65,'Measurement Data'!$AD$59:$AG$59)</f>
        <v>2.0674003167484942E-4</v>
      </c>
      <c r="AB65" s="552">
        <f>SUMPRODUCT($A65:$D65,'Measurement Data'!$AD$60:$AG$60)</f>
        <v>-1.3693154277329833E-4</v>
      </c>
      <c r="AC65" s="552">
        <f>SUMPRODUCT($A65:$D65,'Measurement Data'!$AD$61:$AG$61)</f>
        <v>2.639567417993873E-5</v>
      </c>
      <c r="AD65" s="571">
        <f>SUMPRODUCT($A65:$D65,'Measurement Data'!$AD$62:$AG$62)</f>
        <v>-1.5463133258870754E-6</v>
      </c>
      <c r="AE65" s="308">
        <f>SUMPRODUCT(A65:E65,'Measurement Data'!$BG$59:$BK$59)</f>
        <v>1.2216046903125495E-4</v>
      </c>
      <c r="AF65" s="308">
        <f>SUMPRODUCT(A65:E65,'Measurement Data'!$BG$60:$BK$60)</f>
        <v>-9.4401654807004781E-5</v>
      </c>
      <c r="AG65" s="308">
        <f>SUMPRODUCT(A65:E65,'Measurement Data'!$BG$61:$BK$61)</f>
        <v>2.4103449032785211E-5</v>
      </c>
      <c r="AH65" s="308">
        <f>SUMPRODUCT(A65:E65,'Measurement Data'!$BG$62:$BK$62)</f>
        <v>-2.4978734882411175E-6</v>
      </c>
      <c r="AI65" s="310">
        <f>SUMPRODUCT(A65:E65,'Measurement Data'!$BG$63:$BK$63)</f>
        <v>9.0474785662593424E-8</v>
      </c>
    </row>
    <row r="66" spans="1:35" ht="18" customHeight="1" x14ac:dyDescent="0.2">
      <c r="A66" s="432">
        <v>1</v>
      </c>
      <c r="B66" s="433">
        <f t="shared" si="0"/>
        <v>0.54</v>
      </c>
      <c r="C66" s="434">
        <f t="shared" si="1"/>
        <v>0.29160000000000003</v>
      </c>
      <c r="D66" s="563">
        <f t="shared" si="2"/>
        <v>0.15746400000000002</v>
      </c>
      <c r="E66" s="435">
        <f t="shared" si="3"/>
        <v>8.5030560000000019E-2</v>
      </c>
      <c r="F66" s="355">
        <f>'Measurement Data'!$K$27+'Measurement Data'!$K$28*'Chart Data'!B66</f>
        <v>-5.1477599999997903E-2</v>
      </c>
      <c r="G66" s="320">
        <f t="shared" si="4"/>
        <v>-0.65232965206072402</v>
      </c>
      <c r="H66" s="354">
        <f t="shared" si="10"/>
        <v>0.54937445206072821</v>
      </c>
      <c r="I66" s="322"/>
      <c r="J66" s="337">
        <f>'Measurement Data'!$U$30+'Chart Data'!B66*'Measurement Data'!$U$31+'Chart Data'!B66^2*'Measurement Data'!$U$32</f>
        <v>0.76615167554180841</v>
      </c>
      <c r="K66" s="332">
        <f t="shared" si="11"/>
        <v>0.74318954415401151</v>
      </c>
      <c r="L66" s="336">
        <f t="shared" si="5"/>
        <v>0.78911380692960531</v>
      </c>
      <c r="M66" s="334"/>
      <c r="N66" s="551">
        <f>'Measurement Data'!$AD$30+B66*'Measurement Data'!$AD$31+B66^2*'Measurement Data'!$AD$32+B66^3*'Measurement Data'!$AD$33</f>
        <v>0.76579058469844496</v>
      </c>
      <c r="O66" s="553">
        <f t="shared" si="6"/>
        <v>0.74945279208689819</v>
      </c>
      <c r="P66" s="552">
        <f t="shared" si="7"/>
        <v>0.78212837730999174</v>
      </c>
      <c r="Q66" s="550"/>
      <c r="R66" s="312">
        <f>SUMPRODUCT(A66:E66,'Measurement Data'!$BI$43:$BM$43)</f>
        <v>0.76141862031773633</v>
      </c>
      <c r="S66" s="308">
        <f t="shared" si="8"/>
        <v>0.74901529361588814</v>
      </c>
      <c r="T66" s="353">
        <f t="shared" si="9"/>
        <v>0.77382194701958451</v>
      </c>
      <c r="U66" s="308"/>
      <c r="V66" s="319">
        <f>SUMPRODUCT($A66:$B66,'Measurement Data'!$K$52:$L$52)</f>
        <v>8.8586267157607784E-2</v>
      </c>
      <c r="W66" s="322">
        <f>SUMPRODUCT($A66:$B66,'Measurement Data'!$K$53:$L$53)</f>
        <v>-1.385472424739837E-2</v>
      </c>
      <c r="X66" s="331">
        <f>SUMPRODUCT($A66:$C66,'Measurement Data'!$U$59:$W$59)</f>
        <v>1.4601688513249416E-4</v>
      </c>
      <c r="Y66" s="332">
        <f>SUMPRODUCT($A66:$C66,'Measurement Data'!$U$60:$W$60)</f>
        <v>-5.5662819044528309E-5</v>
      </c>
      <c r="Z66" s="332">
        <f>SUMPRODUCT($A66:$C66,'Measurement Data'!$U$61:$W$61)</f>
        <v>4.6854710698617733E-6</v>
      </c>
      <c r="AA66" s="570">
        <f>SUMPRODUCT($A66:$D66,'Measurement Data'!$AD$59:$AG$59)</f>
        <v>1.7339167769997728E-4</v>
      </c>
      <c r="AB66" s="552">
        <f>SUMPRODUCT($A66:$D66,'Measurement Data'!$AD$60:$AG$60)</f>
        <v>-9.7977449385772193E-5</v>
      </c>
      <c r="AC66" s="552">
        <f>SUMPRODUCT($A66:$D66,'Measurement Data'!$AD$61:$AG$61)</f>
        <v>1.6762585437870382E-5</v>
      </c>
      <c r="AD66" s="571">
        <f>SUMPRODUCT($A66:$D66,'Measurement Data'!$AD$62:$AG$62)</f>
        <v>-8.9460106429694489E-7</v>
      </c>
      <c r="AE66" s="308">
        <f>SUMPRODUCT(A66:E66,'Measurement Data'!$BG$59:$BK$59)</f>
        <v>8.9786399948999101E-5</v>
      </c>
      <c r="AF66" s="308">
        <f>SUMPRODUCT(A66:E66,'Measurement Data'!$BG$60:$BK$60)</f>
        <v>-3.2492708129455505E-5</v>
      </c>
      <c r="AG66" s="308">
        <f>SUMPRODUCT(A66:E66,'Measurement Data'!$BG$61:$BK$61)</f>
        <v>-2.5895989397206334E-6</v>
      </c>
      <c r="AH66" s="308">
        <f>SUMPRODUCT(A66:E66,'Measurement Data'!$BG$62:$BK$62)</f>
        <v>1.6089416662734226E-6</v>
      </c>
      <c r="AI66" s="310">
        <f>SUMPRODUCT(A66:E66,'Measurement Data'!$BG$63:$BK$63)</f>
        <v>-1.1732669978107228E-7</v>
      </c>
    </row>
    <row r="67" spans="1:35" ht="18" customHeight="1" x14ac:dyDescent="0.2">
      <c r="A67" s="432">
        <v>1</v>
      </c>
      <c r="B67" s="433">
        <f t="shared" si="0"/>
        <v>0.72</v>
      </c>
      <c r="C67" s="434">
        <f t="shared" si="1"/>
        <v>0.51839999999999997</v>
      </c>
      <c r="D67" s="563">
        <f t="shared" si="2"/>
        <v>0.37324799999999997</v>
      </c>
      <c r="E67" s="435">
        <f t="shared" si="3"/>
        <v>0.26873855999999996</v>
      </c>
      <c r="F67" s="355">
        <f>'Measurement Data'!$K$27+'Measurement Data'!$K$28*'Chart Data'!B67</f>
        <v>0.29061372631579174</v>
      </c>
      <c r="G67" s="320">
        <f t="shared" si="4"/>
        <v>-0.29190315357897789</v>
      </c>
      <c r="H67" s="354">
        <f t="shared" si="10"/>
        <v>0.87313060621056138</v>
      </c>
      <c r="I67" s="322"/>
      <c r="J67" s="337">
        <f>'Measurement Data'!$U$30+'Chart Data'!B67*'Measurement Data'!$U$31+'Chart Data'!B67^2*'Measurement Data'!$U$32</f>
        <v>0.96901337602831883</v>
      </c>
      <c r="K67" s="332">
        <f t="shared" si="11"/>
        <v>0.94774723390174886</v>
      </c>
      <c r="L67" s="336">
        <f t="shared" si="5"/>
        <v>0.99027951815488879</v>
      </c>
      <c r="M67" s="334"/>
      <c r="N67" s="551">
        <f>'Measurement Data'!$AD$30+B67*'Measurement Data'!$AD$31+B67^2*'Measurement Data'!$AD$32+B67^3*'Measurement Data'!$AD$33</f>
        <v>0.96888388251720992</v>
      </c>
      <c r="O67" s="553">
        <f t="shared" si="6"/>
        <v>0.95416439613230952</v>
      </c>
      <c r="P67" s="552">
        <f t="shared" si="7"/>
        <v>0.98360336890211031</v>
      </c>
      <c r="Q67" s="550"/>
      <c r="R67" s="312">
        <f>SUMPRODUCT(A67:E67,'Measurement Data'!$BI$43:$BM$43)</f>
        <v>0.9586510430796058</v>
      </c>
      <c r="S67" s="308">
        <f t="shared" si="8"/>
        <v>0.9468980936869974</v>
      </c>
      <c r="T67" s="353">
        <f t="shared" si="9"/>
        <v>0.97040399247221421</v>
      </c>
      <c r="U67" s="308"/>
      <c r="V67" s="319">
        <f>SUMPRODUCT($A67:$B67,'Measurement Data'!$K$52:$L$52)</f>
        <v>8.5752346288821751E-2</v>
      </c>
      <c r="W67" s="322">
        <f>SUMPRODUCT($A67:$B67,'Measurement Data'!$K$53:$L$53)</f>
        <v>-1.3224964054334806E-2</v>
      </c>
      <c r="X67" s="331">
        <f>SUMPRODUCT($A67:$C67,'Measurement Data'!$U$59:$W$59)</f>
        <v>1.3308407784828639E-4</v>
      </c>
      <c r="Y67" s="332">
        <f>SUMPRODUCT($A67:$C67,'Measurement Data'!$U$60:$W$60)</f>
        <v>-4.7868704914455369E-5</v>
      </c>
      <c r="Z67" s="332">
        <f>SUMPRODUCT($A67:$C67,'Measurement Data'!$U$61:$W$61)</f>
        <v>3.8876077797313064E-6</v>
      </c>
      <c r="AA67" s="570">
        <f>SUMPRODUCT($A67:$D67,'Measurement Data'!$AD$59:$AG$59)</f>
        <v>1.4290115870059086E-4</v>
      </c>
      <c r="AB67" s="552">
        <f>SUMPRODUCT($A67:$D67,'Measurement Data'!$AD$60:$AG$60)</f>
        <v>-6.3043473682889299E-5</v>
      </c>
      <c r="AC67" s="552">
        <f>SUMPRODUCT($A67:$D67,'Measurement Data'!$AD$61:$AG$61)</f>
        <v>8.2186728616312533E-6</v>
      </c>
      <c r="AD67" s="571">
        <f>SUMPRODUCT($A67:$D67,'Measurement Data'!$AD$62:$AG$62)</f>
        <v>-3.208196356962986E-7</v>
      </c>
      <c r="AE67" s="308">
        <f>SUMPRODUCT(A67:E67,'Measurement Data'!$BG$59:$BK$59)</f>
        <v>6.2331534640553248E-5</v>
      </c>
      <c r="AF67" s="308">
        <f>SUMPRODUCT(A67:E67,'Measurement Data'!$BG$60:$BK$60)</f>
        <v>1.7429605780650681E-5</v>
      </c>
      <c r="AG67" s="308">
        <f>SUMPRODUCT(A67:E67,'Measurement Data'!$BG$61:$BK$61)</f>
        <v>-2.3497621125227144E-5</v>
      </c>
      <c r="AH67" s="308">
        <f>SUMPRODUCT(A67:E67,'Measurement Data'!$BG$62:$BK$62)</f>
        <v>4.76261786185405E-6</v>
      </c>
      <c r="AI67" s="310">
        <f>SUMPRODUCT(A67:E67,'Measurement Data'!$BG$63:$BK$63)</f>
        <v>-2.7461003250903547E-7</v>
      </c>
    </row>
    <row r="68" spans="1:35" ht="18" customHeight="1" x14ac:dyDescent="0.2">
      <c r="A68" s="432">
        <v>1</v>
      </c>
      <c r="B68" s="433">
        <f t="shared" si="0"/>
        <v>0.89999999999999991</v>
      </c>
      <c r="C68" s="434">
        <f t="shared" si="1"/>
        <v>0.80999999999999983</v>
      </c>
      <c r="D68" s="563">
        <f t="shared" si="2"/>
        <v>0.72899999999999976</v>
      </c>
      <c r="E68" s="435">
        <f t="shared" si="3"/>
        <v>0.65609999999999968</v>
      </c>
      <c r="F68" s="355">
        <f>'Measurement Data'!$K$27+'Measurement Data'!$K$28*'Chart Data'!B68</f>
        <v>0.63270505263158161</v>
      </c>
      <c r="G68" s="320">
        <f t="shared" si="4"/>
        <v>6.8224922111238318E-2</v>
      </c>
      <c r="H68" s="354">
        <f t="shared" si="10"/>
        <v>1.1971851831519249</v>
      </c>
      <c r="I68" s="322"/>
      <c r="J68" s="337">
        <f>'Measurement Data'!$U$30+'Chart Data'!B68*'Measurement Data'!$U$31+'Chart Data'!B68^2*'Measurement Data'!$U$32</f>
        <v>1.1783508730650283</v>
      </c>
      <c r="K68" s="332">
        <f t="shared" si="11"/>
        <v>1.1586016537022963</v>
      </c>
      <c r="L68" s="336">
        <f t="shared" si="5"/>
        <v>1.1981000924277603</v>
      </c>
      <c r="M68" s="334"/>
      <c r="N68" s="551">
        <f>'Measurement Data'!$AD$30+B68*'Measurement Data'!$AD$31+B68^2*'Measurement Data'!$AD$32+B68^3*'Measurement Data'!$AD$33</f>
        <v>1.17842295119611</v>
      </c>
      <c r="O68" s="553">
        <f t="shared" si="6"/>
        <v>1.1647972860128613</v>
      </c>
      <c r="P68" s="552">
        <f t="shared" si="7"/>
        <v>1.1920486163793587</v>
      </c>
      <c r="Q68" s="550"/>
      <c r="R68" s="312">
        <f>SUMPRODUCT(A68:E68,'Measurement Data'!$BI$43:$BM$43)</f>
        <v>1.1640019324360755</v>
      </c>
      <c r="S68" s="308">
        <f t="shared" si="8"/>
        <v>1.1523426565371606</v>
      </c>
      <c r="T68" s="353">
        <f t="shared" si="9"/>
        <v>1.1756612083349904</v>
      </c>
      <c r="U68" s="308"/>
      <c r="V68" s="319">
        <f>SUMPRODUCT($A68:$B68,'Measurement Data'!$K$52:$L$52)</f>
        <v>8.2918425420035718E-2</v>
      </c>
      <c r="W68" s="322">
        <f>SUMPRODUCT($A68:$B68,'Measurement Data'!$K$53:$L$53)</f>
        <v>-1.2595203861271245E-2</v>
      </c>
      <c r="X68" s="331">
        <f>SUMPRODUCT($A68:$C68,'Measurement Data'!$U$59:$W$59)</f>
        <v>1.2062442205008619E-4</v>
      </c>
      <c r="Y68" s="332">
        <f>SUMPRODUCT($A68:$C68,'Measurement Data'!$U$60:$W$60)</f>
        <v>-4.0408580068623096E-5</v>
      </c>
      <c r="Z68" s="332">
        <f>SUMPRODUCT($A68:$C68,'Measurement Data'!$U$61:$W$61)</f>
        <v>3.1268544100720258E-6</v>
      </c>
      <c r="AA68" s="570">
        <f>SUMPRODUCT($A68:$D68,'Measurement Data'!$AD$59:$AG$59)</f>
        <v>1.1516007997262291E-4</v>
      </c>
      <c r="AB68" s="552">
        <f>SUMPRODUCT($A68:$D68,'Measurement Data'!$AD$60:$AG$60)</f>
        <v>-3.196206437372219E-5</v>
      </c>
      <c r="AC68" s="552">
        <f>SUMPRODUCT($A68:$D68,'Measurement Data'!$AD$61:$AG$61)</f>
        <v>7.1611525825050903E-7</v>
      </c>
      <c r="AD68" s="571">
        <f>SUMPRODUCT($A68:$D68,'Measurement Data'!$AD$62:$AG$62)</f>
        <v>1.7857327050529527E-7</v>
      </c>
      <c r="AE68" s="308">
        <f>SUMPRODUCT(A68:E68,'Measurement Data'!$BG$59:$BK$59)</f>
        <v>3.9365804139856571E-5</v>
      </c>
      <c r="AF68" s="308">
        <f>SUMPRODUCT(A68:E68,'Measurement Data'!$BG$60:$BK$60)</f>
        <v>5.6543350668648406E-5</v>
      </c>
      <c r="AG68" s="308">
        <f>SUMPRODUCT(A68:E68,'Measurement Data'!$BG$61:$BK$61)</f>
        <v>-3.9223916331750923E-5</v>
      </c>
      <c r="AH68" s="308">
        <f>SUMPRODUCT(A68:E68,'Measurement Data'!$BG$62:$BK$62)</f>
        <v>7.066476411756885E-6</v>
      </c>
      <c r="AI68" s="310">
        <f>SUMPRODUCT(A68:E68,'Measurement Data'!$BG$63:$BK$63)</f>
        <v>-3.870046485859003E-7</v>
      </c>
    </row>
    <row r="69" spans="1:35" ht="18" customHeight="1" x14ac:dyDescent="0.2">
      <c r="A69" s="432">
        <v>1</v>
      </c>
      <c r="B69" s="433">
        <f t="shared" si="0"/>
        <v>1.0799999999999998</v>
      </c>
      <c r="C69" s="434">
        <f t="shared" si="1"/>
        <v>1.1663999999999997</v>
      </c>
      <c r="D69" s="563">
        <f t="shared" si="2"/>
        <v>1.2597119999999995</v>
      </c>
      <c r="E69" s="435">
        <f t="shared" si="3"/>
        <v>1.3604889599999992</v>
      </c>
      <c r="F69" s="355">
        <f>'Measurement Data'!$K$27+'Measurement Data'!$K$28*'Chart Data'!B69</f>
        <v>0.97479637894737126</v>
      </c>
      <c r="G69" s="320">
        <f t="shared" si="4"/>
        <v>0.42802504133413777</v>
      </c>
      <c r="H69" s="354">
        <f t="shared" si="10"/>
        <v>1.5215677165606047</v>
      </c>
      <c r="I69" s="322"/>
      <c r="J69" s="337">
        <f>'Measurement Data'!$U$30+'Chart Data'!B69*'Measurement Data'!$U$31+'Chart Data'!B69^2*'Measurement Data'!$U$32</f>
        <v>1.3941641666519367</v>
      </c>
      <c r="K69" s="332">
        <f t="shared" si="11"/>
        <v>1.3757446435207545</v>
      </c>
      <c r="L69" s="336">
        <f t="shared" si="5"/>
        <v>1.4125836897831188</v>
      </c>
      <c r="M69" s="334"/>
      <c r="N69" s="551">
        <f>'Measurement Data'!$AD$30+B69*'Measurement Data'!$AD$31+B69^2*'Measurement Data'!$AD$32+B69^3*'Measurement Data'!$AD$33</f>
        <v>1.3944092205299097</v>
      </c>
      <c r="O69" s="553">
        <f t="shared" si="6"/>
        <v>1.3814216621156523</v>
      </c>
      <c r="P69" s="552">
        <f t="shared" si="7"/>
        <v>1.407396778944167</v>
      </c>
      <c r="Q69" s="550"/>
      <c r="R69" s="312">
        <f>SUMPRODUCT(A69:E69,'Measurement Data'!$BI$43:$BM$43)</f>
        <v>1.377272704339825</v>
      </c>
      <c r="S69" s="308">
        <f t="shared" si="8"/>
        <v>1.3654799814783969</v>
      </c>
      <c r="T69" s="353">
        <f t="shared" si="9"/>
        <v>1.389065427201253</v>
      </c>
      <c r="U69" s="308"/>
      <c r="V69" s="319">
        <f>SUMPRODUCT($A69:$B69,'Measurement Data'!$K$52:$L$52)</f>
        <v>8.0084504551249686E-2</v>
      </c>
      <c r="W69" s="322">
        <f>SUMPRODUCT($A69:$B69,'Measurement Data'!$K$53:$L$53)</f>
        <v>-1.1965443668207683E-2</v>
      </c>
      <c r="X69" s="331">
        <f>SUMPRODUCT($A69:$C69,'Measurement Data'!$U$59:$W$59)</f>
        <v>1.0863791773789361E-4</v>
      </c>
      <c r="Y69" s="332">
        <f>SUMPRODUCT($A69:$C69,'Measurement Data'!$U$60:$W$60)</f>
        <v>-3.3282444507031481E-5</v>
      </c>
      <c r="Z69" s="332">
        <f>SUMPRODUCT($A69:$C69,'Measurement Data'!$U$61:$W$61)</f>
        <v>2.4032109608839285E-6</v>
      </c>
      <c r="AA69" s="570">
        <f>SUMPRODUCT($A69:$D69,'Measurement Data'!$AD$59:$AG$59)</f>
        <v>9.0060046812006218E-5</v>
      </c>
      <c r="AB69" s="552">
        <f>SUMPRODUCT($A69:$D69,'Measurement Data'!$AD$60:$AG$60)</f>
        <v>-4.5656701673434982E-6</v>
      </c>
      <c r="AC69" s="552">
        <f>SUMPRODUCT($A69:$D69,'Measurement Data'!$AD$61:$AG$61)</f>
        <v>-5.7929085652426551E-6</v>
      </c>
      <c r="AD69" s="571">
        <f>SUMPRODUCT($A69:$D69,'Measurement Data'!$AD$62:$AG$62)</f>
        <v>6.071199648982673E-7</v>
      </c>
      <c r="AE69" s="308">
        <f>SUMPRODUCT(A69:E69,'Measurement Data'!$BG$59:$BK$59)</f>
        <v>2.0476308325723065E-5</v>
      </c>
      <c r="AF69" s="308">
        <f>SUMPRODUCT(A69:E69,'Measurement Data'!$BG$60:$BK$60)</f>
        <v>8.5976177838303686E-5</v>
      </c>
      <c r="AG69" s="308">
        <f>SUMPRODUCT(A69:E69,'Measurement Data'!$BG$61:$BK$61)</f>
        <v>-5.034497341183141E-5</v>
      </c>
      <c r="AH69" s="308">
        <f>SUMPRODUCT(A69:E69,'Measurement Data'!$BG$62:$BK$62)</f>
        <v>8.6191256129979E-6</v>
      </c>
      <c r="AI69" s="310">
        <f>SUMPRODUCT(A69:E69,'Measurement Data'!$BG$63:$BK$63)</f>
        <v>-4.5987814984070749E-7</v>
      </c>
    </row>
    <row r="70" spans="1:35" ht="18" customHeight="1" x14ac:dyDescent="0.2">
      <c r="A70" s="432">
        <v>1</v>
      </c>
      <c r="B70" s="433">
        <f t="shared" si="0"/>
        <v>1.2599999999999998</v>
      </c>
      <c r="C70" s="434">
        <f t="shared" si="1"/>
        <v>1.5875999999999995</v>
      </c>
      <c r="D70" s="563">
        <f t="shared" si="2"/>
        <v>2.0003759999999988</v>
      </c>
      <c r="E70" s="435">
        <f t="shared" si="3"/>
        <v>2.5204737599999985</v>
      </c>
      <c r="F70" s="355">
        <f>'Measurement Data'!$K$27+'Measurement Data'!$K$28*'Chart Data'!B70</f>
        <v>1.3168877052631611</v>
      </c>
      <c r="G70" s="320">
        <f t="shared" si="4"/>
        <v>0.78746429341623547</v>
      </c>
      <c r="H70" s="354">
        <f t="shared" si="10"/>
        <v>1.8463111171100868</v>
      </c>
      <c r="I70" s="322"/>
      <c r="J70" s="337">
        <f>'Measurement Data'!$U$30+'Chart Data'!B70*'Measurement Data'!$U$31+'Chart Data'!B70^2*'Measurement Data'!$U$32</f>
        <v>1.6164532567890442</v>
      </c>
      <c r="K70" s="332">
        <f t="shared" si="11"/>
        <v>1.5991695678384457</v>
      </c>
      <c r="L70" s="336">
        <f t="shared" si="5"/>
        <v>1.6337369457396427</v>
      </c>
      <c r="M70" s="334"/>
      <c r="N70" s="551">
        <f>'Measurement Data'!$AD$30+B70*'Measurement Data'!$AD$31+B70^2*'Measurement Data'!$AD$32+B70^3*'Measurement Data'!$AD$33</f>
        <v>1.6168441203133743</v>
      </c>
      <c r="O70" s="553">
        <f t="shared" si="6"/>
        <v>1.6041387659575859</v>
      </c>
      <c r="P70" s="552">
        <f t="shared" si="7"/>
        <v>1.6295494746691628</v>
      </c>
      <c r="Q70" s="550"/>
      <c r="R70" s="312">
        <f>SUMPRODUCT(A70:E70,'Measurement Data'!$BI$43:$BM$43)</f>
        <v>1.5982745315163187</v>
      </c>
      <c r="S70" s="308">
        <f t="shared" si="8"/>
        <v>1.5863341910232884</v>
      </c>
      <c r="T70" s="353">
        <f t="shared" si="9"/>
        <v>1.610214872009349</v>
      </c>
      <c r="U70" s="308"/>
      <c r="V70" s="319">
        <f>SUMPRODUCT($A70:$B70,'Measurement Data'!$K$52:$L$52)</f>
        <v>7.7250583682463653E-2</v>
      </c>
      <c r="W70" s="322">
        <f>SUMPRODUCT($A70:$B70,'Measurement Data'!$K$53:$L$53)</f>
        <v>-1.1335683475144121E-2</v>
      </c>
      <c r="X70" s="331">
        <f>SUMPRODUCT($A70:$C70,'Measurement Data'!$U$59:$W$59)</f>
        <v>9.7124564911708639E-5</v>
      </c>
      <c r="Y70" s="332">
        <f>SUMPRODUCT($A70:$C70,'Measurement Data'!$U$60:$W$60)</f>
        <v>-2.6490298229680526E-5</v>
      </c>
      <c r="Z70" s="332">
        <f>SUMPRODUCT($A70:$C70,'Measurement Data'!$U$61:$W$61)</f>
        <v>1.7166774321670155E-6</v>
      </c>
      <c r="AA70" s="570">
        <f>SUMPRODUCT($A70:$D70,'Measurement Data'!$AD$59:$AG$59)</f>
        <v>6.7492664514673671E-5</v>
      </c>
      <c r="AB70" s="552">
        <f>SUMPRODUCT($A70:$D70,'Measurement Data'!$AD$60:$AG$60)</f>
        <v>1.9313260227174244E-5</v>
      </c>
      <c r="AC70" s="552">
        <f>SUMPRODUCT($A70:$D70,'Measurement Data'!$AD$61:$AG$61)</f>
        <v>-1.1356219801819082E-5</v>
      </c>
      <c r="AD70" s="571">
        <f>SUMPRODUCT($A70:$D70,'Measurement Data'!$AD$62:$AG$62)</f>
        <v>9.6836275807304867E-7</v>
      </c>
      <c r="AE70" s="308">
        <f>SUMPRODUCT(A70:E70,'Measurement Data'!$BG$59:$BK$59)</f>
        <v>5.2673159218414696E-6</v>
      </c>
      <c r="AF70" s="308">
        <f>SUMPRODUCT(A70:E70,'Measurement Data'!$BG$60:$BK$60)</f>
        <v>1.0680532615181383E-4</v>
      </c>
      <c r="AG70" s="308">
        <f>SUMPRODUCT(A70:E70,'Measurement Data'!$BG$61:$BK$61)</f>
        <v>-5.7410471262531007E-5</v>
      </c>
      <c r="AH70" s="308">
        <f>SUMPRODUCT(A70:E70,'Measurement Data'!$BG$62:$BK$62)</f>
        <v>9.5144607463529415E-6</v>
      </c>
      <c r="AI70" s="310">
        <f>SUMPRODUCT(A70:E70,'Measurement Data'!$BG$63:$BK$63)</f>
        <v>-4.9833630386693582E-7</v>
      </c>
    </row>
    <row r="71" spans="1:35" ht="18" customHeight="1" x14ac:dyDescent="0.2">
      <c r="A71" s="432">
        <v>1</v>
      </c>
      <c r="B71" s="433">
        <f t="shared" si="0"/>
        <v>1.4399999999999997</v>
      </c>
      <c r="C71" s="434">
        <f t="shared" si="1"/>
        <v>2.073599999999999</v>
      </c>
      <c r="D71" s="563">
        <f t="shared" si="2"/>
        <v>2.985983999999998</v>
      </c>
      <c r="E71" s="435">
        <f t="shared" si="3"/>
        <v>4.2998169599999958</v>
      </c>
      <c r="F71" s="355">
        <f>'Measurement Data'!$K$27+'Measurement Data'!$K$28*'Chart Data'!B71</f>
        <v>1.658979031578951</v>
      </c>
      <c r="G71" s="320">
        <f t="shared" si="4"/>
        <v>1.1465060294792415</v>
      </c>
      <c r="H71" s="354">
        <f t="shared" si="10"/>
        <v>2.1714520336786602</v>
      </c>
      <c r="I71" s="322"/>
      <c r="J71" s="337">
        <f>'Measurement Data'!$U$30+'Chart Data'!B71*'Measurement Data'!$U$31+'Chart Data'!B71^2*'Measurement Data'!$U$32</f>
        <v>1.8452181434763504</v>
      </c>
      <c r="K71" s="332">
        <f t="shared" si="11"/>
        <v>1.8288727061187908</v>
      </c>
      <c r="L71" s="336">
        <f t="shared" si="5"/>
        <v>1.8615635808339099</v>
      </c>
      <c r="M71" s="334"/>
      <c r="N71" s="551">
        <f>'Measurement Data'!$AD$30+B71*'Measurement Data'!$AD$31+B71^2*'Measurement Data'!$AD$32+B71^3*'Measurement Data'!$AD$33</f>
        <v>1.8457290803412689</v>
      </c>
      <c r="O71" s="553">
        <f t="shared" si="6"/>
        <v>1.8330619985718506</v>
      </c>
      <c r="P71" s="552">
        <f t="shared" si="7"/>
        <v>1.8583961621106873</v>
      </c>
      <c r="Q71" s="550"/>
      <c r="R71" s="312">
        <f>SUMPRODUCT(A71:E71,'Measurement Data'!$BI$43:$BM$43)</f>
        <v>1.8268283434638053</v>
      </c>
      <c r="S71" s="308">
        <f t="shared" si="8"/>
        <v>1.8148339034526655</v>
      </c>
      <c r="T71" s="353">
        <f t="shared" si="9"/>
        <v>1.8388227834749451</v>
      </c>
      <c r="U71" s="308"/>
      <c r="V71" s="319">
        <f>SUMPRODUCT($A71:$B71,'Measurement Data'!$K$52:$L$52)</f>
        <v>7.4416662813677634E-2</v>
      </c>
      <c r="W71" s="322">
        <f>SUMPRODUCT($A71:$B71,'Measurement Data'!$K$53:$L$53)</f>
        <v>-1.0705923282080559E-2</v>
      </c>
      <c r="X71" s="331">
        <f>SUMPRODUCT($A71:$C71,'Measurement Data'!$U$59:$W$59)</f>
        <v>8.608436357153125E-5</v>
      </c>
      <c r="Y71" s="332">
        <f>SUMPRODUCT($A71:$C71,'Measurement Data'!$U$60:$W$60)</f>
        <v>-2.0032141236570224E-5</v>
      </c>
      <c r="Z71" s="332">
        <f>SUMPRODUCT($A71:$C71,'Measurement Data'!$U$61:$W$61)</f>
        <v>1.0672538239212877E-6</v>
      </c>
      <c r="AA71" s="570">
        <f>SUMPRODUCT($A71:$D71,'Measurement Data'!$AD$59:$AG$59)</f>
        <v>4.7349538376558026E-5</v>
      </c>
      <c r="AB71" s="552">
        <f>SUMPRODUCT($A71:$D71,'Measurement Data'!$AD$60:$AG$60)</f>
        <v>3.9842278100758319E-5</v>
      </c>
      <c r="AC71" s="552">
        <f>SUMPRODUCT($A71:$D71,'Measurement Data'!$AD$61:$AG$61)</f>
        <v>-1.6021639644449584E-5</v>
      </c>
      <c r="AD71" s="571">
        <f>SUMPRODUCT($A71:$D71,'Measurement Data'!$AD$62:$AG$62)</f>
        <v>1.2658439606200711E-6</v>
      </c>
      <c r="AE71" s="308">
        <f>SUMPRODUCT(A71:E71,'Measurement Data'!$BG$59:$BK$59)</f>
        <v>-6.6397355032247253E-6</v>
      </c>
      <c r="AF71" s="308">
        <f>SUMPRODUCT(A71:E71,'Measurement Data'!$BG$60:$BK$60)</f>
        <v>1.20057622029808E-4</v>
      </c>
      <c r="AG71" s="308">
        <f>SUMPRODUCT(A71:E71,'Measurement Data'!$BG$61:$BK$61)</f>
        <v>-6.0943278825435074E-5</v>
      </c>
      <c r="AH71" s="308">
        <f>SUMPRODUCT(A71:E71,'Measurement Data'!$BG$62:$BK$62)</f>
        <v>9.8416640763577171E-6</v>
      </c>
      <c r="AI71" s="310">
        <f>SUMPRODUCT(A71:E71,'Measurement Data'!$BG$63:$BK$63)</f>
        <v>-5.0722304402249925E-7</v>
      </c>
    </row>
    <row r="72" spans="1:35" ht="18" customHeight="1" x14ac:dyDescent="0.2">
      <c r="A72" s="432">
        <v>1</v>
      </c>
      <c r="B72" s="433">
        <f t="shared" si="0"/>
        <v>1.6199999999999997</v>
      </c>
      <c r="C72" s="434">
        <f t="shared" si="1"/>
        <v>2.6243999999999987</v>
      </c>
      <c r="D72" s="563">
        <f t="shared" si="2"/>
        <v>4.2515279999999969</v>
      </c>
      <c r="E72" s="435">
        <f t="shared" si="3"/>
        <v>6.8874753599999936</v>
      </c>
      <c r="F72" s="355">
        <f>'Measurement Data'!$K$27+'Measurement Data'!$K$28*'Chart Data'!B72</f>
        <v>2.0010703578947404</v>
      </c>
      <c r="G72" s="320">
        <f t="shared" si="4"/>
        <v>1.5051094902411397</v>
      </c>
      <c r="H72" s="354">
        <f t="shared" si="10"/>
        <v>2.4970312255483411</v>
      </c>
      <c r="I72" s="322"/>
      <c r="J72" s="337">
        <f>'Measurement Data'!$U$30+'Chart Data'!B72*'Measurement Data'!$U$31+'Chart Data'!B72^2*'Measurement Data'!$U$32</f>
        <v>2.0804588267138557</v>
      </c>
      <c r="K72" s="332">
        <f t="shared" si="11"/>
        <v>2.0648547768484673</v>
      </c>
      <c r="L72" s="336">
        <f t="shared" si="5"/>
        <v>2.0960628765792442</v>
      </c>
      <c r="M72" s="334"/>
      <c r="N72" s="551">
        <f>'Measurement Data'!$AD$30+B72*'Measurement Data'!$AD$31+B72^2*'Measurement Data'!$AD$32+B72^3*'Measurement Data'!$AD$33</f>
        <v>2.0810655304083574</v>
      </c>
      <c r="O72" s="553">
        <f t="shared" si="6"/>
        <v>2.0682963090978546</v>
      </c>
      <c r="P72" s="552">
        <f t="shared" si="7"/>
        <v>2.0938347517188602</v>
      </c>
      <c r="Q72" s="550"/>
      <c r="R72" s="312">
        <f>SUMPRODUCT(A72:E72,'Measurement Data'!$BI$43:$BM$43)</f>
        <v>2.0627648264533187</v>
      </c>
      <c r="S72" s="308">
        <f t="shared" si="8"/>
        <v>2.0508476682062753</v>
      </c>
      <c r="T72" s="353">
        <f t="shared" si="9"/>
        <v>2.0746819847003621</v>
      </c>
      <c r="U72" s="308"/>
      <c r="V72" s="319">
        <f>SUMPRODUCT($A72:$B72,'Measurement Data'!$K$52:$L$52)</f>
        <v>7.1582741944891601E-2</v>
      </c>
      <c r="W72" s="322">
        <f>SUMPRODUCT($A72:$B72,'Measurement Data'!$K$53:$L$53)</f>
        <v>-1.0076163089016998E-2</v>
      </c>
      <c r="X72" s="331">
        <f>SUMPRODUCT($A72:$C72,'Measurement Data'!$U$59:$W$59)</f>
        <v>7.5517313717361498E-5</v>
      </c>
      <c r="Y72" s="332">
        <f>SUMPRODUCT($A72:$C72,'Measurement Data'!$U$60:$W$60)</f>
        <v>-1.3907973527700587E-5</v>
      </c>
      <c r="Z72" s="332">
        <f>SUMPRODUCT($A72:$C72,'Measurement Data'!$U$61:$W$61)</f>
        <v>4.5494013614674379E-7</v>
      </c>
      <c r="AA72" s="570">
        <f>SUMPRODUCT($A72:$D72,'Measurement Data'!$AD$59:$AG$59)</f>
        <v>2.9522273693592132E-5</v>
      </c>
      <c r="AB72" s="552">
        <f>SUMPRODUCT($A72:$D72,'Measurement Data'!$AD$60:$AG$60)</f>
        <v>5.7188934744336189E-5</v>
      </c>
      <c r="AC72" s="552">
        <f>SUMPRODUCT($A72:$D72,'Measurement Data'!$AD$61:$AG$61)</f>
        <v>-1.9836989286104961E-5</v>
      </c>
      <c r="AD72" s="571">
        <f>SUMPRODUCT($A72:$D72,'Measurement Data'!$AD$62:$AG$62)</f>
        <v>1.5031058831297641E-6</v>
      </c>
      <c r="AE72" s="308">
        <f>SUMPRODUCT(A72:E72,'Measurement Data'!$BG$59:$BK$59)</f>
        <v>-1.5606239536037103E-5</v>
      </c>
      <c r="AF72" s="308">
        <f>SUMPRODUCT(A72:E72,'Measurement Data'!$BG$60:$BK$60)</f>
        <v>1.2670947945134594E-4</v>
      </c>
      <c r="AG72" s="308">
        <f>SUMPRODUCT(A72:E72,'Measurement Data'!$BG$61:$BK$61)</f>
        <v>-6.1439455086651515E-5</v>
      </c>
      <c r="AH72" s="308">
        <f>SUMPRODUCT(A72:E72,'Measurement Data'!$BG$62:$BK$62)</f>
        <v>9.6852048513078033E-6</v>
      </c>
      <c r="AI72" s="310">
        <f>SUMPRODUCT(A72:E72,'Measurement Data'!$BG$63:$BK$63)</f>
        <v>-4.9112046942975125E-7</v>
      </c>
    </row>
    <row r="73" spans="1:35" ht="18" customHeight="1" x14ac:dyDescent="0.2">
      <c r="A73" s="432">
        <v>1</v>
      </c>
      <c r="B73" s="433">
        <f t="shared" si="0"/>
        <v>1.7999999999999996</v>
      </c>
      <c r="C73" s="434">
        <f t="shared" si="1"/>
        <v>3.2399999999999984</v>
      </c>
      <c r="D73" s="563">
        <f t="shared" si="2"/>
        <v>5.8319999999999963</v>
      </c>
      <c r="E73" s="435">
        <f t="shared" si="3"/>
        <v>10.49759999999999</v>
      </c>
      <c r="F73" s="355">
        <f>'Measurement Data'!$K$27+'Measurement Data'!$K$28*'Chart Data'!B73</f>
        <v>2.3431616842105303</v>
      </c>
      <c r="G73" s="320">
        <f t="shared" si="4"/>
        <v>1.8632294368052216</v>
      </c>
      <c r="H73" s="354">
        <f t="shared" si="10"/>
        <v>2.8230939316158388</v>
      </c>
      <c r="I73" s="322"/>
      <c r="J73" s="337">
        <f>'Measurement Data'!$U$30+'Chart Data'!B73*'Measurement Data'!$U$31+'Chart Data'!B73^2*'Measurement Data'!$U$32</f>
        <v>2.3221753065015602</v>
      </c>
      <c r="K73" s="332">
        <f t="shared" si="11"/>
        <v>2.30712222781793</v>
      </c>
      <c r="L73" s="336">
        <f t="shared" si="5"/>
        <v>2.3372283851851905</v>
      </c>
      <c r="M73" s="334"/>
      <c r="N73" s="551">
        <f>'Measurement Data'!$AD$30+B73*'Measurement Data'!$AD$31+B73^2*'Measurement Data'!$AD$32+B73^3*'Measurement Data'!$AD$33</f>
        <v>2.3228549003094052</v>
      </c>
      <c r="O73" s="553">
        <f t="shared" si="6"/>
        <v>2.3099259148008073</v>
      </c>
      <c r="P73" s="552">
        <f t="shared" si="7"/>
        <v>2.3357838858180031</v>
      </c>
      <c r="Q73" s="550"/>
      <c r="R73" s="312">
        <f>SUMPRODUCT(A73:E73,'Measurement Data'!$BI$43:$BM$43)</f>
        <v>2.3059244235286762</v>
      </c>
      <c r="S73" s="308">
        <f t="shared" si="8"/>
        <v>2.2942126209235276</v>
      </c>
      <c r="T73" s="353">
        <f t="shared" si="9"/>
        <v>2.3176362261338248</v>
      </c>
      <c r="U73" s="308"/>
      <c r="V73" s="319">
        <f>SUMPRODUCT($A73:$B73,'Measurement Data'!$K$52:$L$52)</f>
        <v>6.8748821076105582E-2</v>
      </c>
      <c r="W73" s="322">
        <f>SUMPRODUCT($A73:$B73,'Measurement Data'!$K$53:$L$53)</f>
        <v>-9.4464028959534343E-3</v>
      </c>
      <c r="X73" s="331">
        <f>SUMPRODUCT($A73:$C73,'Measurement Data'!$U$59:$W$59)</f>
        <v>6.5423415349199303E-5</v>
      </c>
      <c r="Y73" s="332">
        <f>SUMPRODUCT($A73:$C73,'Measurement Data'!$U$60:$W$60)</f>
        <v>-8.1177951030716092E-6</v>
      </c>
      <c r="Z73" s="332">
        <f>SUMPRODUCT($A73:$C73,'Measurement Data'!$U$61:$W$61)</f>
        <v>-1.2026363115661579E-7</v>
      </c>
      <c r="AA73" s="570">
        <f>SUMPRODUCT($A73:$D73,'Measurement Data'!$AD$59:$AG$59)</f>
        <v>1.3902475761708794E-5</v>
      </c>
      <c r="AB73" s="552">
        <f>SUMPRODUCT($A73:$D73,'Measurement Data'!$AD$60:$AG$60)</f>
        <v>7.1520781448835213E-5</v>
      </c>
      <c r="AC73" s="552">
        <f>SUMPRODUCT($A73:$D73,'Measurement Data'!$AD$61:$AG$61)</f>
        <v>-2.2850089919756048E-5</v>
      </c>
      <c r="AD73" s="571">
        <f>SUMPRODUCT($A73:$D73,'Measurement Data'!$AD$62:$AG$62)</f>
        <v>1.6836908361925607E-6</v>
      </c>
      <c r="AE73" s="308">
        <f>SUMPRODUCT(A73:E73,'Measurement Data'!$BG$59:$BK$59)</f>
        <v>-2.1976420918282702E-5</v>
      </c>
      <c r="AF73" s="308">
        <f>SUMPRODUCT(A73:E73,'Measurement Data'!$BG$60:$BK$60)</f>
        <v>1.276868999539198E-4</v>
      </c>
      <c r="AG73" s="308">
        <f>SUMPRODUCT(A73:E73,'Measurement Data'!$BG$61:$BK$61)</f>
        <v>-5.9368249076811583E-5</v>
      </c>
      <c r="AH73" s="308">
        <f>SUMPRODUCT(A73:E73,'Measurement Data'!$BG$62:$BK$62)</f>
        <v>9.1248393032586638E-6</v>
      </c>
      <c r="AI73" s="310">
        <f>SUMPRODUCT(A73:E73,'Measurement Data'!$BG$63:$BK$63)</f>
        <v>-4.5434884497547949E-7</v>
      </c>
    </row>
    <row r="74" spans="1:35" ht="18" customHeight="1" x14ac:dyDescent="0.2">
      <c r="A74" s="432">
        <v>1</v>
      </c>
      <c r="B74" s="433">
        <f t="shared" si="0"/>
        <v>1.9799999999999995</v>
      </c>
      <c r="C74" s="434">
        <f t="shared" si="1"/>
        <v>3.9203999999999981</v>
      </c>
      <c r="D74" s="563">
        <f t="shared" si="2"/>
        <v>7.7623919999999949</v>
      </c>
      <c r="E74" s="435">
        <f t="shared" si="3"/>
        <v>15.369536159999985</v>
      </c>
      <c r="F74" s="355">
        <f>'Measurement Data'!$K$27+'Measurement Data'!$K$28*'Chart Data'!B74</f>
        <v>2.6852530105263201</v>
      </c>
      <c r="G74" s="320">
        <f t="shared" si="4"/>
        <v>2.2208158054614344</v>
      </c>
      <c r="H74" s="354">
        <f t="shared" si="10"/>
        <v>3.1496902155912059</v>
      </c>
      <c r="I74" s="322"/>
      <c r="J74" s="337">
        <f>'Measurement Data'!$U$30+'Chart Data'!B74*'Measurement Data'!$U$31+'Chart Data'!B74^2*'Measurement Data'!$U$32</f>
        <v>2.5703675828394639</v>
      </c>
      <c r="K74" s="332">
        <f t="shared" si="11"/>
        <v>2.555687844931839</v>
      </c>
      <c r="L74" s="336">
        <f t="shared" si="5"/>
        <v>2.5850473207470888</v>
      </c>
      <c r="M74" s="334"/>
      <c r="N74" s="551">
        <f>'Measurement Data'!$AD$30+B74*'Measurement Data'!$AD$31+B74^2*'Measurement Data'!$AD$32+B74^3*'Measurement Data'!$AD$33</f>
        <v>2.571098619839177</v>
      </c>
      <c r="O74" s="553">
        <f t="shared" si="6"/>
        <v>2.5580115212425283</v>
      </c>
      <c r="P74" s="552">
        <f t="shared" si="7"/>
        <v>2.5841857184358257</v>
      </c>
      <c r="Q74" s="550"/>
      <c r="R74" s="312">
        <f>SUMPRODUCT(A74:E74,'Measurement Data'!$BI$43:$BM$43)</f>
        <v>2.5561573345064823</v>
      </c>
      <c r="S74" s="308">
        <f t="shared" si="8"/>
        <v>2.5447524882161106</v>
      </c>
      <c r="T74" s="353">
        <f t="shared" si="9"/>
        <v>2.5675621807968541</v>
      </c>
      <c r="U74" s="308"/>
      <c r="V74" s="319">
        <f>SUMPRODUCT($A74:$B74,'Measurement Data'!$K$52:$L$52)</f>
        <v>6.5914900207319549E-2</v>
      </c>
      <c r="W74" s="322">
        <f>SUMPRODUCT($A74:$B74,'Measurement Data'!$K$53:$L$53)</f>
        <v>-8.8166427028898726E-3</v>
      </c>
      <c r="X74" s="331">
        <f>SUMPRODUCT($A74:$C74,'Measurement Data'!$U$59:$W$59)</f>
        <v>5.5802668467044751E-5</v>
      </c>
      <c r="Y74" s="332">
        <f>SUMPRODUCT($A74:$C74,'Measurement Data'!$U$60:$W$60)</f>
        <v>-2.6616059626833009E-6</v>
      </c>
      <c r="Z74" s="332">
        <f>SUMPRODUCT($A74:$C74,'Measurement Data'!$U$61:$W$61)</f>
        <v>-6.5835747798879083E-7</v>
      </c>
      <c r="AA74" s="570">
        <f>SUMPRODUCT($A74:$D74,'Measurement Data'!$AD$59:$AG$59)</f>
        <v>3.8174987684075915E-7</v>
      </c>
      <c r="AB74" s="552">
        <f>SUMPRODUCT($A74:$D74,'Measurement Data'!$AD$60:$AG$60)</f>
        <v>8.3005369505182876E-5</v>
      </c>
      <c r="AC74" s="552">
        <f>SUMPRODUCT($A74:$D74,'Measurement Data'!$AD$61:$AG$61)</f>
        <v>-2.5108762738373652E-5</v>
      </c>
      <c r="AD74" s="571">
        <f>SUMPRODUCT($A74:$D74,'Measurement Data'!$AD$62:$AG$62)</f>
        <v>1.8111411303988911E-6</v>
      </c>
      <c r="AE74" s="308">
        <f>SUMPRODUCT(A74:E74,'Measurement Data'!$BG$59:$BK$59)</f>
        <v>-2.6077335546773541E-5</v>
      </c>
      <c r="AF74" s="308">
        <f>SUMPRODUCT(A74:E74,'Measurement Data'!$BG$60:$BK$60)</f>
        <v>1.2386547263345263E-4</v>
      </c>
      <c r="AG74" s="308">
        <f>SUMPRODUCT(A74:E74,'Measurement Data'!$BG$61:$BK$61)</f>
        <v>-5.5172099871069076E-5</v>
      </c>
      <c r="AH74" s="308">
        <f>SUMPRODUCT(A74:E74,'Measurement Data'!$BG$62:$BK$62)</f>
        <v>8.2356106480255669E-6</v>
      </c>
      <c r="AI74" s="310">
        <f>SUMPRODUCT(A74:E74,'Measurement Data'!$BG$63:$BK$63)</f>
        <v>-4.009666013109112E-7</v>
      </c>
    </row>
    <row r="75" spans="1:35" ht="18" customHeight="1" x14ac:dyDescent="0.2">
      <c r="A75" s="432">
        <v>1</v>
      </c>
      <c r="B75" s="433">
        <f t="shared" si="0"/>
        <v>2.1599999999999997</v>
      </c>
      <c r="C75" s="434">
        <f t="shared" si="1"/>
        <v>4.6655999999999986</v>
      </c>
      <c r="D75" s="563">
        <f t="shared" si="2"/>
        <v>10.077695999999996</v>
      </c>
      <c r="E75" s="435">
        <f t="shared" si="3"/>
        <v>21.767823359999987</v>
      </c>
      <c r="F75" s="355">
        <f>'Measurement Data'!$K$27+'Measurement Data'!$K$28*'Chart Data'!B75</f>
        <v>3.02734433684211</v>
      </c>
      <c r="G75" s="320">
        <f t="shared" si="4"/>
        <v>2.577813416558945</v>
      </c>
      <c r="H75" s="354">
        <f t="shared" si="10"/>
        <v>3.476875257125275</v>
      </c>
      <c r="I75" s="322"/>
      <c r="J75" s="337">
        <f>'Measurement Data'!$U$30+'Chart Data'!B75*'Measurement Data'!$U$31+'Chart Data'!B75^2*'Measurement Data'!$U$32</f>
        <v>2.8250356557275667</v>
      </c>
      <c r="K75" s="332">
        <f t="shared" si="11"/>
        <v>2.8105703606965662</v>
      </c>
      <c r="L75" s="336">
        <f t="shared" si="5"/>
        <v>2.8395009507585671</v>
      </c>
      <c r="M75" s="334"/>
      <c r="N75" s="551">
        <f>'Measurement Data'!$AD$30+B75*'Measurement Data'!$AD$31+B75^2*'Measurement Data'!$AD$32+B75^3*'Measurement Data'!$AD$33</f>
        <v>2.8257981187924384</v>
      </c>
      <c r="O75" s="553">
        <f t="shared" si="6"/>
        <v>2.8125930614534123</v>
      </c>
      <c r="P75" s="552">
        <f t="shared" si="7"/>
        <v>2.8390031761314645</v>
      </c>
      <c r="Q75" s="550"/>
      <c r="R75" s="312">
        <f>SUMPRODUCT(A75:E75,'Measurement Data'!$BI$43:$BM$43)</f>
        <v>2.8133235159761236</v>
      </c>
      <c r="S75" s="308">
        <f t="shared" si="8"/>
        <v>2.8022883957734517</v>
      </c>
      <c r="T75" s="353">
        <f t="shared" si="9"/>
        <v>2.8243586361787956</v>
      </c>
      <c r="U75" s="308"/>
      <c r="V75" s="319">
        <f>SUMPRODUCT($A75:$B75,'Measurement Data'!$K$52:$L$52)</f>
        <v>6.3080979338533516E-2</v>
      </c>
      <c r="W75" s="322">
        <f>SUMPRODUCT($A75:$B75,'Measurement Data'!$K$53:$L$53)</f>
        <v>-8.1868825098263091E-3</v>
      </c>
      <c r="X75" s="331">
        <f>SUMPRODUCT($A75:$C75,'Measurement Data'!$U$59:$W$59)</f>
        <v>4.6655073070897748E-5</v>
      </c>
      <c r="Y75" s="332">
        <f>SUMPRODUCT($A75:$C75,'Measurement Data'!$U$60:$W$60)</f>
        <v>2.460593893464365E-6</v>
      </c>
      <c r="Z75" s="332">
        <f>SUMPRODUCT($A75:$C75,'Measurement Data'!$U$61:$W$61)</f>
        <v>-1.1593414043497809E-6</v>
      </c>
      <c r="AA75" s="570">
        <f>SUMPRODUCT($A75:$D75,'Measurement Data'!$AD$59:$AG$59)</f>
        <v>-1.1148298665079033E-5</v>
      </c>
      <c r="AB75" s="552">
        <f>SUMPRODUCT($A75:$D75,'Measurement Data'!$AD$60:$AG$60)</f>
        <v>9.1810250204306252E-5</v>
      </c>
      <c r="AC75" s="552">
        <f>SUMPRODUCT($A75:$D75,'Measurement Data'!$AD$61:$AG$61)</f>
        <v>-2.6660828934928611E-5</v>
      </c>
      <c r="AD75" s="571">
        <f>SUMPRODUCT($A75:$D75,'Measurement Data'!$AD$62:$AG$62)</f>
        <v>1.8889990763391868E-6</v>
      </c>
      <c r="AE75" s="308">
        <f>SUMPRODUCT(A75:E75,'Measurement Data'!$BG$59:$BK$59)</f>
        <v>-2.8218870473447016E-5</v>
      </c>
      <c r="AF75" s="308">
        <f>SUMPRODUCT(A75:E75,'Measurement Data'!$BG$60:$BK$60)</f>
        <v>1.1607037414429865E-4</v>
      </c>
      <c r="AG75" s="308">
        <f>SUMPRODUCT(A75:E75,'Measurement Data'!$BG$61:$BK$61)</f>
        <v>-4.926663658910089E-5</v>
      </c>
      <c r="AH75" s="308">
        <f>SUMPRODUCT(A75:E75,'Measurement Data'!$BG$62:$BK$62)</f>
        <v>7.0878490851837335E-6</v>
      </c>
      <c r="AI75" s="310">
        <f>SUMPRODUCT(A75:E75,'Measurement Data'!$BG$63:$BK$63)</f>
        <v>-3.3477033485170732E-7</v>
      </c>
    </row>
    <row r="76" spans="1:35" ht="18" customHeight="1" x14ac:dyDescent="0.2">
      <c r="A76" s="432">
        <v>1</v>
      </c>
      <c r="B76" s="433">
        <f t="shared" si="0"/>
        <v>2.34</v>
      </c>
      <c r="C76" s="434">
        <f t="shared" si="1"/>
        <v>5.4755999999999991</v>
      </c>
      <c r="D76" s="563">
        <f t="shared" si="2"/>
        <v>12.812903999999998</v>
      </c>
      <c r="E76" s="435">
        <f t="shared" si="3"/>
        <v>29.982195359999992</v>
      </c>
      <c r="F76" s="355">
        <f>'Measurement Data'!$K$27+'Measurement Data'!$K$28*'Chart Data'!B76</f>
        <v>3.3694356631579003</v>
      </c>
      <c r="G76" s="320">
        <f t="shared" si="4"/>
        <v>2.9341617785450622</v>
      </c>
      <c r="H76" s="354">
        <f t="shared" si="10"/>
        <v>3.8047095477707384</v>
      </c>
      <c r="I76" s="322"/>
      <c r="J76" s="337">
        <f>'Measurement Data'!$U$30+'Chart Data'!B76*'Measurement Data'!$U$31+'Chart Data'!B76^2*'Measurement Data'!$U$32</f>
        <v>3.0861795251658681</v>
      </c>
      <c r="K76" s="332">
        <f t="shared" si="11"/>
        <v>3.0717930735094718</v>
      </c>
      <c r="L76" s="336">
        <f t="shared" si="5"/>
        <v>3.1005659768222644</v>
      </c>
      <c r="M76" s="334"/>
      <c r="N76" s="551">
        <f>'Measurement Data'!$AD$30+B76*'Measurement Data'!$AD$31+B76^2*'Measurement Data'!$AD$32+B76^3*'Measurement Data'!$AD$33</f>
        <v>3.0869548269639533</v>
      </c>
      <c r="O76" s="553">
        <f t="shared" si="6"/>
        <v>3.0736941278401719</v>
      </c>
      <c r="P76" s="552">
        <f t="shared" si="7"/>
        <v>3.1002155260877347</v>
      </c>
      <c r="Q76" s="550"/>
      <c r="R76" s="312">
        <f>SUMPRODUCT(A76:E76,'Measurement Data'!$BI$43:$BM$43)</f>
        <v>3.0772926812997734</v>
      </c>
      <c r="S76" s="308">
        <f t="shared" si="8"/>
        <v>3.0666459169160998</v>
      </c>
      <c r="T76" s="353">
        <f t="shared" si="9"/>
        <v>3.087939445683447</v>
      </c>
      <c r="U76" s="308"/>
      <c r="V76" s="319">
        <f>SUMPRODUCT($A76:$B76,'Measurement Data'!$K$52:$L$52)</f>
        <v>6.0247058469747476E-2</v>
      </c>
      <c r="W76" s="322">
        <f>SUMPRODUCT($A76:$B76,'Measurement Data'!$K$53:$L$53)</f>
        <v>-7.5571223167627457E-3</v>
      </c>
      <c r="X76" s="331">
        <f>SUMPRODUCT($A76:$C76,'Measurement Data'!$U$59:$W$59)</f>
        <v>3.7980629160758369E-5</v>
      </c>
      <c r="Y76" s="332">
        <f>SUMPRODUCT($A76:$C76,'Measurement Data'!$U$60:$W$60)</f>
        <v>7.2488044653713583E-6</v>
      </c>
      <c r="Z76" s="332">
        <f>SUMPRODUCT($A76:$C76,'Measurement Data'!$U$61:$W$61)</f>
        <v>-1.6232154102395881E-6</v>
      </c>
      <c r="AA76" s="570">
        <f>SUMPRODUCT($A76:$D76,'Measurement Data'!$AD$59:$AG$59)</f>
        <v>-2.079606456811787E-5</v>
      </c>
      <c r="AB76" s="552">
        <f>SUMPRODUCT($A76:$D76,'Measurement Data'!$AD$60:$AG$60)</f>
        <v>9.8102974837133112E-5</v>
      </c>
      <c r="AC76" s="552">
        <f>SUMPRODUCT($A76:$D76,'Measurement Data'!$AD$61:$AG$61)</f>
        <v>-2.7554109702391757E-5</v>
      </c>
      <c r="AD76" s="571">
        <f>SUMPRODUCT($A76:$D76,'Measurement Data'!$AD$62:$AG$62)</f>
        <v>1.9208069846038797E-6</v>
      </c>
      <c r="AE76" s="308">
        <f>SUMPRODUCT(A76:E76,'Measurement Data'!$BG$59:$BK$59)</f>
        <v>-2.8693743905365799E-5</v>
      </c>
      <c r="AF76" s="308">
        <f>SUMPRODUCT(A76:E76,'Measurement Data'!$BG$60:$BK$60)</f>
        <v>1.050763686992441E-4</v>
      </c>
      <c r="AG76" s="308">
        <f>SUMPRODUCT(A76:E76,'Measurement Data'!$BG$61:$BK$61)</f>
        <v>-4.2040678395106716E-5</v>
      </c>
      <c r="AH76" s="308">
        <f>SUMPRODUCT(A76:E76,'Measurement Data'!$BG$62:$BK$62)</f>
        <v>5.7471717980681753E-6</v>
      </c>
      <c r="AI76" s="310">
        <f>SUMPRODUCT(A76:E76,'Measurement Data'!$BG$63:$BK$63)</f>
        <v>-2.5929480777797092E-7</v>
      </c>
    </row>
    <row r="77" spans="1:35" ht="18" customHeight="1" x14ac:dyDescent="0.2">
      <c r="A77" s="432">
        <v>1</v>
      </c>
      <c r="B77" s="433">
        <f t="shared" si="0"/>
        <v>2.52</v>
      </c>
      <c r="C77" s="434">
        <f t="shared" si="1"/>
        <v>6.3504000000000005</v>
      </c>
      <c r="D77" s="563">
        <f t="shared" si="2"/>
        <v>16.003008000000001</v>
      </c>
      <c r="E77" s="435">
        <f t="shared" si="3"/>
        <v>40.327580160000004</v>
      </c>
      <c r="F77" s="355">
        <f>'Measurement Data'!$K$27+'Measurement Data'!$K$28*'Chart Data'!B77</f>
        <v>3.7115269894736906</v>
      </c>
      <c r="G77" s="320">
        <f t="shared" si="4"/>
        <v>3.2897950408920762</v>
      </c>
      <c r="H77" s="354">
        <f t="shared" si="10"/>
        <v>4.1332589380553051</v>
      </c>
      <c r="I77" s="322"/>
      <c r="J77" s="337">
        <f>'Measurement Data'!$U$30+'Chart Data'!B77*'Measurement Data'!$U$31+'Chart Data'!B77^2*'Measurement Data'!$U$32</f>
        <v>3.3537991911543692</v>
      </c>
      <c r="K77" s="332">
        <f t="shared" si="11"/>
        <v>3.339381844440791</v>
      </c>
      <c r="L77" s="336">
        <f t="shared" si="5"/>
        <v>3.3682165378679474</v>
      </c>
      <c r="M77" s="334"/>
      <c r="N77" s="551">
        <f>'Measurement Data'!$AD$30+B77*'Measurement Data'!$AD$31+B77^2*'Measurement Data'!$AD$32+B77^3*'Measurement Data'!$AD$33</f>
        <v>3.3545701741484861</v>
      </c>
      <c r="O77" s="553">
        <f t="shared" si="6"/>
        <v>3.3413261129274305</v>
      </c>
      <c r="P77" s="552">
        <f t="shared" si="7"/>
        <v>3.3678142353695417</v>
      </c>
      <c r="Q77" s="550"/>
      <c r="R77" s="312">
        <f>SUMPRODUCT(A77:E77,'Measurement Data'!$BI$43:$BM$43)</f>
        <v>3.3479443006123879</v>
      </c>
      <c r="S77" s="308">
        <f t="shared" si="8"/>
        <v>3.3376606355912348</v>
      </c>
      <c r="T77" s="353">
        <f t="shared" si="9"/>
        <v>3.358227965633541</v>
      </c>
      <c r="U77" s="308"/>
      <c r="V77" s="319">
        <f>SUMPRODUCT($A77:$B77,'Measurement Data'!$K$52:$L$52)</f>
        <v>5.7413137600961443E-2</v>
      </c>
      <c r="W77" s="322">
        <f>SUMPRODUCT($A77:$B77,'Measurement Data'!$K$53:$L$53)</f>
        <v>-6.927362123699184E-3</v>
      </c>
      <c r="X77" s="331">
        <f>SUMPRODUCT($A77:$C77,'Measurement Data'!$U$59:$W$59)</f>
        <v>2.9779336736626607E-5</v>
      </c>
      <c r="Y77" s="332">
        <f>SUMPRODUCT($A77:$C77,'Measurement Data'!$U$60:$W$60)</f>
        <v>1.1703025753037702E-5</v>
      </c>
      <c r="Z77" s="332">
        <f>SUMPRODUCT($A77:$C77,'Measurement Data'!$U$61:$W$61)</f>
        <v>-2.0499794956582091E-6</v>
      </c>
      <c r="AA77" s="570">
        <f>SUMPRODUCT($A77:$D77,'Measurement Data'!$AD$59:$AG$59)</f>
        <v>-2.8669942536342837E-5</v>
      </c>
      <c r="AB77" s="552">
        <f>SUMPRODUCT($A77:$D77,'Measurement Data'!$AD$60:$AG$60)</f>
        <v>1.0205109469459058E-4</v>
      </c>
      <c r="AC77" s="552">
        <f>SUMPRODUCT($A77:$D77,'Measurement Data'!$AD$61:$AG$61)</f>
        <v>-2.783642623373385E-5</v>
      </c>
      <c r="AD77" s="571">
        <f>SUMPRODUCT($A77:$D77,'Measurement Data'!$AD$62:$AG$62)</f>
        <v>1.9101071657833956E-6</v>
      </c>
      <c r="AE77" s="308">
        <f>SUMPRODUCT(A77:E77,'Measurement Data'!$BG$59:$BK$59)</f>
        <v>-2.7777505204717607E-5</v>
      </c>
      <c r="AF77" s="308">
        <f>SUMPRODUCT(A77:E77,'Measurement Data'!$BG$60:$BK$60)</f>
        <v>9.160780806950613E-5</v>
      </c>
      <c r="AG77" s="308">
        <f>SUMPRODUCT(A77:E77,'Measurement Data'!$BG$61:$BK$61)</f>
        <v>-3.3856234497808997E-5</v>
      </c>
      <c r="AH77" s="308">
        <f>SUMPRODUCT(A77:E77,'Measurement Data'!$BG$62:$BK$62)</f>
        <v>4.2744829537738076E-6</v>
      </c>
      <c r="AI77" s="310">
        <f>SUMPRODUCT(A77:E77,'Measurement Data'!$BG$63:$BK$63)</f>
        <v>-1.7781294803423715E-7</v>
      </c>
    </row>
    <row r="78" spans="1:35" ht="18" customHeight="1" x14ac:dyDescent="0.2">
      <c r="A78" s="432">
        <v>1</v>
      </c>
      <c r="B78" s="433">
        <f t="shared" si="0"/>
        <v>2.7</v>
      </c>
      <c r="C78" s="434">
        <f t="shared" si="1"/>
        <v>7.2900000000000009</v>
      </c>
      <c r="D78" s="563">
        <f t="shared" si="2"/>
        <v>19.683000000000003</v>
      </c>
      <c r="E78" s="435">
        <f t="shared" si="3"/>
        <v>53.144100000000016</v>
      </c>
      <c r="F78" s="355">
        <f>'Measurement Data'!$K$27+'Measurement Data'!$K$28*'Chart Data'!B78</f>
        <v>4.053618315789481</v>
      </c>
      <c r="G78" s="320">
        <f t="shared" si="4"/>
        <v>3.6446421627241525</v>
      </c>
      <c r="H78" s="354">
        <f t="shared" si="10"/>
        <v>4.4625944688548094</v>
      </c>
      <c r="I78" s="322"/>
      <c r="J78" s="337">
        <f>'Measurement Data'!$U$30+'Chart Data'!B78*'Measurement Data'!$U$31+'Chart Data'!B78^2*'Measurement Data'!$U$32</f>
        <v>3.627894653693069</v>
      </c>
      <c r="K78" s="332">
        <f t="shared" si="11"/>
        <v>3.613363006343544</v>
      </c>
      <c r="L78" s="336">
        <f t="shared" si="5"/>
        <v>3.6424263010425939</v>
      </c>
      <c r="M78" s="334"/>
      <c r="N78" s="551">
        <f>'Measurement Data'!$AD$30+B78*'Measurement Data'!$AD$31+B78^2*'Measurement Data'!$AD$32+B78^3*'Measurement Data'!$AD$33</f>
        <v>3.6286455901408035</v>
      </c>
      <c r="O78" s="553">
        <f t="shared" si="6"/>
        <v>3.6154914410942882</v>
      </c>
      <c r="P78" s="552">
        <f t="shared" si="7"/>
        <v>3.6417997391873187</v>
      </c>
      <c r="Q78" s="550"/>
      <c r="R78" s="312">
        <f>SUMPRODUCT(A78:E78,'Measurement Data'!$BI$43:$BM$43)</f>
        <v>3.6251676008217095</v>
      </c>
      <c r="S78" s="308">
        <f t="shared" si="8"/>
        <v>3.6151834222863526</v>
      </c>
      <c r="T78" s="353">
        <f t="shared" si="9"/>
        <v>3.6351517793570665</v>
      </c>
      <c r="U78" s="308"/>
      <c r="V78" s="319">
        <f>SUMPRODUCT($A78:$B78,'Measurement Data'!$K$52:$L$52)</f>
        <v>5.457921673217541E-2</v>
      </c>
      <c r="W78" s="322">
        <f>SUMPRODUCT($A78:$B78,'Measurement Data'!$K$53:$L$53)</f>
        <v>-6.2976019306356205E-3</v>
      </c>
      <c r="X78" s="331">
        <f>SUMPRODUCT($A78:$C78,'Measurement Data'!$U$59:$W$59)</f>
        <v>2.2051195798502435E-5</v>
      </c>
      <c r="Y78" s="332">
        <f>SUMPRODUCT($A78:$C78,'Measurement Data'!$U$60:$W$60)</f>
        <v>1.5823257756463377E-5</v>
      </c>
      <c r="Z78" s="332">
        <f>SUMPRODUCT($A78:$C78,'Measurement Data'!$U$61:$W$61)</f>
        <v>-2.4396336606056472E-6</v>
      </c>
      <c r="AA78" s="570">
        <f>SUMPRODUCT($A78:$D78,'Measurement Data'!$AD$59:$AG$59)</f>
        <v>-3.487832727382121E-5</v>
      </c>
      <c r="AB78" s="552">
        <f>SUMPRODUCT($A78:$D78,'Measurement Data'!$AD$60:$AG$60)</f>
        <v>1.0382216106760627E-4</v>
      </c>
      <c r="AC78" s="552">
        <f>SUMPRODUCT($A78:$D78,'Measurement Data'!$AD$61:$AG$61)</f>
        <v>-2.7555599721925796E-5</v>
      </c>
      <c r="AD78" s="571">
        <f>SUMPRODUCT($A78:$D78,'Measurement Data'!$AD$62:$AG$62)</f>
        <v>1.8604419304681736E-6</v>
      </c>
      <c r="AE78" s="308">
        <f>SUMPRODUCT(A78:E78,'Measurement Data'!$BG$59:$BK$59)</f>
        <v>-2.572853488881552E-5</v>
      </c>
      <c r="AF78" s="308">
        <f>SUMPRODUCT(A78:E78,'Measurement Data'!$BG$60:$BK$60)</f>
        <v>7.6338631584734327E-5</v>
      </c>
      <c r="AG78" s="308">
        <f>SUMPRODUCT(A78:E78,'Measurement Data'!$BG$61:$BK$61)</f>
        <v>-2.5048504150453462E-5</v>
      </c>
      <c r="AH78" s="308">
        <f>SUMPRODUCT(A78:E78,'Measurement Data'!$BG$62:$BK$62)</f>
        <v>2.725973703155399E-6</v>
      </c>
      <c r="AI78" s="310">
        <f>SUMPRODUCT(A78:E78,'Measurement Data'!$BG$63:$BK$63)</f>
        <v>-9.3335849329482837E-8</v>
      </c>
    </row>
    <row r="79" spans="1:35" ht="18" customHeight="1" x14ac:dyDescent="0.2">
      <c r="A79" s="432">
        <v>1</v>
      </c>
      <c r="B79" s="433">
        <f t="shared" si="0"/>
        <v>2.8800000000000003</v>
      </c>
      <c r="C79" s="434">
        <f t="shared" si="1"/>
        <v>8.2944000000000013</v>
      </c>
      <c r="D79" s="563">
        <f t="shared" si="2"/>
        <v>23.887872000000005</v>
      </c>
      <c r="E79" s="435">
        <f t="shared" si="3"/>
        <v>68.797071360000018</v>
      </c>
      <c r="F79" s="355">
        <f>'Measurement Data'!$K$27+'Measurement Data'!$K$28*'Chart Data'!B79</f>
        <v>4.3957096421052704</v>
      </c>
      <c r="G79" s="320">
        <f t="shared" si="4"/>
        <v>3.9986273753255022</v>
      </c>
      <c r="H79" s="354">
        <f t="shared" si="10"/>
        <v>4.7927919088850386</v>
      </c>
      <c r="I79" s="322"/>
      <c r="J79" s="337">
        <f>'Measurement Data'!$U$30+'Chart Data'!B79*'Measurement Data'!$U$31+'Chart Data'!B79^2*'Measurement Data'!$U$32</f>
        <v>3.9084659127819674</v>
      </c>
      <c r="K79" s="332">
        <f t="shared" si="11"/>
        <v>3.8937616335801493</v>
      </c>
      <c r="L79" s="336">
        <f t="shared" si="5"/>
        <v>3.9231701919837856</v>
      </c>
      <c r="M79" s="334"/>
      <c r="N79" s="551">
        <f>'Measurement Data'!$AD$30+B79*'Measurement Data'!$AD$31+B79^2*'Measurement Data'!$AD$32+B79^3*'Measurement Data'!$AD$33</f>
        <v>3.9091825047356688</v>
      </c>
      <c r="O79" s="553">
        <f t="shared" si="6"/>
        <v>3.8961859009752118</v>
      </c>
      <c r="P79" s="552">
        <f t="shared" si="7"/>
        <v>3.9221791084961257</v>
      </c>
      <c r="Q79" s="550"/>
      <c r="R79" s="312">
        <f>SUMPRODUCT(A79:E79,'Measurement Data'!$BI$43:$BM$43)</f>
        <v>3.9088615656082641</v>
      </c>
      <c r="S79" s="308">
        <f t="shared" si="8"/>
        <v>3.8990855449515527</v>
      </c>
      <c r="T79" s="353">
        <f t="shared" si="9"/>
        <v>3.9186375862649756</v>
      </c>
      <c r="U79" s="308"/>
      <c r="V79" s="319">
        <f>SUMPRODUCT($A79:$B79,'Measurement Data'!$K$52:$L$52)</f>
        <v>5.1745295863389378E-2</v>
      </c>
      <c r="W79" s="322">
        <f>SUMPRODUCT($A79:$B79,'Measurement Data'!$K$53:$L$53)</f>
        <v>-5.6678417375720571E-3</v>
      </c>
      <c r="X79" s="331">
        <f>SUMPRODUCT($A79:$C79,'Measurement Data'!$U$59:$W$59)</f>
        <v>1.4796206346385866E-5</v>
      </c>
      <c r="Y79" s="332">
        <f>SUMPRODUCT($A79:$C79,'Measurement Data'!$U$60:$W$60)</f>
        <v>1.960950047564842E-5</v>
      </c>
      <c r="Z79" s="332">
        <f>SUMPRODUCT($A79:$C79,'Measurement Data'!$U$61:$W$61)</f>
        <v>-2.7921779050818995E-6</v>
      </c>
      <c r="AA79" s="570">
        <f>SUMPRODUCT($A79:$D79,'Measurement Data'!$AD$59:$AG$59)</f>
        <v>-3.9529613484620181E-5</v>
      </c>
      <c r="AB79" s="552">
        <f>SUMPRODUCT($A79:$D79,'Measurement Data'!$AD$60:$AG$60)</f>
        <v>1.0358372524710738E-4</v>
      </c>
      <c r="AC79" s="552">
        <f>SUMPRODUCT($A79:$D79,'Measurement Data'!$AD$61:$AG$61)</f>
        <v>-2.6759451359938322E-5</v>
      </c>
      <c r="AD79" s="571">
        <f>SUMPRODUCT($A79:$D79,'Measurement Data'!$AD$62:$AG$62)</f>
        <v>1.7753535892486398E-6</v>
      </c>
      <c r="AE79" s="308">
        <f>SUMPRODUCT(A79:E79,'Measurement Data'!$BG$59:$BK$59)</f>
        <v>-2.2788044630097814E-5</v>
      </c>
      <c r="AF79" s="308">
        <f>SUMPRODUCT(A79:E79,'Measurement Data'!$BG$60:$BK$60)</f>
        <v>5.9892366133007567E-5</v>
      </c>
      <c r="AG79" s="308">
        <f>SUMPRODUCT(A79:E79,'Measurement Data'!$BG$61:$BK$61)</f>
        <v>-1.5925876650808458E-5</v>
      </c>
      <c r="AH79" s="308">
        <f>SUMPRODUCT(A79:E79,'Measurement Data'!$BG$62:$BK$62)</f>
        <v>1.1531221808276389E-6</v>
      </c>
      <c r="AI79" s="310">
        <f>SUMPRODUCT(A79:E79,'Measurement Data'!$BG$63:$BK$63)</f>
        <v>-8.6127711371153267E-9</v>
      </c>
    </row>
    <row r="80" spans="1:35" ht="18" customHeight="1" x14ac:dyDescent="0.2">
      <c r="A80" s="432">
        <v>1</v>
      </c>
      <c r="B80" s="433">
        <f t="shared" si="0"/>
        <v>3.0600000000000005</v>
      </c>
      <c r="C80" s="434">
        <f t="shared" si="1"/>
        <v>9.3636000000000035</v>
      </c>
      <c r="D80" s="563">
        <f t="shared" si="2"/>
        <v>28.652616000000016</v>
      </c>
      <c r="E80" s="435">
        <f t="shared" si="3"/>
        <v>87.677004960000062</v>
      </c>
      <c r="F80" s="355">
        <f>'Measurement Data'!$K$27+'Measurement Data'!$K$28*'Chart Data'!B80</f>
        <v>4.7378009684210607</v>
      </c>
      <c r="G80" s="320">
        <f t="shared" si="4"/>
        <v>4.3516710228082172</v>
      </c>
      <c r="H80" s="354">
        <f t="shared" si="10"/>
        <v>5.1239309140339042</v>
      </c>
      <c r="I80" s="322"/>
      <c r="J80" s="337">
        <f>'Measurement Data'!$U$30+'Chart Data'!B80*'Measurement Data'!$U$31+'Chart Data'!B80^2*'Measurement Data'!$U$32</f>
        <v>4.1955129684210659</v>
      </c>
      <c r="K80" s="332">
        <f t="shared" si="11"/>
        <v>4.1806003880294815</v>
      </c>
      <c r="L80" s="336">
        <f t="shared" si="5"/>
        <v>4.2104255488126503</v>
      </c>
      <c r="M80" s="334"/>
      <c r="N80" s="551">
        <f>'Measurement Data'!$AD$30+B80*'Measurement Data'!$AD$31+B80^2*'Measurement Data'!$AD$32+B80^3*'Measurement Data'!$AD$33</f>
        <v>4.1961823477278468</v>
      </c>
      <c r="O80" s="553">
        <f t="shared" si="6"/>
        <v>4.1834002859695332</v>
      </c>
      <c r="P80" s="552">
        <f t="shared" si="7"/>
        <v>4.2089644094861605</v>
      </c>
      <c r="Q80" s="550"/>
      <c r="R80" s="312">
        <f>SUMPRODUCT(A80:E80,'Measurement Data'!$BI$43:$BM$43)</f>
        <v>4.1989349354253633</v>
      </c>
      <c r="S80" s="308">
        <f t="shared" si="8"/>
        <v>4.1892626732032499</v>
      </c>
      <c r="T80" s="353">
        <f t="shared" si="9"/>
        <v>4.2086071976474768</v>
      </c>
      <c r="U80" s="308"/>
      <c r="V80" s="319">
        <f>SUMPRODUCT($A80:$B80,'Measurement Data'!$K$52:$L$52)</f>
        <v>4.8911374994603352E-2</v>
      </c>
      <c r="W80" s="322">
        <f>SUMPRODUCT($A80:$B80,'Measurement Data'!$K$53:$L$53)</f>
        <v>-5.0380815445084954E-3</v>
      </c>
      <c r="X80" s="331">
        <f>SUMPRODUCT($A80:$C80,'Measurement Data'!$U$59:$W$59)</f>
        <v>8.0143683802768798E-6</v>
      </c>
      <c r="Y80" s="332">
        <f>SUMPRODUCT($A80:$C80,'Measurement Data'!$U$60:$W$60)</f>
        <v>2.3061753910592763E-5</v>
      </c>
      <c r="Z80" s="332">
        <f>SUMPRODUCT($A80:$C80,'Measurement Data'!$U$61:$W$61)</f>
        <v>-3.107612229086969E-6</v>
      </c>
      <c r="AA80" s="570">
        <f>SUMPRODUCT($A80:$D80,'Measurement Data'!$AD$59:$AG$59)</f>
        <v>-4.2732195872806808E-5</v>
      </c>
      <c r="AB80" s="552">
        <f>SUMPRODUCT($A80:$D80,'Measurement Data'!$AD$60:$AG$60)</f>
        <v>1.0150333852402131E-4</v>
      </c>
      <c r="AC80" s="552">
        <f>SUMPRODUCT($A80:$D80,'Measurement Data'!$AD$61:$AG$61)</f>
        <v>-2.5495802340742293E-5</v>
      </c>
      <c r="AD80" s="571">
        <f>SUMPRODUCT($A80:$D80,'Measurement Data'!$AD$62:$AG$62)</f>
        <v>1.6583844527152236E-6</v>
      </c>
      <c r="AE80" s="308">
        <f>SUMPRODUCT(A80:E80,'Measurement Data'!$BG$59:$BK$59)</f>
        <v>-1.9180077256127849E-5</v>
      </c>
      <c r="AF80" s="308">
        <f>SUMPRODUCT(A80:E80,'Measurement Data'!$BG$60:$BK$60)</f>
        <v>4.2842126160838552E-5</v>
      </c>
      <c r="AG80" s="308">
        <f>SUMPRODUCT(A80:E80,'Measurement Data'!$BG$61:$BK$61)</f>
        <v>-6.7699313411647956E-6</v>
      </c>
      <c r="AH80" s="308">
        <f>SUMPRODUCT(A80:E80,'Measurement Data'!$BG$62:$BK$62)</f>
        <v>-3.9730649483505213E-7</v>
      </c>
      <c r="AI80" s="310">
        <f>SUMPRODUCT(A80:E80,'Measurement Data'!$BG$63:$BK$63)</f>
        <v>7.3868861305015039E-8</v>
      </c>
    </row>
    <row r="81" spans="1:35" ht="18" customHeight="1" x14ac:dyDescent="0.2">
      <c r="A81" s="432">
        <v>1</v>
      </c>
      <c r="B81" s="433">
        <f t="shared" si="0"/>
        <v>3.2400000000000007</v>
      </c>
      <c r="C81" s="434">
        <f t="shared" si="1"/>
        <v>10.497600000000004</v>
      </c>
      <c r="D81" s="563">
        <f t="shared" si="2"/>
        <v>34.012224000000018</v>
      </c>
      <c r="E81" s="435">
        <f t="shared" si="3"/>
        <v>110.19960576000008</v>
      </c>
      <c r="F81" s="355">
        <f>'Measurement Data'!$K$27+'Measurement Data'!$K$28*'Chart Data'!B81</f>
        <v>5.079892294736851</v>
      </c>
      <c r="G81" s="320">
        <f t="shared" si="4"/>
        <v>4.7036908610604629</v>
      </c>
      <c r="H81" s="354">
        <f t="shared" si="10"/>
        <v>5.4560937284132391</v>
      </c>
      <c r="I81" s="322"/>
      <c r="J81" s="337">
        <f>'Measurement Data'!$U$30+'Chart Data'!B81*'Measurement Data'!$U$31+'Chart Data'!B81^2*'Measurement Data'!$U$32</f>
        <v>4.4890358206103622</v>
      </c>
      <c r="K81" s="332">
        <f t="shared" si="11"/>
        <v>4.4738989349299834</v>
      </c>
      <c r="L81" s="336">
        <f t="shared" si="5"/>
        <v>4.5041727062907411</v>
      </c>
      <c r="M81" s="334"/>
      <c r="N81" s="551">
        <f>'Measurement Data'!$AD$30+B81*'Measurement Data'!$AD$31+B81^2*'Measurement Data'!$AD$32+B81^3*'Measurement Data'!$AD$33</f>
        <v>4.489646548912102</v>
      </c>
      <c r="O81" s="553">
        <f t="shared" si="6"/>
        <v>4.4771215759512177</v>
      </c>
      <c r="P81" s="552">
        <f t="shared" si="7"/>
        <v>4.5021715218729863</v>
      </c>
      <c r="Q81" s="550"/>
      <c r="R81" s="312">
        <f>SUMPRODUCT(A81:E81,'Measurement Data'!$BI$43:$BM$43)</f>
        <v>4.4953062074991026</v>
      </c>
      <c r="S81" s="308">
        <f t="shared" si="8"/>
        <v>4.4856363193043425</v>
      </c>
      <c r="T81" s="353">
        <f t="shared" si="9"/>
        <v>4.5049760956938627</v>
      </c>
      <c r="U81" s="308"/>
      <c r="V81" s="319">
        <f>SUMPRODUCT($A81:$B81,'Measurement Data'!$K$52:$L$52)</f>
        <v>4.6077454125817319E-2</v>
      </c>
      <c r="W81" s="322">
        <f>SUMPRODUCT($A81:$B81,'Measurement Data'!$K$53:$L$53)</f>
        <v>-4.408321351444932E-3</v>
      </c>
      <c r="X81" s="331">
        <f>SUMPRODUCT($A81:$C81,'Measurement Data'!$U$59:$W$59)</f>
        <v>1.7056819001755379E-6</v>
      </c>
      <c r="Y81" s="332">
        <f>SUMPRODUCT($A81:$C81,'Measurement Data'!$U$60:$W$60)</f>
        <v>2.6180018061296453E-5</v>
      </c>
      <c r="Z81" s="332">
        <f>SUMPRODUCT($A81:$C81,'Measurement Data'!$U$61:$W$61)</f>
        <v>-3.3859366326208522E-6</v>
      </c>
      <c r="AA81" s="570">
        <f>SUMPRODUCT($A81:$D81,'Measurement Data'!$AD$59:$AG$59)</f>
        <v>-4.4594469142448482E-5</v>
      </c>
      <c r="AB81" s="552">
        <f>SUMPRODUCT($A81:$D81,'Measurement Data'!$AD$60:$AG$60)</f>
        <v>9.7748552189275411E-5</v>
      </c>
      <c r="AC81" s="552">
        <f>SUMPRODUCT($A81:$D81,'Measurement Data'!$AD$61:$AG$61)</f>
        <v>-2.381247385730855E-5</v>
      </c>
      <c r="AD81" s="571">
        <f>SUMPRODUCT($A81:$D81,'Measurement Data'!$AD$62:$AG$62)</f>
        <v>1.5130768314583607E-6</v>
      </c>
      <c r="AE81" s="308">
        <f>SUMPRODUCT(A81:E81,'Measurement Data'!$BG$59:$BK$59)</f>
        <v>-1.5111506749594365E-5</v>
      </c>
      <c r="AF81" s="308">
        <f>SUMPRODUCT(A81:E81,'Measurement Data'!$BG$60:$BK$60)</f>
        <v>2.57106136731703E-5</v>
      </c>
      <c r="AG81" s="308">
        <f>SUMPRODUCT(A81:E81,'Measurement Data'!$BG$61:$BK$61)</f>
        <v>2.1645623916627415E-6</v>
      </c>
      <c r="AH81" s="308">
        <f>SUMPRODUCT(A81:E81,'Measurement Data'!$BG$62:$BK$62)</f>
        <v>-1.883260221698226E-6</v>
      </c>
      <c r="AI81" s="310">
        <f>SUMPRODUCT(A81:E81,'Measurement Data'!$BG$63:$BK$63)</f>
        <v>1.5188345699462219E-7</v>
      </c>
    </row>
    <row r="82" spans="1:35" ht="18" customHeight="1" x14ac:dyDescent="0.2">
      <c r="A82" s="432">
        <v>1</v>
      </c>
      <c r="B82" s="433">
        <f t="shared" si="0"/>
        <v>3.4200000000000008</v>
      </c>
      <c r="C82" s="434">
        <f t="shared" si="1"/>
        <v>11.696400000000006</v>
      </c>
      <c r="D82" s="563">
        <f t="shared" si="2"/>
        <v>40.00168800000003</v>
      </c>
      <c r="E82" s="435">
        <f t="shared" si="3"/>
        <v>136.80577296000013</v>
      </c>
      <c r="F82" s="355">
        <f>'Measurement Data'!$K$27+'Measurement Data'!$K$28*'Chart Data'!B82</f>
        <v>5.4219836210526413</v>
      </c>
      <c r="G82" s="320">
        <f t="shared" si="4"/>
        <v>5.0546038747484436</v>
      </c>
      <c r="H82" s="354">
        <f t="shared" si="10"/>
        <v>5.789363367356839</v>
      </c>
      <c r="I82" s="322"/>
      <c r="J82" s="337">
        <f>'Measurement Data'!$U$30+'Chart Data'!B82*'Measurement Data'!$U$31+'Chart Data'!B82^2*'Measurement Data'!$U$32</f>
        <v>4.7890344693498585</v>
      </c>
      <c r="K82" s="332">
        <f t="shared" si="11"/>
        <v>4.7736737961092501</v>
      </c>
      <c r="L82" s="336">
        <f t="shared" si="5"/>
        <v>4.804395142590467</v>
      </c>
      <c r="M82" s="334"/>
      <c r="N82" s="551">
        <f>'Measurement Data'!$AD$30+B82*'Measurement Data'!$AD$31+B82^2*'Measurement Data'!$AD$32+B82^3*'Measurement Data'!$AD$33</f>
        <v>4.7895765380832014</v>
      </c>
      <c r="O82" s="553">
        <f t="shared" si="6"/>
        <v>4.7773338724557712</v>
      </c>
      <c r="P82" s="552">
        <f t="shared" si="7"/>
        <v>4.8018192037106315</v>
      </c>
      <c r="Q82" s="550"/>
      <c r="R82" s="312">
        <f>SUMPRODUCT(A82:E82,'Measurement Data'!$BI$43:$BM$43)</f>
        <v>4.797903635828364</v>
      </c>
      <c r="S82" s="308">
        <f t="shared" si="8"/>
        <v>4.7881518998151371</v>
      </c>
      <c r="T82" s="353">
        <f t="shared" si="9"/>
        <v>4.8076553718415909</v>
      </c>
      <c r="U82" s="308"/>
      <c r="V82" s="319">
        <f>SUMPRODUCT($A82:$B82,'Measurement Data'!$K$52:$L$52)</f>
        <v>4.3243533257031286E-2</v>
      </c>
      <c r="W82" s="322">
        <f>SUMPRODUCT($A82:$B82,'Measurement Data'!$K$53:$L$53)</f>
        <v>-3.7785611583813685E-3</v>
      </c>
      <c r="X82" s="331">
        <f>SUMPRODUCT($A82:$C82,'Measurement Data'!$U$59:$W$59)</f>
        <v>-4.1298530939182346E-6</v>
      </c>
      <c r="Y82" s="332">
        <f>SUMPRODUCT($A82:$C82,'Measurement Data'!$U$60:$W$60)</f>
        <v>2.8964292927759505E-5</v>
      </c>
      <c r="Z82" s="332">
        <f>SUMPRODUCT($A82:$C82,'Measurement Data'!$U$61:$W$61)</f>
        <v>-3.6271511156835501E-6</v>
      </c>
      <c r="AA82" s="570">
        <f>SUMPRODUCT($A82:$D82,'Measurement Data'!$AD$59:$AG$59)</f>
        <v>-4.5224827997612137E-5</v>
      </c>
      <c r="AB82" s="552">
        <f>SUMPRODUCT($A82:$D82,'Measurement Data'!$AD$60:$AG$60)</f>
        <v>9.2486917533797199E-5</v>
      </c>
      <c r="AC82" s="552">
        <f>SUMPRODUCT($A82:$D82,'Measurement Data'!$AD$61:$AG$61)</f>
        <v>-2.1757287102607857E-5</v>
      </c>
      <c r="AD82" s="571">
        <f>SUMPRODUCT($A82:$D82,'Measurement Data'!$AD$62:$AG$62)</f>
        <v>1.3429730360684823E-6</v>
      </c>
      <c r="AE82" s="308">
        <f>SUMPRODUCT(A82:E82,'Measurement Data'!$BG$59:$BK$59)</f>
        <v>-1.0772038248311498E-5</v>
      </c>
      <c r="AF82" s="308">
        <f>SUMPRODUCT(A82:E82,'Measurement Data'!$BG$60:$BK$60)</f>
        <v>8.9701182333770451E-6</v>
      </c>
      <c r="AG82" s="308">
        <f>SUMPRODUCT(A82:E82,'Measurement Data'!$BG$61:$BK$61)</f>
        <v>1.0649645116337275E-5</v>
      </c>
      <c r="AH82" s="308">
        <f>SUMPRODUCT(A82:E82,'Measurement Data'!$BG$62:$BK$62)</f>
        <v>-3.2673999138676746E-6</v>
      </c>
      <c r="AI82" s="310">
        <f>SUMPRODUCT(A82:E82,'Measurement Data'!$BG$63:$BK$63)</f>
        <v>2.2346725916498676E-7</v>
      </c>
    </row>
    <row r="83" spans="1:35" ht="18" customHeight="1" x14ac:dyDescent="0.2">
      <c r="A83" s="432">
        <v>1</v>
      </c>
      <c r="B83" s="433">
        <f t="shared" si="0"/>
        <v>3.600000000000001</v>
      </c>
      <c r="C83" s="434">
        <f t="shared" si="1"/>
        <v>12.960000000000006</v>
      </c>
      <c r="D83" s="563">
        <f t="shared" si="2"/>
        <v>46.656000000000034</v>
      </c>
      <c r="E83" s="435">
        <f t="shared" si="3"/>
        <v>167.96160000000015</v>
      </c>
      <c r="F83" s="355">
        <f>'Measurement Data'!$K$27+'Measurement Data'!$K$28*'Chart Data'!B83</f>
        <v>5.7640749473684316</v>
      </c>
      <c r="G83" s="320">
        <f t="shared" si="4"/>
        <v>5.4043286301085072</v>
      </c>
      <c r="H83" s="354">
        <f t="shared" si="10"/>
        <v>6.1238212646283561</v>
      </c>
      <c r="I83" s="322"/>
      <c r="J83" s="337">
        <f>'Measurement Data'!$U$30+'Chart Data'!B83*'Measurement Data'!$U$31+'Chart Data'!B83^2*'Measurement Data'!$U$32</f>
        <v>5.0955089146395531</v>
      </c>
      <c r="K83" s="332">
        <f t="shared" si="11"/>
        <v>5.0799384775604137</v>
      </c>
      <c r="L83" s="336">
        <f t="shared" si="5"/>
        <v>5.1110793517186925</v>
      </c>
      <c r="M83" s="334"/>
      <c r="N83" s="551">
        <f>'Measurement Data'!$AD$30+B83*'Measurement Data'!$AD$31+B83^2*'Measurement Data'!$AD$32+B83^3*'Measurement Data'!$AD$33</f>
        <v>5.0959737450359075</v>
      </c>
      <c r="O83" s="553">
        <f t="shared" si="6"/>
        <v>5.0840192763998333</v>
      </c>
      <c r="P83" s="552">
        <f t="shared" si="7"/>
        <v>5.1079282136719817</v>
      </c>
      <c r="Q83" s="550"/>
      <c r="R83" s="312">
        <f>SUMPRODUCT(A83:E83,'Measurement Data'!$BI$43:$BM$43)</f>
        <v>5.1066652311848113</v>
      </c>
      <c r="S83" s="308">
        <f t="shared" si="8"/>
        <v>5.0967740872772866</v>
      </c>
      <c r="T83" s="353">
        <f t="shared" si="9"/>
        <v>5.116556375092336</v>
      </c>
      <c r="U83" s="308"/>
      <c r="V83" s="319">
        <f>SUMPRODUCT($A83:$B83,'Measurement Data'!$K$52:$L$52)</f>
        <v>4.0409612388245253E-2</v>
      </c>
      <c r="W83" s="322">
        <f>SUMPRODUCT($A83:$B83,'Measurement Data'!$K$53:$L$53)</f>
        <v>-3.1488009653178068E-3</v>
      </c>
      <c r="X83" s="331">
        <f>SUMPRODUCT($A83:$C83,'Measurement Data'!$U$59:$W$59)</f>
        <v>-9.492236602004424E-6</v>
      </c>
      <c r="Y83" s="332">
        <f>SUMPRODUCT($A83:$C83,'Measurement Data'!$U$60:$W$60)</f>
        <v>3.1414578509981884E-5</v>
      </c>
      <c r="Z83" s="332">
        <f>SUMPRODUCT($A83:$C83,'Measurement Data'!$U$61:$W$61)</f>
        <v>-3.8312556782750642E-6</v>
      </c>
      <c r="AA83" s="570">
        <f>SUMPRODUCT($A83:$D83,'Measurement Data'!$AD$59:$AG$59)</f>
        <v>-4.4731667142365171E-5</v>
      </c>
      <c r="AB83" s="552">
        <f>SUMPRODUCT($A83:$D83,'Measurement Data'!$AD$60:$AG$60)</f>
        <v>8.5885985848514214E-5</v>
      </c>
      <c r="AC83" s="552">
        <f>SUMPRODUCT($A83:$D83,'Measurement Data'!$AD$61:$AG$61)</f>
        <v>-1.937806326961107E-5</v>
      </c>
      <c r="AD83" s="571">
        <f>SUMPRODUCT($A83:$D83,'Measurement Data'!$AD$62:$AG$62)</f>
        <v>1.151615377136016E-6</v>
      </c>
      <c r="AE83" s="308">
        <f>SUMPRODUCT(A83:E83,'Measurement Data'!$BG$59:$BK$59)</f>
        <v>-6.3342080452182301E-6</v>
      </c>
      <c r="AF83" s="308">
        <f>SUMPRODUCT(A83:E83,'Measurement Data'!$BG$60:$BK$60)</f>
        <v>-6.9574830367357537E-6</v>
      </c>
      <c r="AG83" s="308">
        <f>SUMPRODUCT(A83:E83,'Measurement Data'!$BG$61:$BK$61)</f>
        <v>1.8484167356999198E-5</v>
      </c>
      <c r="AH83" s="308">
        <f>SUMPRODUCT(A83:E83,'Measurement Data'!$BG$62:$BK$62)</f>
        <v>-4.5170995016893291E-6</v>
      </c>
      <c r="AI83" s="310">
        <f>SUMPRODUCT(A83:E83,'Measurement Data'!$BG$63:$BK$63)</f>
        <v>2.8691834528494645E-7</v>
      </c>
    </row>
    <row r="84" spans="1:35" ht="18" customHeight="1" x14ac:dyDescent="0.2">
      <c r="A84" s="432">
        <v>1</v>
      </c>
      <c r="B84" s="433">
        <f t="shared" si="0"/>
        <v>3.7800000000000011</v>
      </c>
      <c r="C84" s="434">
        <f t="shared" si="1"/>
        <v>14.288400000000008</v>
      </c>
      <c r="D84" s="563">
        <f t="shared" si="2"/>
        <v>54.010152000000048</v>
      </c>
      <c r="E84" s="435">
        <f t="shared" si="3"/>
        <v>204.15837456000023</v>
      </c>
      <c r="F84" s="355">
        <f>'Measurement Data'!$K$27+'Measurement Data'!$K$28*'Chart Data'!B84</f>
        <v>6.1061662736842219</v>
      </c>
      <c r="G84" s="320">
        <f t="shared" si="4"/>
        <v>5.7527881149607474</v>
      </c>
      <c r="H84" s="354">
        <f t="shared" si="10"/>
        <v>6.4595444324076965</v>
      </c>
      <c r="I84" s="322"/>
      <c r="J84" s="337">
        <f>'Measurement Data'!$U$30+'Chart Data'!B84*'Measurement Data'!$U$31+'Chart Data'!B84^2*'Measurement Data'!$U$32</f>
        <v>5.4084591564794469</v>
      </c>
      <c r="K84" s="332">
        <f t="shared" si="11"/>
        <v>5.3927037330225494</v>
      </c>
      <c r="L84" s="336">
        <f t="shared" si="5"/>
        <v>5.4242145799363444</v>
      </c>
      <c r="M84" s="334"/>
      <c r="N84" s="551">
        <f>'Measurement Data'!$AD$30+B84*'Measurement Data'!$AD$31+B84^2*'Measurement Data'!$AD$32+B84^3*'Measurement Data'!$AD$33</f>
        <v>5.4088395995649865</v>
      </c>
      <c r="O84" s="553">
        <f t="shared" si="6"/>
        <v>5.3971588756388575</v>
      </c>
      <c r="P84" s="552">
        <f t="shared" si="7"/>
        <v>5.4205203234911155</v>
      </c>
      <c r="Q84" s="550"/>
      <c r="R84" s="312">
        <f>SUMPRODUCT(A84:E84,'Measurement Data'!$BI$43:$BM$43)</f>
        <v>5.4215387611128936</v>
      </c>
      <c r="S84" s="308">
        <f t="shared" si="8"/>
        <v>5.4114812144595739</v>
      </c>
      <c r="T84" s="353">
        <f t="shared" si="9"/>
        <v>5.4315963077662133</v>
      </c>
      <c r="U84" s="308"/>
      <c r="V84" s="319">
        <f>SUMPRODUCT($A84:$B84,'Measurement Data'!$K$52:$L$52)</f>
        <v>3.757569151945922E-2</v>
      </c>
      <c r="W84" s="322">
        <f>SUMPRODUCT($A84:$B84,'Measurement Data'!$K$53:$L$53)</f>
        <v>-2.5190407722542434E-3</v>
      </c>
      <c r="X84" s="331">
        <f>SUMPRODUCT($A84:$C84,'Measurement Data'!$U$59:$W$59)</f>
        <v>-1.4381468624082949E-5</v>
      </c>
      <c r="Y84" s="332">
        <f>SUMPRODUCT($A84:$C84,'Measurement Data'!$U$60:$W$60)</f>
        <v>3.3530874807963576E-5</v>
      </c>
      <c r="Z84" s="332">
        <f>SUMPRODUCT($A84:$C84,'Measurement Data'!$U$61:$W$61)</f>
        <v>-3.9982503203953964E-6</v>
      </c>
      <c r="AA84" s="570">
        <f>SUMPRODUCT($A84:$D84,'Measurement Data'!$AD$59:$AG$59)</f>
        <v>-4.3223381280774751E-5</v>
      </c>
      <c r="AB84" s="552">
        <f>SUMPRODUCT($A84:$D84,'Measurement Data'!$AD$60:$AG$60)</f>
        <v>7.8113308424353212E-5</v>
      </c>
      <c r="AC84" s="552">
        <f>SUMPRODUCT($A84:$D84,'Measurement Data'!$AD$61:$AG$61)</f>
        <v>-1.672262355128906E-5</v>
      </c>
      <c r="AD84" s="571">
        <f>SUMPRODUCT($A84:$D84,'Measurement Data'!$AD$62:$AG$62)</f>
        <v>9.4254616525139212E-7</v>
      </c>
      <c r="AE84" s="308">
        <f>SUMPRODUCT(A84:E84,'Measurement Data'!$BG$59:$BK$59)</f>
        <v>-1.9533835883789557E-6</v>
      </c>
      <c r="AF84" s="308">
        <f>SUMPRODUCT(A84:E84,'Measurement Data'!$BG$60:$BK$60)</f>
        <v>-2.1700725456929649E-5</v>
      </c>
      <c r="AG84" s="308">
        <f>SUMPRODUCT(A84:E84,'Measurement Data'!$BG$61:$BK$61)</f>
        <v>2.5493789593265359E-5</v>
      </c>
      <c r="AH84" s="308">
        <f>SUMPRODUCT(A84:E84,'Measurement Data'!$BG$62:$BK$62)</f>
        <v>-5.6044459317491235E-6</v>
      </c>
      <c r="AI84" s="310">
        <f>SUMPRODUCT(A84:E84,'Measurement Data'!$BG$63:$BK$63)</f>
        <v>3.4079662705890556E-7</v>
      </c>
    </row>
    <row r="85" spans="1:35" ht="18" customHeight="1" x14ac:dyDescent="0.2">
      <c r="A85" s="432">
        <v>1</v>
      </c>
      <c r="B85" s="433">
        <f t="shared" si="0"/>
        <v>3.9600000000000013</v>
      </c>
      <c r="C85" s="434">
        <f t="shared" si="1"/>
        <v>15.68160000000001</v>
      </c>
      <c r="D85" s="563">
        <f t="shared" si="2"/>
        <v>62.099136000000058</v>
      </c>
      <c r="E85" s="435">
        <f t="shared" si="3"/>
        <v>245.91257856000033</v>
      </c>
      <c r="F85" s="355">
        <f>'Measurement Data'!$K$27+'Measurement Data'!$K$28*'Chart Data'!B85</f>
        <v>6.4482576000000114</v>
      </c>
      <c r="G85" s="320">
        <f t="shared" si="4"/>
        <v>6.0999129304029536</v>
      </c>
      <c r="H85" s="354">
        <f t="shared" si="10"/>
        <v>6.7966022695970691</v>
      </c>
      <c r="I85" s="322"/>
      <c r="J85" s="337">
        <f>'Measurement Data'!$U$30+'Chart Data'!B85*'Measurement Data'!$U$31+'Chart Data'!B85^2*'Measurement Data'!$U$32</f>
        <v>5.7278851948695397</v>
      </c>
      <c r="K85" s="332">
        <f t="shared" si="11"/>
        <v>5.7119778672921315</v>
      </c>
      <c r="L85" s="336">
        <f t="shared" si="5"/>
        <v>5.7437925224469479</v>
      </c>
      <c r="M85" s="334"/>
      <c r="N85" s="551">
        <f>'Measurement Data'!$AD$30+B85*'Measurement Data'!$AD$31+B85^2*'Measurement Data'!$AD$32+B85^3*'Measurement Data'!$AD$33</f>
        <v>5.7281755314652019</v>
      </c>
      <c r="O85" s="553">
        <f t="shared" si="6"/>
        <v>5.7167339724486039</v>
      </c>
      <c r="P85" s="552">
        <f t="shared" si="7"/>
        <v>5.7396170904817998</v>
      </c>
      <c r="Q85" s="550"/>
      <c r="R85" s="312">
        <f>SUMPRODUCT(A85:E85,'Measurement Data'!$BI$43:$BM$43)</f>
        <v>5.7424817499298468</v>
      </c>
      <c r="S85" s="308">
        <f t="shared" si="8"/>
        <v>5.7322603921593993</v>
      </c>
      <c r="T85" s="353">
        <f t="shared" si="9"/>
        <v>5.7527031077002944</v>
      </c>
      <c r="U85" s="308"/>
      <c r="V85" s="319">
        <f>SUMPRODUCT($A85:$B85,'Measurement Data'!$K$52:$L$52)</f>
        <v>3.4741770650673187E-2</v>
      </c>
      <c r="W85" s="322">
        <f>SUMPRODUCT($A85:$B85,'Measurement Data'!$K$53:$L$53)</f>
        <v>-1.8892805791906799E-3</v>
      </c>
      <c r="X85" s="331">
        <f>SUMPRODUCT($A85:$C85,'Measurement Data'!$U$59:$W$59)</f>
        <v>-1.8797549160153918E-5</v>
      </c>
      <c r="Y85" s="332">
        <f>SUMPRODUCT($A85:$C85,'Measurement Data'!$U$60:$W$60)</f>
        <v>3.531318182170463E-5</v>
      </c>
      <c r="Z85" s="332">
        <f>SUMPRODUCT($A85:$C85,'Measurement Data'!$U$61:$W$61)</f>
        <v>-4.1281350420445414E-6</v>
      </c>
      <c r="AA85" s="570">
        <f>SUMPRODUCT($A85:$D85,'Measurement Data'!$AD$59:$AG$59)</f>
        <v>-4.0808365116907933E-5</v>
      </c>
      <c r="AB85" s="552">
        <f>SUMPRODUCT($A85:$D85,'Measurement Data'!$AD$60:$AG$60)</f>
        <v>6.9336436552242355E-5</v>
      </c>
      <c r="AC85" s="552">
        <f>SUMPRODUCT($A85:$D85,'Measurement Data'!$AD$61:$AG$61)</f>
        <v>-1.3838789140612528E-5</v>
      </c>
      <c r="AD85" s="571">
        <f>SUMPRODUCT($A85:$D85,'Measurement Data'!$AD$62:$AG$62)</f>
        <v>7.1930771100504891E-7</v>
      </c>
      <c r="AE85" s="308">
        <f>SUMPRODUCT(A85:E85,'Measurement Data'!$BG$59:$BK$59)</f>
        <v>2.2322365190168979E-6</v>
      </c>
      <c r="AF85" s="308">
        <f>SUMPRODUCT(A85:E85,'Measurement Data'!$BG$60:$BK$60)</f>
        <v>-3.4938556788537242E-5</v>
      </c>
      <c r="AG85" s="308">
        <f>SUMPRODUCT(A85:E85,'Measurement Data'!$BG$61:$BK$61)</f>
        <v>3.1530982260230447E-5</v>
      </c>
      <c r="AH85" s="308">
        <f>SUMPRODUCT(A85:E85,'Measurement Data'!$BG$62:$BK$62)</f>
        <v>-6.5062391668732991E-6</v>
      </c>
      <c r="AI85" s="310">
        <f>SUMPRODUCT(A85:E85,'Measurement Data'!$BG$63:$BK$63)</f>
        <v>3.8392385042683404E-7</v>
      </c>
    </row>
    <row r="86" spans="1:35" ht="18" customHeight="1" x14ac:dyDescent="0.2">
      <c r="A86" s="432">
        <v>1</v>
      </c>
      <c r="B86" s="433">
        <f t="shared" si="0"/>
        <v>4.1400000000000015</v>
      </c>
      <c r="C86" s="434">
        <f t="shared" si="1"/>
        <v>17.139600000000012</v>
      </c>
      <c r="D86" s="563">
        <f t="shared" si="2"/>
        <v>70.957944000000069</v>
      </c>
      <c r="E86" s="435">
        <f t="shared" si="3"/>
        <v>293.76588816000043</v>
      </c>
      <c r="F86" s="355">
        <f>'Measurement Data'!$K$27+'Measurement Data'!$K$28*'Chart Data'!B86</f>
        <v>6.7903489263158017</v>
      </c>
      <c r="G86" s="320">
        <f t="shared" si="4"/>
        <v>6.4456446035930552</v>
      </c>
      <c r="H86" s="354">
        <f t="shared" si="10"/>
        <v>7.1350532490385481</v>
      </c>
      <c r="I86" s="322"/>
      <c r="J86" s="337">
        <f>'Measurement Data'!$U$30+'Chart Data'!B86*'Measurement Data'!$U$31+'Chart Data'!B86^2*'Measurement Data'!$U$32</f>
        <v>6.0537870298098317</v>
      </c>
      <c r="K86" s="332">
        <f t="shared" si="11"/>
        <v>6.0377670212378964</v>
      </c>
      <c r="L86" s="336">
        <f t="shared" si="5"/>
        <v>6.0698070383817671</v>
      </c>
      <c r="M86" s="334"/>
      <c r="N86" s="551">
        <f>'Measurement Data'!$AD$30+B86*'Measurement Data'!$AD$31+B86^2*'Measurement Data'!$AD$32+B86^3*'Measurement Data'!$AD$33</f>
        <v>6.0539829705313197</v>
      </c>
      <c r="O86" s="553">
        <f t="shared" si="6"/>
        <v>6.0427276022809959</v>
      </c>
      <c r="P86" s="552">
        <f t="shared" si="7"/>
        <v>6.0652383387816435</v>
      </c>
      <c r="Q86" s="550"/>
      <c r="R86" s="312">
        <f>SUMPRODUCT(A86:E86,'Measurement Data'!$BI$43:$BM$43)</f>
        <v>6.0694614787256924</v>
      </c>
      <c r="S86" s="308">
        <f t="shared" si="8"/>
        <v>6.0591041136297097</v>
      </c>
      <c r="T86" s="353">
        <f t="shared" si="9"/>
        <v>6.0798188438216751</v>
      </c>
      <c r="U86" s="308"/>
      <c r="V86" s="319">
        <f>SUMPRODUCT($A86:$B86,'Measurement Data'!$K$52:$L$52)</f>
        <v>3.1907849781887154E-2</v>
      </c>
      <c r="W86" s="322">
        <f>SUMPRODUCT($A86:$B86,'Measurement Data'!$K$53:$L$53)</f>
        <v>-1.2595203861271165E-3</v>
      </c>
      <c r="X86" s="331">
        <f>SUMPRODUCT($A86:$C86,'Measurement Data'!$U$59:$W$59)</f>
        <v>-2.2740478210217237E-5</v>
      </c>
      <c r="Y86" s="332">
        <f>SUMPRODUCT($A86:$C86,'Measurement Data'!$U$60:$W$60)</f>
        <v>3.6761499551205045E-5</v>
      </c>
      <c r="Z86" s="332">
        <f>SUMPRODUCT($A86:$C86,'Measurement Data'!$U$61:$W$61)</f>
        <v>-4.2209098432225019E-6</v>
      </c>
      <c r="AA86" s="570">
        <f>SUMPRODUCT($A86:$D86,'Measurement Data'!$AD$59:$AG$59)</f>
        <v>-3.7595013354831911E-5</v>
      </c>
      <c r="AB86" s="552">
        <f>SUMPRODUCT($A86:$D86,'Measurement Data'!$AD$60:$AG$60)</f>
        <v>5.9722921523108589E-5</v>
      </c>
      <c r="AC86" s="552">
        <f>SUMPRODUCT($A86:$D86,'Measurement Data'!$AD$61:$AG$61)</f>
        <v>-1.0774381230552378E-5</v>
      </c>
      <c r="AD86" s="571">
        <f>SUMPRODUCT($A86:$D86,'Measurement Data'!$AD$62:$AG$62)</f>
        <v>4.854423249874069E-7</v>
      </c>
      <c r="AE86" s="308">
        <f>SUMPRODUCT(A86:E86,'Measurement Data'!$BG$59:$BK$59)</f>
        <v>6.1016225186545463E-6</v>
      </c>
      <c r="AF86" s="308">
        <f>SUMPRODUCT(A86:E86,'Measurement Data'!$BG$60:$BK$60)</f>
        <v>-4.6400337234457308E-5</v>
      </c>
      <c r="AG86" s="308">
        <f>SUMPRODUCT(A86:E86,'Measurement Data'!$BG$61:$BK$61)</f>
        <v>3.6475025748465811E-5</v>
      </c>
      <c r="AH86" s="308">
        <f>SUMPRODUCT(A86:E86,'Measurement Data'!$BG$62:$BK$62)</f>
        <v>-7.2039921861281436E-6</v>
      </c>
      <c r="AI86" s="310">
        <f>SUMPRODUCT(A86:E86,'Measurement Data'!$BG$63:$BK$63)</f>
        <v>4.1538359556425753E-7</v>
      </c>
    </row>
    <row r="87" spans="1:35" ht="18" customHeight="1" x14ac:dyDescent="0.2">
      <c r="A87" s="432">
        <v>1</v>
      </c>
      <c r="B87" s="433">
        <f t="shared" si="0"/>
        <v>4.3200000000000012</v>
      </c>
      <c r="C87" s="434">
        <f t="shared" si="1"/>
        <v>18.662400000000009</v>
      </c>
      <c r="D87" s="563">
        <f t="shared" si="2"/>
        <v>80.621568000000053</v>
      </c>
      <c r="E87" s="435">
        <f t="shared" si="3"/>
        <v>348.2851737600003</v>
      </c>
      <c r="F87" s="355">
        <f>'Measurement Data'!$K$27+'Measurement Data'!$K$28*'Chart Data'!B87</f>
        <v>7.1324402526315911</v>
      </c>
      <c r="G87" s="320">
        <f t="shared" si="4"/>
        <v>6.7899387097679336</v>
      </c>
      <c r="H87" s="354">
        <f t="shared" si="10"/>
        <v>7.4749417954952486</v>
      </c>
      <c r="I87" s="322"/>
      <c r="J87" s="337">
        <f>'Measurement Data'!$U$30+'Chart Data'!B87*'Measurement Data'!$U$31+'Chart Data'!B87^2*'Measurement Data'!$U$32</f>
        <v>6.386164661300322</v>
      </c>
      <c r="K87" s="332">
        <f t="shared" si="11"/>
        <v>6.3700754078072697</v>
      </c>
      <c r="L87" s="336">
        <f t="shared" si="5"/>
        <v>6.4022539147933744</v>
      </c>
      <c r="M87" s="334"/>
      <c r="N87" s="551">
        <f>'Measurement Data'!$AD$30+B87*'Measurement Data'!$AD$31+B87^2*'Measurement Data'!$AD$32+B87^3*'Measurement Data'!$AD$33</f>
        <v>6.3862633465581036</v>
      </c>
      <c r="O87" s="553">
        <f t="shared" si="6"/>
        <v>6.3751262587320916</v>
      </c>
      <c r="P87" s="552">
        <f t="shared" si="7"/>
        <v>6.3974004343841155</v>
      </c>
      <c r="Q87" s="550"/>
      <c r="R87" s="312">
        <f>SUMPRODUCT(A87:E87,'Measurement Data'!$BI$43:$BM$43)</f>
        <v>6.4024549853632307</v>
      </c>
      <c r="S87" s="308">
        <f t="shared" si="8"/>
        <v>6.3920082910782794</v>
      </c>
      <c r="T87" s="353">
        <f t="shared" si="9"/>
        <v>6.4129016796481819</v>
      </c>
      <c r="U87" s="308"/>
      <c r="V87" s="319">
        <f>SUMPRODUCT($A87:$B87,'Measurement Data'!$K$52:$L$52)</f>
        <v>2.9073928913101121E-2</v>
      </c>
      <c r="W87" s="322">
        <f>SUMPRODUCT($A87:$B87,'Measurement Data'!$K$53:$L$53)</f>
        <v>-6.297601930635565E-4</v>
      </c>
      <c r="X87" s="331">
        <f>SUMPRODUCT($A87:$C87,'Measurement Data'!$U$59:$W$59)</f>
        <v>-2.6210255774272999E-5</v>
      </c>
      <c r="Y87" s="332">
        <f>SUMPRODUCT($A87:$C87,'Measurement Data'!$U$60:$W$60)</f>
        <v>3.7875827996464753E-5</v>
      </c>
      <c r="Z87" s="332">
        <f>SUMPRODUCT($A87:$C87,'Measurement Data'!$U$61:$W$61)</f>
        <v>-4.2765747239292796E-6</v>
      </c>
      <c r="AA87" s="570">
        <f>SUMPRODUCT($A87:$D87,'Measurement Data'!$AD$59:$AG$59)</f>
        <v>-3.3691720698614204E-5</v>
      </c>
      <c r="AB87" s="552">
        <f>SUMPRODUCT($A87:$D87,'Measurement Data'!$AD$60:$AG$60)</f>
        <v>4.9440314627879564E-5</v>
      </c>
      <c r="AC87" s="552">
        <f>SUMPRODUCT($A87:$D87,'Measurement Data'!$AD$61:$AG$61)</f>
        <v>-7.5772210140794189E-6</v>
      </c>
      <c r="AD87" s="571">
        <f>SUMPRODUCT($A87:$D87,'Measurement Data'!$AD$62:$AG$62)</f>
        <v>2.4449231778891032E-7</v>
      </c>
      <c r="AE87" s="308">
        <f>SUMPRODUCT(A87:E87,'Measurement Data'!$BG$59:$BK$59)</f>
        <v>9.5509134970933596E-6</v>
      </c>
      <c r="AF87" s="308">
        <f>SUMPRODUCT(A87:E87,'Measurement Data'!$BG$60:$BK$60)</f>
        <v>-5.5865839439158153E-5</v>
      </c>
      <c r="AG87" s="308">
        <f>SUMPRODUCT(A87:E87,'Measurement Data'!$BG$61:$BK$61)</f>
        <v>4.0232010404018972E-5</v>
      </c>
      <c r="AH87" s="308">
        <f>SUMPRODUCT(A87:E87,'Measurement Data'!$BG$62:$BK$62)</f>
        <v>-7.6839309848199982E-6</v>
      </c>
      <c r="AI87" s="310">
        <f>SUMPRODUCT(A87:E87,'Measurement Data'!$BG$63:$BK$63)</f>
        <v>4.3452127688227028E-7</v>
      </c>
    </row>
    <row r="88" spans="1:35" ht="18" customHeight="1" x14ac:dyDescent="0.2">
      <c r="A88" s="432">
        <v>1</v>
      </c>
      <c r="B88" s="433">
        <f t="shared" si="0"/>
        <v>4.5000000000000009</v>
      </c>
      <c r="C88" s="434">
        <f t="shared" si="1"/>
        <v>20.250000000000007</v>
      </c>
      <c r="D88" s="563">
        <f t="shared" si="2"/>
        <v>91.125000000000057</v>
      </c>
      <c r="E88" s="435">
        <f t="shared" si="3"/>
        <v>410.06250000000028</v>
      </c>
      <c r="F88" s="355">
        <f>'Measurement Data'!$K$27+'Measurement Data'!$K$28*'Chart Data'!B88</f>
        <v>7.4745315789473796</v>
      </c>
      <c r="G88" s="320">
        <f t="shared" si="4"/>
        <v>7.1327674510500838</v>
      </c>
      <c r="H88" s="354">
        <f t="shared" si="10"/>
        <v>7.8162957068446755</v>
      </c>
      <c r="I88" s="322"/>
      <c r="J88" s="337">
        <f>'Measurement Data'!$U$30+'Chart Data'!B88*'Measurement Data'!$U$31+'Chart Data'!B88^2*'Measurement Data'!$U$32</f>
        <v>6.7250180893410105</v>
      </c>
      <c r="K88" s="332">
        <f t="shared" si="11"/>
        <v>6.708905484982183</v>
      </c>
      <c r="L88" s="336">
        <f t="shared" si="5"/>
        <v>6.7411306936998381</v>
      </c>
      <c r="M88" s="334"/>
      <c r="N88" s="551">
        <f>'Measurement Data'!$AD$30+B88*'Measurement Data'!$AD$31+B88^2*'Measurement Data'!$AD$32+B88^3*'Measurement Data'!$AD$33</f>
        <v>6.7250180893403204</v>
      </c>
      <c r="O88" s="553">
        <f t="shared" si="6"/>
        <v>6.7139215690627436</v>
      </c>
      <c r="P88" s="552">
        <f t="shared" si="7"/>
        <v>6.7361146096178972</v>
      </c>
      <c r="Q88" s="550"/>
      <c r="R88" s="312">
        <f>SUMPRODUCT(A88:E88,'Measurement Data'!$BI$43:$BM$43)</f>
        <v>6.7414490644780525</v>
      </c>
      <c r="S88" s="308">
        <f t="shared" si="8"/>
        <v>6.7309712965008179</v>
      </c>
      <c r="T88" s="353">
        <f t="shared" si="9"/>
        <v>6.751926832455287</v>
      </c>
      <c r="U88" s="308"/>
      <c r="V88" s="319">
        <f>SUMPRODUCT($A88:$B88,'Measurement Data'!$K$52:$L$52)</f>
        <v>2.6240008044315102E-2</v>
      </c>
      <c r="W88" s="322">
        <f>SUMPRODUCT($A88:$B88,'Measurement Data'!$K$53:$L$53)</f>
        <v>6.9388939039072284E-18</v>
      </c>
      <c r="X88" s="331">
        <f>SUMPRODUCT($A88:$C88,'Measurement Data'!$U$59:$W$59)</f>
        <v>-2.9206881852321138E-5</v>
      </c>
      <c r="Y88" s="332">
        <f>SUMPRODUCT($A88:$C88,'Measurement Data'!$U$60:$W$60)</f>
        <v>3.8656167157483836E-5</v>
      </c>
      <c r="Z88" s="332">
        <f>SUMPRODUCT($A88:$C88,'Measurement Data'!$U$61:$W$61)</f>
        <v>-4.2951296841648693E-6</v>
      </c>
      <c r="AA88" s="570">
        <f>SUMPRODUCT($A88:$D88,'Measurement Data'!$AD$59:$AG$59)</f>
        <v>-2.9206881852321517E-5</v>
      </c>
      <c r="AB88" s="552">
        <f>SUMPRODUCT($A88:$D88,'Measurement Data'!$AD$60:$AG$60)</f>
        <v>3.8656167157482494E-5</v>
      </c>
      <c r="AC88" s="552">
        <f>SUMPRODUCT($A88:$D88,'Measurement Data'!$AD$61:$AG$61)</f>
        <v>-4.2951296841645017E-6</v>
      </c>
      <c r="AD88" s="571">
        <f>SUMPRODUCT($A88:$D88,'Measurement Data'!$AD$62:$AG$62)</f>
        <v>-2.3716922523120409E-20</v>
      </c>
      <c r="AE88" s="308">
        <f>SUMPRODUCT(A88:E88,'Measurement Data'!$BG$59:$BK$59)</f>
        <v>1.2493417385768286E-5</v>
      </c>
      <c r="AF88" s="308">
        <f>SUMPRODUCT(A88:E88,'Measurement Data'!$BG$60:$BK$60)</f>
        <v>-6.3165248488677127E-5</v>
      </c>
      <c r="AG88" s="308">
        <f>SUMPRODUCT(A88:E88,'Measurement Data'!$BG$61:$BK$61)</f>
        <v>4.2734836528416417E-5</v>
      </c>
      <c r="AH88" s="308">
        <f>SUMPRODUCT(A88:E88,'Measurement Data'!$BG$62:$BK$62)</f>
        <v>-7.9369945744955418E-6</v>
      </c>
      <c r="AI88" s="310">
        <f>SUMPRODUCT(A88:E88,'Measurement Data'!$BG$63:$BK$63)</f>
        <v>4.4094414302752436E-7</v>
      </c>
    </row>
    <row r="89" spans="1:35" ht="18" customHeight="1" x14ac:dyDescent="0.2">
      <c r="A89" s="432">
        <v>1</v>
      </c>
      <c r="B89" s="433">
        <f t="shared" si="0"/>
        <v>4.6800000000000006</v>
      </c>
      <c r="C89" s="434">
        <f t="shared" si="1"/>
        <v>21.902400000000007</v>
      </c>
      <c r="D89" s="563">
        <f t="shared" si="2"/>
        <v>102.50323200000005</v>
      </c>
      <c r="E89" s="435">
        <f t="shared" si="3"/>
        <v>479.71512576000032</v>
      </c>
      <c r="F89" s="355">
        <f>'Measurement Data'!$K$27+'Measurement Data'!$K$28*'Chart Data'!B89</f>
        <v>7.8166229052631699</v>
      </c>
      <c r="G89" s="320">
        <f t="shared" si="4"/>
        <v>7.4741213623995124</v>
      </c>
      <c r="H89" s="354">
        <f t="shared" si="10"/>
        <v>8.1591244481268284</v>
      </c>
      <c r="I89" s="322"/>
      <c r="J89" s="337">
        <f>'Measurement Data'!$U$30+'Chart Data'!B89*'Measurement Data'!$U$31+'Chart Data'!B89^2*'Measurement Data'!$U$32</f>
        <v>7.0703473139318991</v>
      </c>
      <c r="K89" s="332">
        <f t="shared" si="11"/>
        <v>7.0542580604388467</v>
      </c>
      <c r="L89" s="336">
        <f t="shared" si="5"/>
        <v>7.0864365674249514</v>
      </c>
      <c r="M89" s="334"/>
      <c r="N89" s="551">
        <f>'Measurement Data'!$AD$30+B89*'Measurement Data'!$AD$31+B89^2*'Measurement Data'!$AD$32+B89^3*'Measurement Data'!$AD$33</f>
        <v>7.0702486286727328</v>
      </c>
      <c r="O89" s="553">
        <f t="shared" si="6"/>
        <v>7.0591115408467209</v>
      </c>
      <c r="P89" s="552">
        <f t="shared" si="7"/>
        <v>7.0813857164987448</v>
      </c>
      <c r="Q89" s="550"/>
      <c r="R89" s="312">
        <f>SUMPRODUCT(A89:E89,'Measurement Data'!$BI$43:$BM$43)</f>
        <v>7.0864402674785296</v>
      </c>
      <c r="S89" s="308">
        <f t="shared" si="8"/>
        <v>7.0759935731935792</v>
      </c>
      <c r="T89" s="353">
        <f t="shared" si="9"/>
        <v>7.09688696176348</v>
      </c>
      <c r="U89" s="308"/>
      <c r="V89" s="319">
        <f>SUMPRODUCT($A89:$B89,'Measurement Data'!$K$52:$L$52)</f>
        <v>2.3406087175529069E-2</v>
      </c>
      <c r="W89" s="322">
        <f>SUMPRODUCT($A89:$B89,'Measurement Data'!$K$53:$L$53)</f>
        <v>6.2976019306356518E-4</v>
      </c>
      <c r="X89" s="331">
        <f>SUMPRODUCT($A89:$C89,'Measurement Data'!$U$59:$W$59)</f>
        <v>-3.1730356444361653E-5</v>
      </c>
      <c r="Y89" s="332">
        <f>SUMPRODUCT($A89:$C89,'Measurement Data'!$U$60:$W$60)</f>
        <v>3.9102517034262239E-5</v>
      </c>
      <c r="Z89" s="332">
        <f>SUMPRODUCT($A89:$C89,'Measurement Data'!$U$61:$W$61)</f>
        <v>-4.2765747239292779E-6</v>
      </c>
      <c r="AA89" s="570">
        <f>SUMPRODUCT($A89:$D89,'Measurement Data'!$AD$59:$AG$59)</f>
        <v>-2.4248891520021153E-5</v>
      </c>
      <c r="AB89" s="552">
        <f>SUMPRODUCT($A89:$D89,'Measurement Data'!$AD$60:$AG$60)</f>
        <v>2.7538030402844433E-5</v>
      </c>
      <c r="AC89" s="552">
        <f>SUMPRODUCT($A89:$D89,'Measurement Data'!$AD$61:$AG$61)</f>
        <v>-9.759284337783271E-7</v>
      </c>
      <c r="AD89" s="571">
        <f>SUMPRODUCT($A89:$D89,'Measurement Data'!$AD$62:$AG$62)</f>
        <v>-2.4449231778895775E-7</v>
      </c>
      <c r="AE89" s="308">
        <f>SUMPRODUCT(A89:E89,'Measurement Data'!$BG$59:$BK$59)</f>
        <v>1.4859610960989578E-5</v>
      </c>
      <c r="AF89" s="308">
        <f>SUMPRODUCT(A89:E89,'Measurement Data'!$BG$60:$BK$60)</f>
        <v>-6.8179161910620679E-5</v>
      </c>
      <c r="AG89" s="308">
        <f>SUMPRODUCT(A89:E89,'Measurement Data'!$BG$61:$BK$61)</f>
        <v>4.3943214378661479E-5</v>
      </c>
      <c r="AH89" s="308">
        <f>SUMPRODUCT(A89:E89,'Measurement Data'!$BG$62:$BK$62)</f>
        <v>-7.9588349829415474E-6</v>
      </c>
      <c r="AI89" s="310">
        <f>SUMPRODUCT(A89:E89,'Measurement Data'!$BG$63:$BK$63)</f>
        <v>4.3452127688224699E-7</v>
      </c>
    </row>
    <row r="90" spans="1:35" ht="18" customHeight="1" x14ac:dyDescent="0.2">
      <c r="A90" s="432">
        <v>1</v>
      </c>
      <c r="B90" s="433">
        <f t="shared" si="0"/>
        <v>4.8600000000000003</v>
      </c>
      <c r="C90" s="434">
        <f t="shared" si="1"/>
        <v>23.619600000000002</v>
      </c>
      <c r="D90" s="563">
        <f t="shared" si="2"/>
        <v>114.79125600000002</v>
      </c>
      <c r="E90" s="435">
        <f t="shared" si="3"/>
        <v>557.8855041600001</v>
      </c>
      <c r="F90" s="355">
        <f>'Measurement Data'!$K$27+'Measurement Data'!$K$28*'Chart Data'!B90</f>
        <v>8.1587142315789585</v>
      </c>
      <c r="G90" s="320">
        <f t="shared" si="4"/>
        <v>7.814009908856212</v>
      </c>
      <c r="H90" s="354">
        <f t="shared" si="10"/>
        <v>8.5034185543017049</v>
      </c>
      <c r="I90" s="322"/>
      <c r="J90" s="337">
        <f>'Measurement Data'!$U$30+'Chart Data'!B90*'Measurement Data'!$U$31+'Chart Data'!B90^2*'Measurement Data'!$U$32</f>
        <v>7.422152335072985</v>
      </c>
      <c r="K90" s="332">
        <f t="shared" si="11"/>
        <v>7.4061323265010497</v>
      </c>
      <c r="L90" s="336">
        <f t="shared" si="5"/>
        <v>7.4381723436449203</v>
      </c>
      <c r="M90" s="334"/>
      <c r="N90" s="551">
        <f>'Measurement Data'!$AD$30+B90*'Measurement Data'!$AD$31+B90^2*'Measurement Data'!$AD$32+B90^3*'Measurement Data'!$AD$33</f>
        <v>7.4219563943501061</v>
      </c>
      <c r="O90" s="553">
        <f t="shared" si="6"/>
        <v>7.4107010260997823</v>
      </c>
      <c r="P90" s="552">
        <f t="shared" si="7"/>
        <v>7.4332117626004299</v>
      </c>
      <c r="Q90" s="550"/>
      <c r="R90" s="312">
        <f>SUMPRODUCT(A90:E90,'Measurement Data'!$BI$43:$BM$43)</f>
        <v>7.4374349025458208</v>
      </c>
      <c r="S90" s="308">
        <f t="shared" si="8"/>
        <v>7.4270775374498381</v>
      </c>
      <c r="T90" s="353">
        <f t="shared" si="9"/>
        <v>7.4477922676418036</v>
      </c>
      <c r="U90" s="308"/>
      <c r="V90" s="319">
        <f>SUMPRODUCT($A90:$B90,'Measurement Data'!$K$52:$L$52)</f>
        <v>2.057216630674305E-2</v>
      </c>
      <c r="W90" s="322">
        <f>SUMPRODUCT($A90:$B90,'Measurement Data'!$K$53:$L$53)</f>
        <v>1.2595203861271269E-3</v>
      </c>
      <c r="X90" s="331">
        <f>SUMPRODUCT($A90:$C90,'Measurement Data'!$U$59:$W$59)</f>
        <v>-3.3780679550394598E-5</v>
      </c>
      <c r="Y90" s="332">
        <f>SUMPRODUCT($A90:$C90,'Measurement Data'!$U$60:$W$60)</f>
        <v>3.9214877626800017E-5</v>
      </c>
      <c r="Z90" s="332">
        <f>SUMPRODUCT($A90:$C90,'Measurement Data'!$U$61:$W$61)</f>
        <v>-4.2209098432225002E-6</v>
      </c>
      <c r="AA90" s="570">
        <f>SUMPRODUCT($A90:$D90,'Measurement Data'!$AD$59:$AG$59)</f>
        <v>-1.8926144405780683E-5</v>
      </c>
      <c r="AB90" s="552">
        <f>SUMPRODUCT($A90:$D90,'Measurement Data'!$AD$60:$AG$60)</f>
        <v>1.6253455654893626E-5</v>
      </c>
      <c r="AC90" s="552">
        <f>SUMPRODUCT($A90:$D90,'Measurement Data'!$AD$61:$AG$61)</f>
        <v>2.3325615441081057E-6</v>
      </c>
      <c r="AD90" s="571">
        <f>SUMPRODUCT($A90:$D90,'Measurement Data'!$AD$62:$AG$62)</f>
        <v>-4.8544232498745179E-7</v>
      </c>
      <c r="AE90" s="308">
        <f>SUMPRODUCT(A90:E90,'Measurement Data'!$BG$59:$BK$59)</f>
        <v>1.6597139843940766E-5</v>
      </c>
      <c r="AF90" s="308">
        <f>SUMPRODUCT(A90:E90,'Measurement Data'!$BG$60:$BK$60)</f>
        <v>-7.083858967416078E-5</v>
      </c>
      <c r="AG90" s="308">
        <f>SUMPRODUCT(A90:E90,'Measurement Data'!$BG$61:$BK$61)</f>
        <v>4.3843664167232612E-5</v>
      </c>
      <c r="AH90" s="308">
        <f>SUMPRODUCT(A90:E90,'Measurement Data'!$BG$62:$BK$62)</f>
        <v>-7.7498172541845024E-6</v>
      </c>
      <c r="AI90" s="310">
        <f>SUMPRODUCT(A90:E90,'Measurement Data'!$BG$63:$BK$63)</f>
        <v>4.153835955642173E-7</v>
      </c>
    </row>
    <row r="91" spans="1:35" ht="18" customHeight="1" x14ac:dyDescent="0.2">
      <c r="A91" s="432">
        <v>1</v>
      </c>
      <c r="B91" s="433">
        <f t="shared" si="0"/>
        <v>5.04</v>
      </c>
      <c r="C91" s="434">
        <f t="shared" si="1"/>
        <v>25.401600000000002</v>
      </c>
      <c r="D91" s="563">
        <f t="shared" si="2"/>
        <v>128.02406400000001</v>
      </c>
      <c r="E91" s="435">
        <f t="shared" si="3"/>
        <v>645.24128256000006</v>
      </c>
      <c r="F91" s="355">
        <f>'Measurement Data'!$K$27+'Measurement Data'!$K$28*'Chart Data'!B91</f>
        <v>8.5008055578947488</v>
      </c>
      <c r="G91" s="320">
        <f t="shared" si="4"/>
        <v>8.152460888297691</v>
      </c>
      <c r="H91" s="354">
        <f t="shared" si="10"/>
        <v>8.8491502274918066</v>
      </c>
      <c r="I91" s="322"/>
      <c r="J91" s="337">
        <f>'Measurement Data'!$U$30+'Chart Data'!B91*'Measurement Data'!$U$31+'Chart Data'!B91^2*'Measurement Data'!$U$32</f>
        <v>7.7804331527642727</v>
      </c>
      <c r="K91" s="332">
        <f t="shared" si="11"/>
        <v>7.7645258251868645</v>
      </c>
      <c r="L91" s="336">
        <f t="shared" si="5"/>
        <v>7.7963404803416809</v>
      </c>
      <c r="M91" s="334"/>
      <c r="N91" s="551">
        <f>'Measurement Data'!$AD$30+B91*'Measurement Data'!$AD$31+B91^2*'Measurement Data'!$AD$32+B91^3*'Measurement Data'!$AD$33</f>
        <v>7.7801428161672055</v>
      </c>
      <c r="O91" s="553">
        <f t="shared" si="6"/>
        <v>7.7687012571506076</v>
      </c>
      <c r="P91" s="552">
        <f t="shared" si="7"/>
        <v>7.7915843751838034</v>
      </c>
      <c r="Q91" s="550"/>
      <c r="R91" s="312">
        <f>SUMPRODUCT(A91:E91,'Measurement Data'!$BI$43:$BM$43)</f>
        <v>7.7944490346338737</v>
      </c>
      <c r="S91" s="308">
        <f t="shared" si="8"/>
        <v>7.7842276768634253</v>
      </c>
      <c r="T91" s="353">
        <f t="shared" si="9"/>
        <v>7.8046703924043221</v>
      </c>
      <c r="U91" s="308"/>
      <c r="V91" s="319">
        <f>SUMPRODUCT($A91:$B91,'Measurement Data'!$K$52:$L$52)</f>
        <v>1.7738245437957018E-2</v>
      </c>
      <c r="W91" s="322">
        <f>SUMPRODUCT($A91:$B91,'Measurement Data'!$K$53:$L$53)</f>
        <v>1.8892805791906886E-3</v>
      </c>
      <c r="X91" s="331">
        <f>SUMPRODUCT($A91:$C91,'Measurement Data'!$U$59:$W$59)</f>
        <v>-3.535785117041992E-5</v>
      </c>
      <c r="Y91" s="332">
        <f>SUMPRODUCT($A91:$C91,'Measurement Data'!$U$60:$W$60)</f>
        <v>3.8993248935097061E-5</v>
      </c>
      <c r="Z91" s="332">
        <f>SUMPRODUCT($A91:$C91,'Measurement Data'!$U$61:$W$61)</f>
        <v>-4.1281350420445397E-6</v>
      </c>
      <c r="AA91" s="570">
        <f>SUMPRODUCT($A91:$D91,'Measurement Data'!$AD$59:$AG$59)</f>
        <v>-1.3347035213666814E-5</v>
      </c>
      <c r="AB91" s="552">
        <f>SUMPRODUCT($A91:$D91,'Measurement Data'!$AD$60:$AG$60)</f>
        <v>4.9699942045564223E-6</v>
      </c>
      <c r="AC91" s="552">
        <f>SUMPRODUCT($A91:$D91,'Measurement Data'!$AD$61:$AG$61)</f>
        <v>5.5825190565242854E-6</v>
      </c>
      <c r="AD91" s="571">
        <f>SUMPRODUCT($A91:$D91,'Measurement Data'!$AD$62:$AG$62)</f>
        <v>-7.1930771100509634E-7</v>
      </c>
      <c r="AE91" s="308">
        <f>SUMPRODUCT(A91:E91,'Measurement Data'!$BG$59:$BK$59)</f>
        <v>1.767081850068109E-5</v>
      </c>
      <c r="AF91" s="308">
        <f>SUMPRODUCT(A91:E91,'Measurement Data'!$BG$60:$BK$60)</f>
        <v>-7.1124954190042835E-5</v>
      </c>
      <c r="AG91" s="308">
        <f>SUMPRODUCT(A91:E91,'Measurement Data'!$BG$61:$BK$61)</f>
        <v>4.2449516062088204E-5</v>
      </c>
      <c r="AH91" s="308">
        <f>SUMPRODUCT(A91:E91,'Measurement Data'!$BG$62:$BK$62)</f>
        <v>-7.3150194484917472E-6</v>
      </c>
      <c r="AI91" s="310">
        <f>SUMPRODUCT(A91:E91,'Measurement Data'!$BG$63:$BK$63)</f>
        <v>3.839238504267739E-7</v>
      </c>
    </row>
    <row r="92" spans="1:35" ht="18" customHeight="1" x14ac:dyDescent="0.2">
      <c r="A92" s="432">
        <v>1</v>
      </c>
      <c r="B92" s="433">
        <f t="shared" si="0"/>
        <v>5.22</v>
      </c>
      <c r="C92" s="434">
        <f t="shared" si="1"/>
        <v>27.248399999999997</v>
      </c>
      <c r="D92" s="563">
        <f t="shared" si="2"/>
        <v>142.23664799999997</v>
      </c>
      <c r="E92" s="435">
        <f t="shared" si="3"/>
        <v>742.47530255999982</v>
      </c>
      <c r="F92" s="355">
        <f>'Measurement Data'!$K$27+'Measurement Data'!$K$28*'Chart Data'!B92</f>
        <v>8.8428968842105373</v>
      </c>
      <c r="G92" s="320">
        <f t="shared" si="4"/>
        <v>8.4895187254870628</v>
      </c>
      <c r="H92" s="354">
        <f t="shared" si="10"/>
        <v>9.1962750429340119</v>
      </c>
      <c r="I92" s="322"/>
      <c r="J92" s="337">
        <f>'Measurement Data'!$U$30+'Chart Data'!B92*'Measurement Data'!$U$31+'Chart Data'!B92^2*'Measurement Data'!$U$32</f>
        <v>8.1451897670057569</v>
      </c>
      <c r="K92" s="332">
        <f t="shared" si="11"/>
        <v>8.1294343435488603</v>
      </c>
      <c r="L92" s="336">
        <f t="shared" si="5"/>
        <v>8.1609451904626535</v>
      </c>
      <c r="M92" s="334"/>
      <c r="N92" s="551">
        <f>'Measurement Data'!$AD$30+B92*'Measurement Data'!$AD$31+B92^2*'Measurement Data'!$AD$32+B92^3*'Measurement Data'!$AD$33</f>
        <v>8.1448093239187962</v>
      </c>
      <c r="O92" s="553">
        <f t="shared" si="6"/>
        <v>8.1331285999926681</v>
      </c>
      <c r="P92" s="552">
        <f t="shared" si="7"/>
        <v>8.1564900478449243</v>
      </c>
      <c r="Q92" s="550"/>
      <c r="R92" s="312">
        <f>SUMPRODUCT(A92:E92,'Measurement Data'!$BI$43:$BM$43)</f>
        <v>8.1575084854694087</v>
      </c>
      <c r="S92" s="308">
        <f t="shared" si="8"/>
        <v>8.147450938816089</v>
      </c>
      <c r="T92" s="353">
        <f t="shared" si="9"/>
        <v>8.1675660321227284</v>
      </c>
      <c r="U92" s="308"/>
      <c r="V92" s="319">
        <f>SUMPRODUCT($A92:$B92,'Measurement Data'!$K$52:$L$52)</f>
        <v>1.4904324569170999E-2</v>
      </c>
      <c r="W92" s="322">
        <f>SUMPRODUCT($A92:$B92,'Measurement Data'!$K$53:$L$53)</f>
        <v>2.5190407722542503E-3</v>
      </c>
      <c r="X92" s="331">
        <f>SUMPRODUCT($A92:$C92,'Measurement Data'!$U$59:$W$59)</f>
        <v>-3.64618713044377E-5</v>
      </c>
      <c r="Y92" s="332">
        <f>SUMPRODUCT($A92:$C92,'Measurement Data'!$U$60:$W$60)</f>
        <v>3.8437630959153521E-5</v>
      </c>
      <c r="Z92" s="332">
        <f>SUMPRODUCT($A92:$C92,'Measurement Data'!$U$61:$W$61)</f>
        <v>-3.9982503203953981E-6</v>
      </c>
      <c r="AA92" s="570">
        <f>SUMPRODUCT($A92:$D92,'Measurement Data'!$AD$59:$AG$59)</f>
        <v>-7.6199586477469555E-6</v>
      </c>
      <c r="AB92" s="552">
        <f>SUMPRODUCT($A92:$D92,'Measurement Data'!$AD$60:$AG$60)</f>
        <v>-6.1448026572389876E-6</v>
      </c>
      <c r="AC92" s="552">
        <f>SUMPRODUCT($A92:$D92,'Measurement Data'!$AD$61:$AG$61)</f>
        <v>8.7261229104990232E-6</v>
      </c>
      <c r="AD92" s="571">
        <f>SUMPRODUCT($A92:$D92,'Measurement Data'!$AD$62:$AG$62)</f>
        <v>-9.4254616525143786E-7</v>
      </c>
      <c r="AE92" s="308">
        <f>SUMPRODUCT(A92:E92,'Measurement Data'!$BG$59:$BK$59)</f>
        <v>1.8062630242144718E-5</v>
      </c>
      <c r="AF92" s="308">
        <f>SUMPRODUCT(A92:E92,'Measurement Data'!$BG$60:$BK$60)</f>
        <v>-6.907009031057571E-5</v>
      </c>
      <c r="AG92" s="308">
        <f>SUMPRODUCT(A92:E92,'Measurement Data'!$BG$61:$BK$61)</f>
        <v>3.980091018666095E-5</v>
      </c>
      <c r="AH92" s="308">
        <f>SUMPRODUCT(A92:E92,'Measurement Data'!$BG$62:$BK$62)</f>
        <v>-6.6642326423701603E-6</v>
      </c>
      <c r="AI92" s="310">
        <f>SUMPRODUCT(A92:E92,'Measurement Data'!$BG$63:$BK$63)</f>
        <v>3.4079662705882551E-7</v>
      </c>
    </row>
    <row r="93" spans="1:35" ht="18" customHeight="1" x14ac:dyDescent="0.2">
      <c r="A93" s="432">
        <v>1</v>
      </c>
      <c r="B93" s="433">
        <f t="shared" si="0"/>
        <v>5.3999999999999995</v>
      </c>
      <c r="C93" s="434">
        <f t="shared" si="1"/>
        <v>29.159999999999993</v>
      </c>
      <c r="D93" s="563">
        <f t="shared" si="2"/>
        <v>157.46399999999994</v>
      </c>
      <c r="E93" s="435">
        <f t="shared" si="3"/>
        <v>850.30559999999957</v>
      </c>
      <c r="F93" s="355">
        <f>'Measurement Data'!$K$27+'Measurement Data'!$K$28*'Chart Data'!B93</f>
        <v>9.1849882105263276</v>
      </c>
      <c r="G93" s="320">
        <f t="shared" si="4"/>
        <v>8.8252418932664032</v>
      </c>
      <c r="H93" s="354">
        <f t="shared" si="10"/>
        <v>9.5447345277862521</v>
      </c>
      <c r="I93" s="322"/>
      <c r="J93" s="337">
        <f>'Measurement Data'!$U$30+'Chart Data'!B93*'Measurement Data'!$U$31+'Chart Data'!B93^2*'Measurement Data'!$U$32</f>
        <v>8.5164221777974412</v>
      </c>
      <c r="K93" s="332">
        <f t="shared" si="11"/>
        <v>8.5008517407183017</v>
      </c>
      <c r="L93" s="336">
        <f t="shared" si="5"/>
        <v>8.5319926148765806</v>
      </c>
      <c r="M93" s="334"/>
      <c r="N93" s="551">
        <f>'Measurement Data'!$AD$30+B93*'Measurement Data'!$AD$31+B93^2*'Measurement Data'!$AD$32+B93^3*'Measurement Data'!$AD$33</f>
        <v>8.5159573473996435</v>
      </c>
      <c r="O93" s="553">
        <f t="shared" si="6"/>
        <v>8.5040028787635684</v>
      </c>
      <c r="P93" s="552">
        <f t="shared" si="7"/>
        <v>8.5279118160357186</v>
      </c>
      <c r="Q93" s="550"/>
      <c r="R93" s="312">
        <f>SUMPRODUCT(A93:E93,'Measurement Data'!$BI$43:$BM$43)</f>
        <v>8.5266488335519419</v>
      </c>
      <c r="S93" s="308">
        <f t="shared" si="8"/>
        <v>8.5167576896444164</v>
      </c>
      <c r="T93" s="353">
        <f t="shared" si="9"/>
        <v>8.5365399774594675</v>
      </c>
      <c r="U93" s="308"/>
      <c r="V93" s="319">
        <f>SUMPRODUCT($A93:$B93,'Measurement Data'!$K$52:$L$52)</f>
        <v>1.2070403700384966E-2</v>
      </c>
      <c r="W93" s="322">
        <f>SUMPRODUCT($A93:$B93,'Measurement Data'!$K$53:$L$53)</f>
        <v>3.148800965317812E-3</v>
      </c>
      <c r="X93" s="331">
        <f>SUMPRODUCT($A93:$C93,'Measurement Data'!$U$59:$W$59)</f>
        <v>-3.7092739952447829E-5</v>
      </c>
      <c r="Y93" s="332">
        <f>SUMPRODUCT($A93:$C93,'Measurement Data'!$U$60:$W$60)</f>
        <v>3.7548023698969315E-5</v>
      </c>
      <c r="Z93" s="332">
        <f>SUMPRODUCT($A93:$C93,'Measurement Data'!$U$61:$W$61)</f>
        <v>-3.8312556782750651E-6</v>
      </c>
      <c r="AA93" s="570">
        <f>SUMPRODUCT($A93:$D93,'Measurement Data'!$AD$59:$AG$59)</f>
        <v>-1.8533094120884094E-6</v>
      </c>
      <c r="AB93" s="552">
        <f>SUMPRODUCT($A93:$D93,'Measurement Data'!$AD$60:$AG$60)</f>
        <v>-1.6923383639565496E-5</v>
      </c>
      <c r="AC93" s="552">
        <f>SUMPRODUCT($A93:$D93,'Measurement Data'!$AD$61:$AG$61)</f>
        <v>1.1715551913061726E-5</v>
      </c>
      <c r="AD93" s="571">
        <f>SUMPRODUCT($A93:$D93,'Measurement Data'!$AD$62:$AG$62)</f>
        <v>-1.151615377136055E-6</v>
      </c>
      <c r="AE93" s="308">
        <f>SUMPRODUCT(A93:E93,'Measurement Data'!$BG$59:$BK$59)</f>
        <v>1.7771727224139499E-5</v>
      </c>
      <c r="AF93" s="308">
        <f>SUMPRODUCT(A93:E93,'Measurement Data'!$BG$60:$BK$60)</f>
        <v>-6.4756245329639214E-5</v>
      </c>
      <c r="AG93" s="308">
        <f>SUMPRODUCT(A93:E93,'Measurement Data'!$BG$61:$BK$61)</f>
        <v>3.5964796619863374E-5</v>
      </c>
      <c r="AH93" s="308">
        <f>SUMPRODUCT(A93:E93,'Measurement Data'!$BG$62:$BK$62)</f>
        <v>-5.8119609285672022E-6</v>
      </c>
      <c r="AI93" s="310">
        <f>SUMPRODUCT(A93:E93,'Measurement Data'!$BG$63:$BK$63)</f>
        <v>2.8691834528485433E-7</v>
      </c>
    </row>
    <row r="94" spans="1:35" ht="18" customHeight="1" x14ac:dyDescent="0.2">
      <c r="A94" s="432">
        <v>1</v>
      </c>
      <c r="B94" s="433">
        <f t="shared" si="0"/>
        <v>5.5799999999999992</v>
      </c>
      <c r="C94" s="434">
        <f t="shared" si="1"/>
        <v>31.136399999999991</v>
      </c>
      <c r="D94" s="563">
        <f t="shared" si="2"/>
        <v>173.74111199999993</v>
      </c>
      <c r="E94" s="435">
        <f t="shared" si="3"/>
        <v>969.47540495999942</v>
      </c>
      <c r="F94" s="355">
        <f>'Measurement Data'!$K$27+'Measurement Data'!$K$28*'Chart Data'!B94</f>
        <v>9.5270795368421162</v>
      </c>
      <c r="G94" s="320">
        <f t="shared" si="4"/>
        <v>9.1596997905379176</v>
      </c>
      <c r="H94" s="354">
        <f t="shared" si="10"/>
        <v>9.8944592831463147</v>
      </c>
      <c r="I94" s="322"/>
      <c r="J94" s="337">
        <f>'Measurement Data'!$U$30+'Chart Data'!B94*'Measurement Data'!$U$31+'Chart Data'!B94^2*'Measurement Data'!$U$32</f>
        <v>8.8941303851393236</v>
      </c>
      <c r="K94" s="332">
        <f t="shared" si="11"/>
        <v>8.8787697118987143</v>
      </c>
      <c r="L94" s="336">
        <f t="shared" si="5"/>
        <v>8.9094910583799329</v>
      </c>
      <c r="M94" s="334"/>
      <c r="N94" s="551">
        <f>'Measurement Data'!$AD$30+B94*'Measurement Data'!$AD$31+B94^2*'Measurement Data'!$AD$32+B94^3*'Measurement Data'!$AD$33</f>
        <v>8.8935883164045109</v>
      </c>
      <c r="O94" s="553">
        <f t="shared" si="6"/>
        <v>8.8813456507770798</v>
      </c>
      <c r="P94" s="552">
        <f t="shared" si="7"/>
        <v>8.9058309820319419</v>
      </c>
      <c r="Q94" s="550"/>
      <c r="R94" s="312">
        <f>SUMPRODUCT(A94:E94,'Measurement Data'!$BI$43:$BM$43)</f>
        <v>8.901915414153768</v>
      </c>
      <c r="S94" s="308">
        <f t="shared" si="8"/>
        <v>8.8921636781405411</v>
      </c>
      <c r="T94" s="353">
        <f t="shared" si="9"/>
        <v>8.9116671501669948</v>
      </c>
      <c r="U94" s="308"/>
      <c r="V94" s="319">
        <f>SUMPRODUCT($A94:$B94,'Measurement Data'!$K$52:$L$52)</f>
        <v>9.2364828315989467E-3</v>
      </c>
      <c r="W94" s="322">
        <f>SUMPRODUCT($A94:$B94,'Measurement Data'!$K$53:$L$53)</f>
        <v>3.7785611583813737E-3</v>
      </c>
      <c r="X94" s="331">
        <f>SUMPRODUCT($A94:$C94,'Measurement Data'!$U$59:$W$59)</f>
        <v>-3.7250457114450361E-5</v>
      </c>
      <c r="Y94" s="332">
        <f>SUMPRODUCT($A94:$C94,'Measurement Data'!$U$60:$W$60)</f>
        <v>3.6324427154544388E-5</v>
      </c>
      <c r="Z94" s="332">
        <f>SUMPRODUCT($A94:$C94,'Measurement Data'!$U$61:$W$61)</f>
        <v>-3.6271511156835526E-6</v>
      </c>
      <c r="AA94" s="570">
        <f>SUMPRODUCT($A94:$D94,'Measurement Data'!$AD$59:$AG$59)</f>
        <v>3.8445177892417392E-6</v>
      </c>
      <c r="AB94" s="552">
        <f>SUMPRODUCT($A94:$D94,'Measurement Data'!$AD$60:$AG$60)</f>
        <v>-2.7198197451495454E-5</v>
      </c>
      <c r="AC94" s="552">
        <f>SUMPRODUCT($A94:$D94,'Measurement Data'!$AD$61:$AG$61)</f>
        <v>1.4502984871241396E-5</v>
      </c>
      <c r="AD94" s="571">
        <f>SUMPRODUCT($A94:$D94,'Measurement Data'!$AD$62:$AG$62)</f>
        <v>-1.3429730360685196E-6</v>
      </c>
      <c r="AE94" s="308">
        <f>SUMPRODUCT(A94:E94,'Measurement Data'!$BG$59:$BK$59)</f>
        <v>1.6814430447348858E-5</v>
      </c>
      <c r="AF94" s="308">
        <f>SUMPRODUCT(A94:E94,'Measurement Data'!$BG$60:$BK$60)</f>
        <v>-5.8316078982683555E-5</v>
      </c>
      <c r="AG94" s="308">
        <f>SUMPRODUCT(A94:E94,'Measurement Data'!$BG$61:$BK$61)</f>
        <v>3.1034935396081868E-5</v>
      </c>
      <c r="AH94" s="308">
        <f>SUMPRODUCT(A94:E94,'Measurement Data'!$BG$62:$BK$62)</f>
        <v>-4.7774214160698717E-6</v>
      </c>
      <c r="AI94" s="310">
        <f>SUMPRODUCT(A94:E94,'Measurement Data'!$BG$63:$BK$63)</f>
        <v>2.2346725916487707E-7</v>
      </c>
    </row>
    <row r="95" spans="1:35" ht="18" customHeight="1" x14ac:dyDescent="0.2">
      <c r="A95" s="432">
        <v>1</v>
      </c>
      <c r="B95" s="433">
        <f t="shared" si="0"/>
        <v>5.7599999999999989</v>
      </c>
      <c r="C95" s="434">
        <f t="shared" si="1"/>
        <v>33.177599999999984</v>
      </c>
      <c r="D95" s="563">
        <f t="shared" si="2"/>
        <v>191.10297599999987</v>
      </c>
      <c r="E95" s="435">
        <f t="shared" si="3"/>
        <v>1100.7531417599989</v>
      </c>
      <c r="F95" s="355">
        <f>'Measurement Data'!$K$27+'Measurement Data'!$K$28*'Chart Data'!B95</f>
        <v>9.8691708631579065</v>
      </c>
      <c r="G95" s="320">
        <f t="shared" si="4"/>
        <v>9.4929694294815192</v>
      </c>
      <c r="H95" s="354">
        <f t="shared" si="10"/>
        <v>10.245372296834294</v>
      </c>
      <c r="I95" s="322"/>
      <c r="J95" s="337">
        <f>'Measurement Data'!$U$30+'Chart Data'!B95*'Measurement Data'!$U$31+'Chart Data'!B95^2*'Measurement Data'!$U$32</f>
        <v>9.2783143890314044</v>
      </c>
      <c r="K95" s="332">
        <f t="shared" si="11"/>
        <v>9.2631775033510255</v>
      </c>
      <c r="L95" s="336">
        <f t="shared" si="5"/>
        <v>9.2934512747117832</v>
      </c>
      <c r="M95" s="334"/>
      <c r="N95" s="551">
        <f>'Measurement Data'!$AD$30+B95*'Measurement Data'!$AD$31+B95^2*'Measurement Data'!$AD$32+B95^3*'Measurement Data'!$AD$33</f>
        <v>9.2777036607281627</v>
      </c>
      <c r="O95" s="553">
        <f t="shared" si="6"/>
        <v>9.2651786877672784</v>
      </c>
      <c r="P95" s="552">
        <f t="shared" si="7"/>
        <v>9.2902286336890469</v>
      </c>
      <c r="Q95" s="550"/>
      <c r="R95" s="312">
        <f>SUMPRODUCT(A95:E95,'Measurement Data'!$BI$43:$BM$43)</f>
        <v>9.2833633193199709</v>
      </c>
      <c r="S95" s="308">
        <f t="shared" si="8"/>
        <v>9.2736934311252135</v>
      </c>
      <c r="T95" s="353">
        <f t="shared" si="9"/>
        <v>9.2930332075147284</v>
      </c>
      <c r="U95" s="308"/>
      <c r="V95" s="319">
        <f>SUMPRODUCT($A95:$B95,'Measurement Data'!$K$52:$L$52)</f>
        <v>6.4025619628129138E-3</v>
      </c>
      <c r="W95" s="322">
        <f>SUMPRODUCT($A95:$B95,'Measurement Data'!$K$53:$L$53)</f>
        <v>4.4083213514449354E-3</v>
      </c>
      <c r="X95" s="331">
        <f>SUMPRODUCT($A95:$C95,'Measurement Data'!$U$59:$W$59)</f>
        <v>-3.6935022790445324E-5</v>
      </c>
      <c r="Y95" s="332">
        <f>SUMPRODUCT($A95:$C95,'Measurement Data'!$U$60:$W$60)</f>
        <v>3.4766841325878877E-5</v>
      </c>
      <c r="Z95" s="332">
        <f>SUMPRODUCT($A95:$C95,'Measurement Data'!$U$61:$W$61)</f>
        <v>-3.3859366326208539E-6</v>
      </c>
      <c r="AA95" s="570">
        <f>SUMPRODUCT($A95:$D95,'Measurement Data'!$AD$59:$AG$59)</f>
        <v>9.3651282521766766E-6</v>
      </c>
      <c r="AB95" s="552">
        <f>SUMPRODUCT($A95:$D95,'Measurement Data'!$AD$60:$AG$60)</f>
        <v>-3.6801692802102188E-5</v>
      </c>
      <c r="AC95" s="552">
        <f>SUMPRODUCT($A95:$D95,'Measurement Data'!$AD$61:$AG$61)</f>
        <v>1.7040600592067357E-5</v>
      </c>
      <c r="AD95" s="571">
        <f>SUMPRODUCT($A95:$D95,'Measurement Data'!$AD$62:$AG$62)</f>
        <v>-1.5130768314583984E-6</v>
      </c>
      <c r="AE95" s="308">
        <f>SUMPRODUCT(A95:E95,'Measurement Data'!$BG$59:$BK$59)</f>
        <v>1.5224229757331963E-5</v>
      </c>
      <c r="AF95" s="308">
        <f>SUMPRODUCT(A95:E95,'Measurement Data'!$BG$60:$BK$60)</f>
        <v>-4.9932663446726304E-5</v>
      </c>
      <c r="AG95" s="308">
        <f>SUMPRODUCT(A95:E95,'Measurement Data'!$BG$61:$BK$61)</f>
        <v>2.5131896505183743E-5</v>
      </c>
      <c r="AH95" s="308">
        <f>SUMPRODUCT(A95:E95,'Measurement Data'!$BG$62:$BK$62)</f>
        <v>-3.5845442301060204E-6</v>
      </c>
      <c r="AI95" s="310">
        <f>SUMPRODUCT(A95:E95,'Measurement Data'!$BG$63:$BK$63)</f>
        <v>1.518834569945E-7</v>
      </c>
    </row>
    <row r="96" spans="1:35" ht="18" customHeight="1" x14ac:dyDescent="0.2">
      <c r="A96" s="432">
        <v>1</v>
      </c>
      <c r="B96" s="433">
        <f t="shared" ref="B96:B112" si="12">B95+0.02*($A$7-$B$63)</f>
        <v>5.9399999999999986</v>
      </c>
      <c r="C96" s="434">
        <f t="shared" si="1"/>
        <v>35.283599999999986</v>
      </c>
      <c r="D96" s="563">
        <f t="shared" si="2"/>
        <v>209.58458399999986</v>
      </c>
      <c r="E96" s="435">
        <f t="shared" si="3"/>
        <v>1244.932428959999</v>
      </c>
      <c r="F96" s="355">
        <f>'Measurement Data'!$K$27+'Measurement Data'!$K$28*'Chart Data'!B96</f>
        <v>10.211262189473695</v>
      </c>
      <c r="G96" s="320">
        <f t="shared" si="4"/>
        <v>9.8251322438608515</v>
      </c>
      <c r="H96" s="354">
        <f t="shared" si="10"/>
        <v>10.597392135086539</v>
      </c>
      <c r="I96" s="322"/>
      <c r="J96" s="337">
        <f>'Measurement Data'!$U$30+'Chart Data'!B96*'Measurement Data'!$U$31+'Chart Data'!B96^2*'Measurement Data'!$U$32</f>
        <v>9.6689741894736869</v>
      </c>
      <c r="K96" s="332">
        <f t="shared" si="11"/>
        <v>9.6540616090821025</v>
      </c>
      <c r="L96" s="336">
        <f t="shared" si="5"/>
        <v>9.6838867698652713</v>
      </c>
      <c r="M96" s="334"/>
      <c r="N96" s="551">
        <f>'Measurement Data'!$AD$30+B96*'Measurement Data'!$AD$31+B96^2*'Measurement Data'!$AD$32+B96^3*'Measurement Data'!$AD$33</f>
        <v>9.668304810165365</v>
      </c>
      <c r="O96" s="553">
        <f t="shared" si="6"/>
        <v>9.6555227484070514</v>
      </c>
      <c r="P96" s="552">
        <f t="shared" si="7"/>
        <v>9.6810868719236787</v>
      </c>
      <c r="Q96" s="550"/>
      <c r="R96" s="312">
        <f>SUMPRODUCT(A96:E96,'Measurement Data'!$BI$43:$BM$43)</f>
        <v>9.6710573978684202</v>
      </c>
      <c r="S96" s="308">
        <f t="shared" si="8"/>
        <v>9.6613851356463076</v>
      </c>
      <c r="T96" s="353">
        <f t="shared" si="9"/>
        <v>9.6807296600905328</v>
      </c>
      <c r="U96" s="308"/>
      <c r="V96" s="319">
        <f>SUMPRODUCT($A96:$B96,'Measurement Data'!$K$52:$L$52)</f>
        <v>3.5686410940268948E-3</v>
      </c>
      <c r="W96" s="322">
        <f>SUMPRODUCT($A96:$B96,'Measurement Data'!$K$53:$L$53)</f>
        <v>5.0380815445084971E-3</v>
      </c>
      <c r="X96" s="331">
        <f>SUMPRODUCT($A96:$C96,'Measurement Data'!$U$59:$W$59)</f>
        <v>-3.6146436980432608E-5</v>
      </c>
      <c r="Y96" s="332">
        <f>SUMPRODUCT($A96:$C96,'Measurement Data'!$U$60:$W$60)</f>
        <v>3.2875266212972645E-5</v>
      </c>
      <c r="Z96" s="332">
        <f>SUMPRODUCT($A96:$C96,'Measurement Data'!$U$61:$W$61)</f>
        <v>-3.107612229086969E-6</v>
      </c>
      <c r="AA96" s="570">
        <f>SUMPRODUCT($A96:$D96,'Measurement Data'!$AD$59:$AG$59)</f>
        <v>1.4600127272648721E-5</v>
      </c>
      <c r="AB96" s="552">
        <f>SUMPRODUCT($A96:$D96,'Measurement Data'!$AD$60:$AG$60)</f>
        <v>-4.5566318400457832E-5</v>
      </c>
      <c r="AC96" s="552">
        <f>SUMPRODUCT($A96:$D96,'Measurement Data'!$AD$61:$AG$61)</f>
        <v>1.9280577882568937E-5</v>
      </c>
      <c r="AD96" s="571">
        <f>SUMPRODUCT($A96:$D96,'Measurement Data'!$AD$62:$AG$62)</f>
        <v>-1.6583844527152583E-6</v>
      </c>
      <c r="AE96" s="308">
        <f>SUMPRODUCT(A96:E96,'Measurement Data'!$BG$59:$BK$59)</f>
        <v>1.3051783844521443E-5</v>
      </c>
      <c r="AF96" s="308">
        <f>SUMPRODUCT(A96:E96,'Measurement Data'!$BG$60:$BK$60)</f>
        <v>-3.9839483340350663E-5</v>
      </c>
      <c r="AG96" s="308">
        <f>SUMPRODUCT(A96:E96,'Measurement Data'!$BG$61:$BK$61)</f>
        <v>1.8403059892511692E-5</v>
      </c>
      <c r="AH96" s="308">
        <f>SUMPRODUCT(A96:E96,'Measurement Data'!$BG$62:$BK$62)</f>
        <v>-2.2619725121430655E-6</v>
      </c>
      <c r="AI96" s="310">
        <f>SUMPRODUCT(A96:E96,'Measurement Data'!$BG$63:$BK$63)</f>
        <v>7.3868861304878349E-8</v>
      </c>
    </row>
    <row r="97" spans="1:35" ht="18" customHeight="1" x14ac:dyDescent="0.2">
      <c r="A97" s="432">
        <v>1</v>
      </c>
      <c r="B97" s="433">
        <f t="shared" si="12"/>
        <v>6.1199999999999983</v>
      </c>
      <c r="C97" s="434">
        <f t="shared" si="1"/>
        <v>37.454399999999978</v>
      </c>
      <c r="D97" s="563">
        <f t="shared" si="2"/>
        <v>229.22092799999982</v>
      </c>
      <c r="E97" s="435">
        <f t="shared" si="3"/>
        <v>1402.8320793599985</v>
      </c>
      <c r="F97" s="355">
        <f>'Measurement Data'!$K$27+'Measurement Data'!$K$28*'Chart Data'!B97</f>
        <v>10.553353515789484</v>
      </c>
      <c r="G97" s="320">
        <f t="shared" si="4"/>
        <v>10.156271249009714</v>
      </c>
      <c r="H97" s="354">
        <f t="shared" si="10"/>
        <v>10.950435782569253</v>
      </c>
      <c r="I97" s="322"/>
      <c r="J97" s="337">
        <f>'Measurement Data'!$U$30+'Chart Data'!B97*'Measurement Data'!$U$31+'Chart Data'!B97^2*'Measurement Data'!$U$32</f>
        <v>10.066109786466166</v>
      </c>
      <c r="K97" s="332">
        <f t="shared" si="11"/>
        <v>10.051405507264347</v>
      </c>
      <c r="L97" s="336">
        <f t="shared" si="5"/>
        <v>10.080814065667985</v>
      </c>
      <c r="M97" s="334"/>
      <c r="N97" s="551">
        <f>'Measurement Data'!$AD$30+B97*'Measurement Data'!$AD$31+B97^2*'Measurement Data'!$AD$32+B97^3*'Measurement Data'!$AD$33</f>
        <v>10.065393194510882</v>
      </c>
      <c r="O97" s="553">
        <f t="shared" si="6"/>
        <v>10.052396590750424</v>
      </c>
      <c r="P97" s="552">
        <f t="shared" si="7"/>
        <v>10.07838979827134</v>
      </c>
      <c r="Q97" s="550"/>
      <c r="R97" s="312">
        <f>SUMPRODUCT(A97:E97,'Measurement Data'!$BI$43:$BM$43)</f>
        <v>10.065072255389758</v>
      </c>
      <c r="S97" s="308">
        <f t="shared" si="8"/>
        <v>10.055296234733042</v>
      </c>
      <c r="T97" s="353">
        <f t="shared" si="9"/>
        <v>10.074848276046474</v>
      </c>
      <c r="U97" s="308"/>
      <c r="V97" s="319">
        <f>SUMPRODUCT($A97:$B97,'Measurement Data'!$K$52:$L$52)</f>
        <v>7.3472022524087577E-4</v>
      </c>
      <c r="W97" s="322">
        <f>SUMPRODUCT($A97:$B97,'Measurement Data'!$K$53:$L$53)</f>
        <v>5.6678417375720588E-3</v>
      </c>
      <c r="X97" s="331">
        <f>SUMPRODUCT($A97:$C97,'Measurement Data'!$U$59:$W$59)</f>
        <v>-3.4884699684412405E-5</v>
      </c>
      <c r="Y97" s="332">
        <f>SUMPRODUCT($A97:$C97,'Measurement Data'!$U$60:$W$60)</f>
        <v>3.0649701815825748E-5</v>
      </c>
      <c r="Z97" s="332">
        <f>SUMPRODUCT($A97:$C97,'Measurement Data'!$U$61:$W$61)</f>
        <v>-2.7921779050819046E-6</v>
      </c>
      <c r="AA97" s="570">
        <f>SUMPRODUCT($A97:$D97,'Measurement Data'!$AD$59:$AG$59)</f>
        <v>1.944112014659106E-5</v>
      </c>
      <c r="AB97" s="552">
        <f>SUMPRODUCT($A97:$D97,'Measurement Data'!$AD$60:$AG$60)</f>
        <v>-5.3324522955634735E-5</v>
      </c>
      <c r="AC97" s="552">
        <f>SUMPRODUCT($A97:$D97,'Measurement Data'!$AD$61:$AG$61)</f>
        <v>2.1175095549775028E-5</v>
      </c>
      <c r="AD97" s="571">
        <f>SUMPRODUCT($A97:$D97,'Measurement Data'!$AD$62:$AG$62)</f>
        <v>-1.7753535892486695E-6</v>
      </c>
      <c r="AE97" s="308">
        <f>SUMPRODUCT(A97:E97,'Measurement Data'!$BG$59:$BK$59)</f>
        <v>1.0364920244224042E-5</v>
      </c>
      <c r="AF97" s="308">
        <f>SUMPRODUCT(A97:E97,'Measurement Data'!$BG$60:$BK$60)</f>
        <v>-2.83204357237124E-5</v>
      </c>
      <c r="AG97" s="308">
        <f>SUMPRODUCT(A97:E97,'Measurement Data'!$BG$61:$BK$61)</f>
        <v>1.1022615458884015E-5</v>
      </c>
      <c r="AH97" s="308">
        <f>SUMPRODUCT(A97:E97,'Measurement Data'!$BG$62:$BK$62)</f>
        <v>-8.4306241988869402E-7</v>
      </c>
      <c r="AI97" s="310">
        <f>SUMPRODUCT(A97:E97,'Measurement Data'!$BG$63:$BK$63)</f>
        <v>-8.6127711372651456E-9</v>
      </c>
    </row>
    <row r="98" spans="1:35" ht="18" customHeight="1" x14ac:dyDescent="0.2">
      <c r="A98" s="432">
        <v>1</v>
      </c>
      <c r="B98" s="433">
        <f t="shared" si="12"/>
        <v>6.299999999999998</v>
      </c>
      <c r="C98" s="434">
        <f t="shared" si="1"/>
        <v>39.689999999999976</v>
      </c>
      <c r="D98" s="563">
        <f t="shared" si="2"/>
        <v>250.04699999999977</v>
      </c>
      <c r="E98" s="435">
        <f t="shared" si="3"/>
        <v>1575.2960999999982</v>
      </c>
      <c r="F98" s="355">
        <f>'Measurement Data'!$K$27+'Measurement Data'!$K$28*'Chart Data'!B98</f>
        <v>10.895444842105274</v>
      </c>
      <c r="G98" s="320">
        <f t="shared" si="4"/>
        <v>10.486468689039945</v>
      </c>
      <c r="H98" s="354">
        <f t="shared" si="10"/>
        <v>11.304420995170602</v>
      </c>
      <c r="I98" s="322"/>
      <c r="J98" s="337">
        <f>'Measurement Data'!$U$30+'Chart Data'!B98*'Measurement Data'!$U$31+'Chart Data'!B98^2*'Measurement Data'!$U$32</f>
        <v>10.469721180008845</v>
      </c>
      <c r="K98" s="332">
        <f t="shared" si="11"/>
        <v>10.45518953265932</v>
      </c>
      <c r="L98" s="336">
        <f t="shared" si="5"/>
        <v>10.48425282735837</v>
      </c>
      <c r="M98" s="334"/>
      <c r="N98" s="551">
        <f>'Measurement Data'!$AD$30+B98*'Measurement Data'!$AD$31+B98^2*'Measurement Data'!$AD$32+B98^3*'Measurement Data'!$AD$33</f>
        <v>10.468970243559482</v>
      </c>
      <c r="O98" s="553">
        <f t="shared" si="6"/>
        <v>10.455816094512967</v>
      </c>
      <c r="P98" s="552">
        <f t="shared" si="7"/>
        <v>10.482124392605998</v>
      </c>
      <c r="Q98" s="550"/>
      <c r="R98" s="312">
        <f>SUMPRODUCT(A98:E98,'Measurement Data'!$BI$43:$BM$43)</f>
        <v>10.465492254247428</v>
      </c>
      <c r="S98" s="308">
        <f t="shared" si="8"/>
        <v>10.45550807571207</v>
      </c>
      <c r="T98" s="353">
        <f t="shared" si="9"/>
        <v>10.475476432782786</v>
      </c>
      <c r="U98" s="308"/>
      <c r="V98" s="319">
        <f>SUMPRODUCT($A98:$B98,'Measurement Data'!$K$52:$L$52)</f>
        <v>-2.0992006435451571E-3</v>
      </c>
      <c r="W98" s="322">
        <f>SUMPRODUCT($A98:$B98,'Measurement Data'!$K$53:$L$53)</f>
        <v>6.2976019306356205E-3</v>
      </c>
      <c r="X98" s="331">
        <f>SUMPRODUCT($A98:$C98,'Measurement Data'!$U$59:$W$59)</f>
        <v>-3.314981090238447E-5</v>
      </c>
      <c r="Y98" s="332">
        <f>SUMPRODUCT($A98:$C98,'Measurement Data'!$U$60:$W$60)</f>
        <v>2.8090148134438239E-5</v>
      </c>
      <c r="Z98" s="332">
        <f>SUMPRODUCT($A98:$C98,'Measurement Data'!$U$61:$W$61)</f>
        <v>-2.439633660605654E-6</v>
      </c>
      <c r="AA98" s="570">
        <f>SUMPRODUCT($A98:$D98,'Measurement Data'!$AD$59:$AG$59)</f>
        <v>2.3779712169935902E-5</v>
      </c>
      <c r="AB98" s="552">
        <f>SUMPRODUCT($A98:$D98,'Measurement Data'!$AD$60:$AG$60)</f>
        <v>-5.9908755176705684E-5</v>
      </c>
      <c r="AC98" s="552">
        <f>SUMPRODUCT($A98:$D98,'Measurement Data'!$AD$61:$AG$61)</f>
        <v>2.2676332400715037E-5</v>
      </c>
      <c r="AD98" s="571">
        <f>SUMPRODUCT($A98:$D98,'Measurement Data'!$AD$62:$AG$62)</f>
        <v>-1.8604419304682054E-6</v>
      </c>
      <c r="AE98" s="308">
        <f>SUMPRODUCT(A98:E98,'Measurement Data'!$BG$59:$BK$59)</f>
        <v>7.2486353366243029E-6</v>
      </c>
      <c r="AF98" s="308">
        <f>SUMPRODUCT(A98:E98,'Measurement Data'!$BG$60:$BK$60)</f>
        <v>-1.5709830098533783E-5</v>
      </c>
      <c r="AG98" s="308">
        <f>SUMPRODUCT(A98:E98,'Measurement Data'!$BG$61:$BK$61)</f>
        <v>3.1915630605975406E-6</v>
      </c>
      <c r="AH98" s="308">
        <f>SUMPRODUCT(A98:E98,'Measurement Data'!$BG$62:$BK$62)</f>
        <v>6.3411687270873004E-7</v>
      </c>
      <c r="AI98" s="310">
        <f>SUMPRODUCT(A98:E98,'Measurement Data'!$BG$63:$BK$63)</f>
        <v>-9.3335849329630009E-8</v>
      </c>
    </row>
    <row r="99" spans="1:35" ht="18" customHeight="1" x14ac:dyDescent="0.2">
      <c r="A99" s="432">
        <v>1</v>
      </c>
      <c r="B99" s="433">
        <f t="shared" si="12"/>
        <v>6.4799999999999978</v>
      </c>
      <c r="C99" s="434">
        <f t="shared" si="1"/>
        <v>41.990399999999973</v>
      </c>
      <c r="D99" s="563">
        <f t="shared" si="2"/>
        <v>272.09779199999974</v>
      </c>
      <c r="E99" s="435">
        <f t="shared" si="3"/>
        <v>1763.1936921599977</v>
      </c>
      <c r="F99" s="355">
        <f>'Measurement Data'!$K$27+'Measurement Data'!$K$28*'Chart Data'!B99</f>
        <v>11.237536168421062</v>
      </c>
      <c r="G99" s="320">
        <f t="shared" si="4"/>
        <v>10.815804219839448</v>
      </c>
      <c r="H99" s="354">
        <f t="shared" si="10"/>
        <v>11.659268117002677</v>
      </c>
      <c r="I99" s="322"/>
      <c r="J99" s="337">
        <f>'Measurement Data'!$U$30+'Chart Data'!B99*'Measurement Data'!$U$31+'Chart Data'!B99^2*'Measurement Data'!$U$32</f>
        <v>10.879808370101724</v>
      </c>
      <c r="K99" s="332">
        <f t="shared" si="11"/>
        <v>10.865391023388145</v>
      </c>
      <c r="L99" s="336">
        <f t="shared" si="5"/>
        <v>10.894225716815303</v>
      </c>
      <c r="M99" s="334"/>
      <c r="N99" s="551">
        <f>'Measurement Data'!$AD$30+B99*'Measurement Data'!$AD$31+B99^2*'Measurement Data'!$AD$32+B99^3*'Measurement Data'!$AD$33</f>
        <v>10.879037387105926</v>
      </c>
      <c r="O99" s="553">
        <f t="shared" si="6"/>
        <v>10.865793325884869</v>
      </c>
      <c r="P99" s="552">
        <f t="shared" si="7"/>
        <v>10.892281448326983</v>
      </c>
      <c r="Q99" s="550"/>
      <c r="R99" s="312">
        <f>SUMPRODUCT(A99:E99,'Measurement Data'!$BI$43:$BM$43)</f>
        <v>10.872411513577646</v>
      </c>
      <c r="S99" s="308">
        <f t="shared" si="8"/>
        <v>10.86212784855649</v>
      </c>
      <c r="T99" s="353">
        <f t="shared" si="9"/>
        <v>10.882695178598802</v>
      </c>
      <c r="U99" s="308"/>
      <c r="V99" s="319">
        <f>SUMPRODUCT($A99:$B99,'Measurement Data'!$K$52:$L$52)</f>
        <v>-4.9331215123311761E-3</v>
      </c>
      <c r="W99" s="322">
        <f>SUMPRODUCT($A99:$B99,'Measurement Data'!$K$53:$L$53)</f>
        <v>6.9273621236991788E-3</v>
      </c>
      <c r="X99" s="331">
        <f>SUMPRODUCT($A99:$C99,'Measurement Data'!$U$59:$W$59)</f>
        <v>-3.0941770634349019E-5</v>
      </c>
      <c r="Y99" s="332">
        <f>SUMPRODUCT($A99:$C99,'Measurement Data'!$U$60:$W$60)</f>
        <v>2.5196605168810064E-5</v>
      </c>
      <c r="Z99" s="332">
        <f>SUMPRODUCT($A99:$C99,'Measurement Data'!$U$61:$W$61)</f>
        <v>-2.0499794956582104E-6</v>
      </c>
      <c r="AA99" s="570">
        <f>SUMPRODUCT($A99:$D99,'Measurement Data'!$AD$59:$AG$59)</f>
        <v>2.7507508638616759E-5</v>
      </c>
      <c r="AB99" s="552">
        <f>SUMPRODUCT($A99:$D99,'Measurement Data'!$AD$60:$AG$60)</f>
        <v>-6.5151463772743787E-5</v>
      </c>
      <c r="AC99" s="552">
        <f>SUMPRODUCT($A99:$D99,'Measurement Data'!$AD$61:$AG$61)</f>
        <v>2.3736467242417884E-5</v>
      </c>
      <c r="AD99" s="571">
        <f>SUMPRODUCT($A99:$D99,'Measurement Data'!$AD$62:$AG$62)</f>
        <v>-1.9101071657834159E-6</v>
      </c>
      <c r="AE99" s="308">
        <f>SUMPRODUCT(A99:E99,'Measurement Data'!$BG$59:$BK$59)</f>
        <v>3.8050943467764393E-6</v>
      </c>
      <c r="AF99" s="308">
        <f>SUMPRODUCT(A99:E99,'Measurement Data'!$BG$60:$BK$60)</f>
        <v>-2.3923884081037891E-6</v>
      </c>
      <c r="AG99" s="308">
        <f>SUMPRODUCT(A99:E99,'Measurement Data'!$BG$61:$BK$61)</f>
        <v>-4.8622874905732399E-6</v>
      </c>
      <c r="AH99" s="308">
        <f>SUMPRODUCT(A99:E99,'Measurement Data'!$BG$62:$BK$62)</f>
        <v>2.1267831754616297E-6</v>
      </c>
      <c r="AI99" s="310">
        <f>SUMPRODUCT(A99:E99,'Measurement Data'!$BG$63:$BK$63)</f>
        <v>-1.7781294803439227E-7</v>
      </c>
    </row>
    <row r="100" spans="1:35" ht="18" customHeight="1" x14ac:dyDescent="0.2">
      <c r="A100" s="432">
        <v>1</v>
      </c>
      <c r="B100" s="433">
        <f t="shared" si="12"/>
        <v>6.6599999999999975</v>
      </c>
      <c r="C100" s="434">
        <f t="shared" si="1"/>
        <v>44.355599999999967</v>
      </c>
      <c r="D100" s="563">
        <f t="shared" si="2"/>
        <v>295.40829599999967</v>
      </c>
      <c r="E100" s="435">
        <f t="shared" si="3"/>
        <v>1967.4192513599971</v>
      </c>
      <c r="F100" s="355">
        <f>'Measurement Data'!$K$27+'Measurement Data'!$K$28*'Chart Data'!B100</f>
        <v>11.579627494736853</v>
      </c>
      <c r="G100" s="320">
        <f t="shared" si="4"/>
        <v>11.144353610124014</v>
      </c>
      <c r="H100" s="354">
        <f t="shared" si="10"/>
        <v>12.014901379349691</v>
      </c>
      <c r="I100" s="322"/>
      <c r="J100" s="337">
        <f>'Measurement Data'!$U$30+'Chart Data'!B100*'Measurement Data'!$U$31+'Chart Data'!B100^2*'Measurement Data'!$U$32</f>
        <v>11.2963713567448</v>
      </c>
      <c r="K100" s="332">
        <f t="shared" si="11"/>
        <v>11.281984905088404</v>
      </c>
      <c r="L100" s="336">
        <f t="shared" si="5"/>
        <v>11.310757808401195</v>
      </c>
      <c r="M100" s="334"/>
      <c r="N100" s="551">
        <f>'Measurement Data'!$AD$30+B100*'Measurement Data'!$AD$31+B100^2*'Measurement Data'!$AD$32+B100^3*'Measurement Data'!$AD$33</f>
        <v>11.295596054944978</v>
      </c>
      <c r="O100" s="553">
        <f t="shared" si="6"/>
        <v>11.282335355821196</v>
      </c>
      <c r="P100" s="552">
        <f t="shared" si="7"/>
        <v>11.30885675406876</v>
      </c>
      <c r="Q100" s="550"/>
      <c r="R100" s="312">
        <f>SUMPRODUCT(A100:E100,'Measurement Data'!$BI$43:$BM$43)</f>
        <v>11.285933909289419</v>
      </c>
      <c r="S100" s="308">
        <f t="shared" si="8"/>
        <v>11.275287144905741</v>
      </c>
      <c r="T100" s="353">
        <f t="shared" si="9"/>
        <v>11.296580673673096</v>
      </c>
      <c r="U100" s="308"/>
      <c r="V100" s="319">
        <f>SUMPRODUCT($A100:$B100,'Measurement Data'!$K$52:$L$52)</f>
        <v>-7.767042381117209E-3</v>
      </c>
      <c r="W100" s="322">
        <f>SUMPRODUCT($A100:$B100,'Measurement Data'!$K$53:$L$53)</f>
        <v>7.5571223167627405E-3</v>
      </c>
      <c r="X100" s="331">
        <f>SUMPRODUCT($A100:$C100,'Measurement Data'!$U$59:$W$59)</f>
        <v>-2.8260578880305945E-5</v>
      </c>
      <c r="Y100" s="332">
        <f>SUMPRODUCT($A100:$C100,'Measurement Data'!$U$60:$W$60)</f>
        <v>2.196907291894125E-5</v>
      </c>
      <c r="Z100" s="332">
        <f>SUMPRODUCT($A100:$C100,'Measurement Data'!$U$61:$W$61)</f>
        <v>-1.623215410239594E-6</v>
      </c>
      <c r="AA100" s="570">
        <f>SUMPRODUCT($A100:$D100,'Measurement Data'!$AD$59:$AG$59)</f>
        <v>3.0516114848566384E-5</v>
      </c>
      <c r="AB100" s="552">
        <f>SUMPRODUCT($A100:$D100,'Measurement Data'!$AD$60:$AG$60)</f>
        <v>-6.8885097452821504E-5</v>
      </c>
      <c r="AC100" s="552">
        <f>SUMPRODUCT($A100:$D100,'Measurement Data'!$AD$61:$AG$61)</f>
        <v>2.4307678881912867E-5</v>
      </c>
      <c r="AD100" s="571">
        <f>SUMPRODUCT($A100:$D100,'Measurement Data'!$AD$62:$AG$62)</f>
        <v>-1.9208069846039017E-6</v>
      </c>
      <c r="AE100" s="308">
        <f>SUMPRODUCT(A100:E100,'Measurement Data'!$BG$59:$BK$59)</f>
        <v>1.536313446151745E-7</v>
      </c>
      <c r="AF100" s="308">
        <f>SUMPRODUCT(A100:E100,'Measurement Data'!$BG$60:$BK$60)</f>
        <v>1.1196754962713648E-5</v>
      </c>
      <c r="AG100" s="308">
        <f>SUMPRODUCT(A100:E100,'Measurement Data'!$BG$61:$BK$61)</f>
        <v>-1.2884316427377689E-5</v>
      </c>
      <c r="AH100" s="308">
        <f>SUMPRODUCT(A100:E100,'Measurement Data'!$BG$62:$BK$62)</f>
        <v>3.5874412819416972E-6</v>
      </c>
      <c r="AI100" s="310">
        <f>SUMPRODUCT(A100:E100,'Measurement Data'!$BG$63:$BK$63)</f>
        <v>-2.5929480777812312E-7</v>
      </c>
    </row>
    <row r="101" spans="1:35" ht="18" customHeight="1" x14ac:dyDescent="0.2">
      <c r="A101" s="432">
        <v>1</v>
      </c>
      <c r="B101" s="433">
        <f t="shared" si="12"/>
        <v>6.8399999999999972</v>
      </c>
      <c r="C101" s="434">
        <f t="shared" si="1"/>
        <v>46.78559999999996</v>
      </c>
      <c r="D101" s="563">
        <f t="shared" si="2"/>
        <v>320.01350399999961</v>
      </c>
      <c r="E101" s="435">
        <f t="shared" si="3"/>
        <v>2188.8923673599961</v>
      </c>
      <c r="F101" s="355">
        <f>'Measurement Data'!$K$27+'Measurement Data'!$K$28*'Chart Data'!B101</f>
        <v>11.921718821052641</v>
      </c>
      <c r="G101" s="320">
        <f t="shared" si="4"/>
        <v>11.472187900769477</v>
      </c>
      <c r="H101" s="354">
        <f t="shared" si="10"/>
        <v>12.371249741335806</v>
      </c>
      <c r="I101" s="322"/>
      <c r="J101" s="337">
        <f>'Measurement Data'!$U$30+'Chart Data'!B101*'Measurement Data'!$U$31+'Chart Data'!B101^2*'Measurement Data'!$U$32</f>
        <v>11.719410139938077</v>
      </c>
      <c r="K101" s="332">
        <f t="shared" si="11"/>
        <v>11.704944844907077</v>
      </c>
      <c r="L101" s="336">
        <f t="shared" si="5"/>
        <v>11.733875434969077</v>
      </c>
      <c r="M101" s="334"/>
      <c r="N101" s="551">
        <f>'Measurement Data'!$AD$30+B101*'Measurement Data'!$AD$31+B101^2*'Measurement Data'!$AD$32+B101^3*'Measurement Data'!$AD$33</f>
        <v>11.718647676871404</v>
      </c>
      <c r="O101" s="553">
        <f t="shared" si="6"/>
        <v>11.705442619532377</v>
      </c>
      <c r="P101" s="552">
        <f t="shared" si="7"/>
        <v>11.731852734210431</v>
      </c>
      <c r="Q101" s="550"/>
      <c r="R101" s="312">
        <f>SUMPRODUCT(A101:E101,'Measurement Data'!$BI$43:$BM$43)</f>
        <v>11.706173074064539</v>
      </c>
      <c r="S101" s="308">
        <f t="shared" si="8"/>
        <v>11.695137953861868</v>
      </c>
      <c r="T101" s="353">
        <f t="shared" si="9"/>
        <v>11.71720819426721</v>
      </c>
      <c r="U101" s="308"/>
      <c r="V101" s="319">
        <f>SUMPRODUCT($A101:$B101,'Measurement Data'!$K$52:$L$52)</f>
        <v>-1.0600963249903228E-2</v>
      </c>
      <c r="W101" s="322">
        <f>SUMPRODUCT($A101:$B101,'Measurement Data'!$K$53:$L$53)</f>
        <v>8.1868825098263022E-3</v>
      </c>
      <c r="X101" s="331">
        <f>SUMPRODUCT($A101:$C101,'Measurement Data'!$U$59:$W$59)</f>
        <v>-2.5106235640255355E-5</v>
      </c>
      <c r="Y101" s="332">
        <f>SUMPRODUCT($A101:$C101,'Measurement Data'!$U$60:$W$60)</f>
        <v>1.8407551384831716E-5</v>
      </c>
      <c r="Z101" s="332">
        <f>SUMPRODUCT($A101:$C101,'Measurement Data'!$U$61:$W$61)</f>
        <v>-1.1593414043497915E-6</v>
      </c>
      <c r="AA101" s="570">
        <f>SUMPRODUCT($A101:$D101,'Measurement Data'!$AD$59:$AG$59)</f>
        <v>3.2697136095716879E-5</v>
      </c>
      <c r="AB101" s="552">
        <f>SUMPRODUCT($A101:$D101,'Measurement Data'!$AD$60:$AG$60)</f>
        <v>-7.0942104926010425E-5</v>
      </c>
      <c r="AC101" s="552">
        <f>SUMPRODUCT($A101:$D101,'Measurement Data'!$AD$61:$AG$61)</f>
        <v>2.4342146126229286E-5</v>
      </c>
      <c r="AD101" s="571">
        <f>SUMPRODUCT($A101:$D101,'Measurement Data'!$AD$62:$AG$62)</f>
        <v>-1.8889990763392025E-6</v>
      </c>
      <c r="AE101" s="308">
        <f>SUMPRODUCT(A101:E101,'Measurement Data'!$BG$59:$BK$59)</f>
        <v>-3.569250755054449E-6</v>
      </c>
      <c r="AF101" s="308">
        <f>SUMPRODUCT(A101:E101,'Measurement Data'!$BG$60:$BK$60)</f>
        <v>2.4572053187493087E-5</v>
      </c>
      <c r="AG101" s="308">
        <f>SUMPRODUCT(A101:E101,'Measurement Data'!$BG$61:$BK$61)</f>
        <v>-2.0593094027089674E-5</v>
      </c>
      <c r="AH101" s="308">
        <f>SUMPRODUCT(A101:E101,'Measurement Data'!$BG$62:$BK$62)</f>
        <v>4.9638829694807611E-6</v>
      </c>
      <c r="AI101" s="310">
        <f>SUMPRODUCT(A101:E101,'Measurement Data'!$BG$63:$BK$63)</f>
        <v>-3.3477033485186349E-7</v>
      </c>
    </row>
    <row r="102" spans="1:35" ht="18" customHeight="1" x14ac:dyDescent="0.2">
      <c r="A102" s="432">
        <v>1</v>
      </c>
      <c r="B102" s="433">
        <f t="shared" si="12"/>
        <v>7.0199999999999969</v>
      </c>
      <c r="C102" s="434">
        <f t="shared" si="1"/>
        <v>49.280399999999958</v>
      </c>
      <c r="D102" s="563">
        <f t="shared" si="2"/>
        <v>345.94840799999957</v>
      </c>
      <c r="E102" s="435">
        <f t="shared" si="3"/>
        <v>2428.557824159996</v>
      </c>
      <c r="F102" s="355">
        <f>'Measurement Data'!$K$27+'Measurement Data'!$K$28*'Chart Data'!B102</f>
        <v>12.263810147368432</v>
      </c>
      <c r="G102" s="320">
        <f t="shared" si="4"/>
        <v>11.799372942303545</v>
      </c>
      <c r="H102" s="354">
        <f t="shared" si="10"/>
        <v>12.728247352433318</v>
      </c>
      <c r="I102" s="322"/>
      <c r="J102" s="337">
        <f>'Measurement Data'!$U$30+'Chart Data'!B102*'Measurement Data'!$U$31+'Chart Data'!B102^2*'Measurement Data'!$U$32</f>
        <v>12.148924719681551</v>
      </c>
      <c r="K102" s="332">
        <f t="shared" si="11"/>
        <v>12.134244981773927</v>
      </c>
      <c r="L102" s="336">
        <f t="shared" si="5"/>
        <v>12.163604457589175</v>
      </c>
      <c r="M102" s="334"/>
      <c r="N102" s="551">
        <f>'Measurement Data'!$AD$30+B102*'Measurement Data'!$AD$31+B102^2*'Measurement Data'!$AD$32+B102^3*'Measurement Data'!$AD$33</f>
        <v>12.148193682679972</v>
      </c>
      <c r="O102" s="553">
        <f t="shared" si="6"/>
        <v>12.135106584083323</v>
      </c>
      <c r="P102" s="552">
        <f t="shared" si="7"/>
        <v>12.161280781276622</v>
      </c>
      <c r="Q102" s="550"/>
      <c r="R102" s="312">
        <f>SUMPRODUCT(A102:E102,'Measurement Data'!$BI$43:$BM$43)</f>
        <v>12.133252397357577</v>
      </c>
      <c r="S102" s="308">
        <f t="shared" si="8"/>
        <v>12.121847551067196</v>
      </c>
      <c r="T102" s="353">
        <f t="shared" si="9"/>
        <v>12.144657243647957</v>
      </c>
      <c r="U102" s="308"/>
      <c r="V102" s="319">
        <f>SUMPRODUCT($A102:$B102,'Measurement Data'!$K$52:$L$52)</f>
        <v>-1.3434884118689261E-2</v>
      </c>
      <c r="W102" s="322">
        <f>SUMPRODUCT($A102:$B102,'Measurement Data'!$K$53:$L$53)</f>
        <v>8.8166427028898639E-3</v>
      </c>
      <c r="X102" s="331">
        <f>SUMPRODUCT($A102:$C102,'Measurement Data'!$U$59:$W$59)</f>
        <v>-2.1478740914196979E-5</v>
      </c>
      <c r="Y102" s="332">
        <f>SUMPRODUCT($A102:$C102,'Measurement Data'!$U$60:$W$60)</f>
        <v>1.4512040566481543E-5</v>
      </c>
      <c r="Z102" s="332">
        <f>SUMPRODUCT($A102:$C102,'Measurement Data'!$U$61:$W$61)</f>
        <v>-6.5835747798880268E-7</v>
      </c>
      <c r="AA102" s="570">
        <f>SUMPRODUCT($A102:$D102,'Measurement Data'!$AD$59:$AG$59)</f>
        <v>3.3942177676001646E-5</v>
      </c>
      <c r="AB102" s="552">
        <f>SUMPRODUCT($A102:$D102,'Measurement Data'!$AD$60:$AG$60)</f>
        <v>-7.1154934901384529E-5</v>
      </c>
      <c r="AC102" s="552">
        <f>SUMPRODUCT($A102:$D102,'Measurement Data'!$AD$61:$AG$61)</f>
        <v>2.3792047782396385E-5</v>
      </c>
      <c r="AD102" s="571">
        <f>SUMPRODUCT($A102:$D102,'Measurement Data'!$AD$62:$AG$62)</f>
        <v>-1.8111411303988985E-6</v>
      </c>
      <c r="AE102" s="308">
        <f>SUMPRODUCT(A102:E102,'Measurement Data'!$BG$59:$BK$59)</f>
        <v>-7.2098801925494799E-6</v>
      </c>
      <c r="AF102" s="308">
        <f>SUMPRODUCT(A102:E102,'Measurement Data'!$BG$60:$BK$60)</f>
        <v>3.7197546998234132E-5</v>
      </c>
      <c r="AG102" s="308">
        <f>SUMPRODUCT(A102:E102,'Measurement Data'!$BG$61:$BK$61)</f>
        <v>-2.7680380611498894E-5</v>
      </c>
      <c r="AH102" s="308">
        <f>SUMPRODUCT(A102:E102,'Measurement Data'!$BG$62:$BK$62)</f>
        <v>6.1991869991700815E-6</v>
      </c>
      <c r="AI102" s="310">
        <f>SUMPRODUCT(A102:E102,'Measurement Data'!$BG$63:$BK$63)</f>
        <v>-4.0096660131103931E-7</v>
      </c>
    </row>
    <row r="103" spans="1:35" ht="18" customHeight="1" x14ac:dyDescent="0.2">
      <c r="A103" s="432">
        <v>1</v>
      </c>
      <c r="B103" s="433">
        <f t="shared" si="12"/>
        <v>7.1999999999999966</v>
      </c>
      <c r="C103" s="434">
        <f t="shared" si="1"/>
        <v>51.839999999999954</v>
      </c>
      <c r="D103" s="563">
        <f t="shared" si="2"/>
        <v>373.24799999999948</v>
      </c>
      <c r="E103" s="435">
        <f t="shared" si="3"/>
        <v>2687.3855999999951</v>
      </c>
      <c r="F103" s="355">
        <f>'Measurement Data'!$K$27+'Measurement Data'!$K$28*'Chart Data'!B103</f>
        <v>12.60590147368422</v>
      </c>
      <c r="G103" s="320">
        <f t="shared" si="4"/>
        <v>12.125969226278912</v>
      </c>
      <c r="H103" s="354">
        <f t="shared" si="10"/>
        <v>13.085833721089529</v>
      </c>
      <c r="I103" s="322"/>
      <c r="J103" s="337">
        <f>'Measurement Data'!$U$30+'Chart Data'!B103*'Measurement Data'!$U$31+'Chart Data'!B103^2*'Measurement Data'!$U$32</f>
        <v>12.584915095975225</v>
      </c>
      <c r="K103" s="332">
        <f t="shared" si="11"/>
        <v>12.569862017291594</v>
      </c>
      <c r="L103" s="336">
        <f t="shared" si="5"/>
        <v>12.599968174658855</v>
      </c>
      <c r="M103" s="334"/>
      <c r="N103" s="551">
        <f>'Measurement Data'!$AD$30+B103*'Measurement Data'!$AD$31+B103^2*'Measurement Data'!$AD$32+B103^3*'Measurement Data'!$AD$33</f>
        <v>12.584235502165441</v>
      </c>
      <c r="O103" s="553">
        <f t="shared" si="6"/>
        <v>12.571306516656843</v>
      </c>
      <c r="P103" s="552">
        <f t="shared" si="7"/>
        <v>12.597164487674039</v>
      </c>
      <c r="Q103" s="550"/>
      <c r="R103" s="312">
        <f>SUMPRODUCT(A103:E103,'Measurement Data'!$BI$43:$BM$43)</f>
        <v>12.567305025395894</v>
      </c>
      <c r="S103" s="308">
        <f t="shared" si="8"/>
        <v>12.555593222790735</v>
      </c>
      <c r="T103" s="353">
        <f t="shared" si="9"/>
        <v>12.579016828001054</v>
      </c>
      <c r="U103" s="308"/>
      <c r="V103" s="319">
        <f>SUMPRODUCT($A103:$B103,'Measurement Data'!$K$52:$L$52)</f>
        <v>-1.626880498747528E-2</v>
      </c>
      <c r="W103" s="322">
        <f>SUMPRODUCT($A103:$B103,'Measurement Data'!$K$53:$L$53)</f>
        <v>9.4464028959534256E-3</v>
      </c>
      <c r="X103" s="331">
        <f>SUMPRODUCT($A103:$C103,'Measurement Data'!$U$59:$W$59)</f>
        <v>-1.7378094702131196E-5</v>
      </c>
      <c r="Y103" s="332">
        <f>SUMPRODUCT($A103:$C103,'Measurement Data'!$U$60:$W$60)</f>
        <v>1.0282540463890731E-5</v>
      </c>
      <c r="Z103" s="332">
        <f>SUMPRODUCT($A103:$C103,'Measurement Data'!$U$61:$W$61)</f>
        <v>-1.2026363115662087E-7</v>
      </c>
      <c r="AA103" s="570">
        <f>SUMPRODUCT($A103:$D103,'Measurement Data'!$AD$59:$AG$59)</f>
        <v>3.4142844885353763E-5</v>
      </c>
      <c r="AB103" s="552">
        <f>SUMPRODUCT($A103:$D103,'Measurement Data'!$AD$60:$AG$60)</f>
        <v>-6.9356036088016057E-5</v>
      </c>
      <c r="AC103" s="552">
        <f>SUMPRODUCT($A103:$D103,'Measurement Data'!$AD$61:$AG$61)</f>
        <v>2.2609562657443139E-5</v>
      </c>
      <c r="AD103" s="571">
        <f>SUMPRODUCT($A103:$D103,'Measurement Data'!$AD$62:$AG$62)</f>
        <v>-1.683690836192577E-6</v>
      </c>
      <c r="AE103" s="308">
        <f>SUMPRODUCT(A103:E103,'Measurement Data'!$BG$59:$BK$59)</f>
        <v>-1.0597416363313395E-5</v>
      </c>
      <c r="AF103" s="308">
        <f>SUMPRODUCT(A103:E103,'Measurement Data'!$BG$60:$BK$60)</f>
        <v>4.8486864685372277E-5</v>
      </c>
      <c r="AG103" s="308">
        <f>SUMPRODUCT(A103:E103,'Measurement Data'!$BG$61:$BK$61)</f>
        <v>-3.3811126546926928E-5</v>
      </c>
      <c r="AH103" s="308">
        <f>SUMPRODUCT(A103:E103,'Measurement Data'!$BG$62:$BK$62)</f>
        <v>7.2317191158612721E-6</v>
      </c>
      <c r="AI103" s="310">
        <f>SUMPRODUCT(A103:E103,'Measurement Data'!$BG$63:$BK$63)</f>
        <v>-4.5434884497560046E-7</v>
      </c>
    </row>
    <row r="104" spans="1:35" ht="18" customHeight="1" x14ac:dyDescent="0.2">
      <c r="A104" s="432">
        <v>1</v>
      </c>
      <c r="B104" s="433">
        <f t="shared" si="12"/>
        <v>7.3799999999999963</v>
      </c>
      <c r="C104" s="434">
        <f t="shared" si="1"/>
        <v>54.464399999999948</v>
      </c>
      <c r="D104" s="563">
        <f t="shared" si="2"/>
        <v>401.94727199999943</v>
      </c>
      <c r="E104" s="435">
        <f t="shared" si="3"/>
        <v>2966.3708673599945</v>
      </c>
      <c r="F104" s="355">
        <f>'Measurement Data'!$K$27+'Measurement Data'!$K$28*'Chart Data'!B104</f>
        <v>12.947992800000009</v>
      </c>
      <c r="G104" s="320">
        <f t="shared" si="4"/>
        <v>12.452031932346408</v>
      </c>
      <c r="H104" s="354">
        <f t="shared" si="10"/>
        <v>13.443953667653609</v>
      </c>
      <c r="I104" s="322"/>
      <c r="J104" s="337">
        <f>'Measurement Data'!$U$30+'Chart Data'!B104*'Measurement Data'!$U$31+'Chart Data'!B104^2*'Measurement Data'!$U$32</f>
        <v>13.027381268819097</v>
      </c>
      <c r="K104" s="332">
        <f t="shared" si="11"/>
        <v>13.011777218953709</v>
      </c>
      <c r="L104" s="336">
        <f t="shared" si="5"/>
        <v>13.042985318684485</v>
      </c>
      <c r="M104" s="334"/>
      <c r="N104" s="551">
        <f>'Measurement Data'!$AD$30+B104*'Measurement Data'!$AD$31+B104^2*'Measurement Data'!$AD$32+B104^3*'Measurement Data'!$AD$33</f>
        <v>13.026774565122583</v>
      </c>
      <c r="O104" s="553">
        <f t="shared" si="6"/>
        <v>13.01400534381208</v>
      </c>
      <c r="P104" s="552">
        <f t="shared" si="7"/>
        <v>13.039543786433086</v>
      </c>
      <c r="Q104" s="550"/>
      <c r="R104" s="312">
        <f>SUMPRODUCT(A104:E104,'Measurement Data'!$BI$43:$BM$43)</f>
        <v>13.008473861179635</v>
      </c>
      <c r="S104" s="308">
        <f t="shared" si="8"/>
        <v>12.996556702932589</v>
      </c>
      <c r="T104" s="353">
        <f t="shared" si="9"/>
        <v>13.020391019426681</v>
      </c>
      <c r="U104" s="308"/>
      <c r="V104" s="319">
        <f>SUMPRODUCT($A104:$B104,'Measurement Data'!$K$52:$L$52)</f>
        <v>-1.9102725856261313E-2</v>
      </c>
      <c r="W104" s="322">
        <f>SUMPRODUCT($A104:$B104,'Measurement Data'!$K$53:$L$53)</f>
        <v>1.0076163089016987E-2</v>
      </c>
      <c r="X104" s="331">
        <f>SUMPRODUCT($A104:$C104,'Measurement Data'!$U$59:$W$59)</f>
        <v>-1.2804297004057627E-5</v>
      </c>
      <c r="Y104" s="332">
        <f>SUMPRODUCT($A104:$C104,'Measurement Data'!$U$60:$W$60)</f>
        <v>5.719051077059307E-6</v>
      </c>
      <c r="Z104" s="332">
        <f>SUMPRODUCT($A104:$C104,'Measurement Data'!$U$61:$W$61)</f>
        <v>4.5494013614673362E-7</v>
      </c>
      <c r="AA104" s="570">
        <f>SUMPRODUCT($A104:$D104,'Measurement Data'!$AD$59:$AG$59)</f>
        <v>3.3190743019705007E-5</v>
      </c>
      <c r="AB104" s="552">
        <f>SUMPRODUCT($A104:$D104,'Measurement Data'!$AD$60:$AG$60)</f>
        <v>-6.5377857194976819E-5</v>
      </c>
      <c r="AC104" s="552">
        <f>SUMPRODUCT($A104:$D104,'Measurement Data'!$AD$61:$AG$61)</f>
        <v>2.0746869558398574E-5</v>
      </c>
      <c r="AD104" s="571">
        <f>SUMPRODUCT($A104:$D104,'Measurement Data'!$AD$62:$AG$62)</f>
        <v>-1.5031058831297675E-6</v>
      </c>
      <c r="AE104" s="308">
        <f>SUMPRODUCT(A104:E104,'Measurement Data'!$BG$59:$BK$59)</f>
        <v>-1.35438498179161E-5</v>
      </c>
      <c r="AF104" s="308">
        <f>SUMPRODUCT(A104:E104,'Measurement Data'!$BG$60:$BK$60)</f>
        <v>5.7803222097778904E-5</v>
      </c>
      <c r="AG104" s="308">
        <f>SUMPRODUCT(A104:E104,'Measurement Data'!$BG$61:$BK$61)</f>
        <v>-3.862347224421487E-5</v>
      </c>
      <c r="AH104" s="308">
        <f>SUMPRODUCT(A104:E104,'Measurement Data'!$BG$62:$BK$62)</f>
        <v>7.9951320481654866E-6</v>
      </c>
      <c r="AI104" s="310">
        <f>SUMPRODUCT(A104:E104,'Measurement Data'!$BG$63:$BK$63)</f>
        <v>-4.9112046942986147E-7</v>
      </c>
    </row>
    <row r="105" spans="1:35" ht="18" customHeight="1" x14ac:dyDescent="0.2">
      <c r="A105" s="432">
        <v>1</v>
      </c>
      <c r="B105" s="433">
        <f t="shared" si="12"/>
        <v>7.5599999999999961</v>
      </c>
      <c r="C105" s="434">
        <f t="shared" si="1"/>
        <v>57.15359999999994</v>
      </c>
      <c r="D105" s="563">
        <f t="shared" si="2"/>
        <v>432.0812159999993</v>
      </c>
      <c r="E105" s="435">
        <f t="shared" si="3"/>
        <v>3266.5339929599932</v>
      </c>
      <c r="F105" s="355">
        <f>'Measurement Data'!$K$27+'Measurement Data'!$K$28*'Chart Data'!B105</f>
        <v>13.290084126315799</v>
      </c>
      <c r="G105" s="320">
        <f t="shared" si="4"/>
        <v>12.77761112421609</v>
      </c>
      <c r="H105" s="354">
        <f t="shared" si="10"/>
        <v>13.802557128415508</v>
      </c>
      <c r="I105" s="322"/>
      <c r="J105" s="337">
        <f>'Measurement Data'!$U$30+'Chart Data'!B105*'Measurement Data'!$U$31+'Chart Data'!B105^2*'Measurement Data'!$U$32</f>
        <v>13.476323238213169</v>
      </c>
      <c r="K105" s="332">
        <f t="shared" si="11"/>
        <v>13.45997780085561</v>
      </c>
      <c r="L105" s="336">
        <f t="shared" si="5"/>
        <v>13.492668675570728</v>
      </c>
      <c r="M105" s="334"/>
      <c r="N105" s="551">
        <f>'Measurement Data'!$AD$30+B105*'Measurement Data'!$AD$31+B105^2*'Measurement Data'!$AD$32+B105^3*'Measurement Data'!$AD$33</f>
        <v>13.475812301346155</v>
      </c>
      <c r="O105" s="553">
        <f t="shared" si="6"/>
        <v>13.463145219576736</v>
      </c>
      <c r="P105" s="552">
        <f t="shared" si="7"/>
        <v>13.488479383115573</v>
      </c>
      <c r="Q105" s="550"/>
      <c r="R105" s="312">
        <f>SUMPRODUCT(A105:E105,'Measurement Data'!$BI$43:$BM$43)</f>
        <v>13.456911564481725</v>
      </c>
      <c r="S105" s="308">
        <f t="shared" si="8"/>
        <v>13.444917124470576</v>
      </c>
      <c r="T105" s="353">
        <f t="shared" si="9"/>
        <v>13.468906004492874</v>
      </c>
      <c r="U105" s="308"/>
      <c r="V105" s="319">
        <f>SUMPRODUCT($A105:$B105,'Measurement Data'!$K$52:$L$52)</f>
        <v>-2.1936646725047332E-2</v>
      </c>
      <c r="W105" s="322">
        <f>SUMPRODUCT($A105:$B105,'Measurement Data'!$K$53:$L$53)</f>
        <v>1.0705923282080549E-2</v>
      </c>
      <c r="X105" s="331">
        <f>SUMPRODUCT($A105:$C105,'Measurement Data'!$U$59:$W$59)</f>
        <v>-7.7573478199766512E-6</v>
      </c>
      <c r="Y105" s="332">
        <f>SUMPRODUCT($A105:$C105,'Measurement Data'!$U$60:$W$60)</f>
        <v>8.2157240598710896E-7</v>
      </c>
      <c r="Z105" s="332">
        <f>SUMPRODUCT($A105:$C105,'Measurement Data'!$U$61:$W$61)</f>
        <v>1.0672538239212744E-6</v>
      </c>
      <c r="AA105" s="570">
        <f>SUMPRODUCT($A105:$D105,'Measurement Data'!$AD$59:$AG$59)</f>
        <v>3.0977477374989539E-5</v>
      </c>
      <c r="AB105" s="552">
        <f>SUMPRODUCT($A105:$D105,'Measurement Data'!$AD$60:$AG$60)</f>
        <v>-5.9052846931340573E-5</v>
      </c>
      <c r="AC105" s="552">
        <f>SUMPRODUCT($A105:$D105,'Measurement Data'!$AD$61:$AG$61)</f>
        <v>1.8156147292292262E-5</v>
      </c>
      <c r="AD105" s="571">
        <f>SUMPRODUCT($A105:$D105,'Measurement Data'!$AD$62:$AG$62)</f>
        <v>-1.2658439606200807E-6</v>
      </c>
      <c r="AE105" s="308">
        <f>SUMPRODUCT(A105:E105,'Measurement Data'!$BG$59:$BK$59)</f>
        <v>-1.5844002262050891E-5</v>
      </c>
      <c r="AF105" s="308">
        <f>SUMPRODUCT(A105:E105,'Measurement Data'!$BG$60:$BK$60)</f>
        <v>6.4459422642743937E-5</v>
      </c>
      <c r="AG105" s="308">
        <f>SUMPRODUCT(A105:E105,'Measurement Data'!$BG$61:$BK$61)</f>
        <v>-4.1728748158723766E-5</v>
      </c>
      <c r="AH105" s="308">
        <f>SUMPRODUCT(A105:E105,'Measurement Data'!$BG$62:$BK$62)</f>
        <v>8.4183655084540693E-6</v>
      </c>
      <c r="AI105" s="310">
        <f>SUMPRODUCT(A105:E105,'Measurement Data'!$BG$63:$BK$63)</f>
        <v>-5.0722304402257612E-7</v>
      </c>
    </row>
    <row r="106" spans="1:35" ht="18" customHeight="1" x14ac:dyDescent="0.2">
      <c r="A106" s="432">
        <v>1</v>
      </c>
      <c r="B106" s="433">
        <f t="shared" si="12"/>
        <v>7.7399999999999958</v>
      </c>
      <c r="C106" s="434">
        <f t="shared" si="1"/>
        <v>59.907599999999931</v>
      </c>
      <c r="D106" s="563">
        <f t="shared" si="2"/>
        <v>463.6848239999992</v>
      </c>
      <c r="E106" s="435">
        <f t="shared" si="3"/>
        <v>3588.9205377599919</v>
      </c>
      <c r="F106" s="355">
        <f>'Measurement Data'!$K$27+'Measurement Data'!$K$28*'Chart Data'!B106</f>
        <v>13.632175452631587</v>
      </c>
      <c r="G106" s="320">
        <f t="shared" si="4"/>
        <v>13.102752040784662</v>
      </c>
      <c r="H106" s="354">
        <f t="shared" si="10"/>
        <v>14.161598864478513</v>
      </c>
      <c r="I106" s="322"/>
      <c r="J106" s="337">
        <f>'Measurement Data'!$U$30+'Chart Data'!B106*'Measurement Data'!$U$31+'Chart Data'!B106^2*'Measurement Data'!$U$32</f>
        <v>13.931741004157439</v>
      </c>
      <c r="K106" s="332">
        <f t="shared" si="11"/>
        <v>13.914457315206841</v>
      </c>
      <c r="L106" s="336">
        <f t="shared" si="5"/>
        <v>13.949024693108038</v>
      </c>
      <c r="M106" s="334"/>
      <c r="N106" s="551">
        <f>'Measurement Data'!$AD$30+B106*'Measurement Data'!$AD$31+B106^2*'Measurement Data'!$AD$32+B106^3*'Measurement Data'!$AD$33</f>
        <v>13.931350140630926</v>
      </c>
      <c r="O106" s="553">
        <f t="shared" si="6"/>
        <v>13.918644786275136</v>
      </c>
      <c r="P106" s="552">
        <f t="shared" si="7"/>
        <v>13.944055494986715</v>
      </c>
      <c r="Q106" s="550"/>
      <c r="R106" s="312">
        <f>SUMPRODUCT(A106:E106,'Measurement Data'!$BI$43:$BM$43)</f>
        <v>13.912780551847877</v>
      </c>
      <c r="S106" s="308">
        <f t="shared" si="8"/>
        <v>13.900840211354843</v>
      </c>
      <c r="T106" s="353">
        <f t="shared" si="9"/>
        <v>13.924720892340911</v>
      </c>
      <c r="U106" s="308"/>
      <c r="V106" s="319">
        <f>SUMPRODUCT($A106:$B106,'Measurement Data'!$K$52:$L$52)</f>
        <v>-2.4770567593833365E-2</v>
      </c>
      <c r="W106" s="322">
        <f>SUMPRODUCT($A106:$B106,'Measurement Data'!$K$53:$L$53)</f>
        <v>1.1335683475144111E-2</v>
      </c>
      <c r="X106" s="331">
        <f>SUMPRODUCT($A106:$C106,'Measurement Data'!$U$59:$W$59)</f>
        <v>-2.2372471498879431E-6</v>
      </c>
      <c r="Y106" s="332">
        <f>SUMPRODUCT($A106:$C106,'Measurement Data'!$U$60:$W$60)</f>
        <v>-4.4098955493256466E-6</v>
      </c>
      <c r="Z106" s="332">
        <f>SUMPRODUCT($A106:$C106,'Measurement Data'!$U$61:$W$61)</f>
        <v>1.7166774321669979E-6</v>
      </c>
      <c r="AA106" s="570">
        <f>SUMPRODUCT($A106:$D106,'Measurement Data'!$AD$59:$AG$59)</f>
        <v>2.7394653247139137E-5</v>
      </c>
      <c r="AB106" s="552">
        <f>SUMPRODUCT($A106:$D106,'Measurement Data'!$AD$60:$AG$60)</f>
        <v>-5.0213454006178913E-5</v>
      </c>
      <c r="AC106" s="552">
        <f>SUMPRODUCT($A106:$D106,'Measurement Data'!$AD$61:$AG$61)</f>
        <v>1.4789574666153175E-5</v>
      </c>
      <c r="AD106" s="571">
        <f>SUMPRODUCT($A106:$D106,'Measurement Data'!$AD$62:$AG$62)</f>
        <v>-9.6836275807303936E-7</v>
      </c>
      <c r="AE106" s="308">
        <f>SUMPRODUCT(A106:E106,'Measurement Data'!$BG$59:$BK$59)</f>
        <v>-1.7275526556537711E-5</v>
      </c>
      <c r="AF106" s="308">
        <f>SUMPRODUCT(A106:E106,'Measurement Data'!$BG$60:$BK$60)</f>
        <v>6.7717857285999258E-5</v>
      </c>
      <c r="AG106" s="308">
        <f>SUMPRODUCT(A106:E106,'Measurement Data'!$BG$61:$BK$61)</f>
        <v>-4.2711474790342856E-5</v>
      </c>
      <c r="AH106" s="308">
        <f>SUMPRODUCT(A106:E106,'Measurement Data'!$BG$62:$BK$62)</f>
        <v>8.4256461928580674E-6</v>
      </c>
      <c r="AI106" s="310">
        <f>SUMPRODUCT(A106:E106,'Measurement Data'!$BG$63:$BK$63)</f>
        <v>-4.9833630386699162E-7</v>
      </c>
    </row>
    <row r="107" spans="1:35" ht="18" customHeight="1" x14ac:dyDescent="0.2">
      <c r="A107" s="432">
        <v>1</v>
      </c>
      <c r="B107" s="433">
        <f t="shared" si="12"/>
        <v>7.9199999999999955</v>
      </c>
      <c r="C107" s="434">
        <f t="shared" si="1"/>
        <v>62.726399999999927</v>
      </c>
      <c r="D107" s="563">
        <f t="shared" si="2"/>
        <v>496.79308799999916</v>
      </c>
      <c r="E107" s="435">
        <f t="shared" si="3"/>
        <v>3934.6012569599907</v>
      </c>
      <c r="F107" s="355">
        <f>'Measurement Data'!$K$27+'Measurement Data'!$K$28*'Chart Data'!B107</f>
        <v>13.974266778947378</v>
      </c>
      <c r="G107" s="320">
        <f t="shared" si="4"/>
        <v>13.427495441334145</v>
      </c>
      <c r="H107" s="354">
        <f t="shared" si="10"/>
        <v>14.521038116560611</v>
      </c>
      <c r="I107" s="322"/>
      <c r="J107" s="337">
        <f>'Measurement Data'!$U$30+'Chart Data'!B107*'Measurement Data'!$U$31+'Chart Data'!B107^2*'Measurement Data'!$U$32</f>
        <v>14.393634566651908</v>
      </c>
      <c r="K107" s="332">
        <f t="shared" si="11"/>
        <v>14.375215043520726</v>
      </c>
      <c r="L107" s="336">
        <f t="shared" si="5"/>
        <v>14.412054089783091</v>
      </c>
      <c r="M107" s="334"/>
      <c r="N107" s="551">
        <f>'Measurement Data'!$AD$30+B107*'Measurement Data'!$AD$31+B107^2*'Measurement Data'!$AD$32+B107^3*'Measurement Data'!$AD$33</f>
        <v>14.393389512771662</v>
      </c>
      <c r="O107" s="553">
        <f t="shared" si="6"/>
        <v>14.380401954357405</v>
      </c>
      <c r="P107" s="552">
        <f t="shared" si="7"/>
        <v>14.40637707118592</v>
      </c>
      <c r="Q107" s="550"/>
      <c r="R107" s="312">
        <f>SUMPRODUCT(A107:E107,'Measurement Data'!$BI$43:$BM$43)</f>
        <v>14.376252996596595</v>
      </c>
      <c r="S107" s="308">
        <f t="shared" si="8"/>
        <v>14.364460273735158</v>
      </c>
      <c r="T107" s="353">
        <f t="shared" si="9"/>
        <v>14.388045719458031</v>
      </c>
      <c r="U107" s="308"/>
      <c r="V107" s="319">
        <f>SUMPRODUCT($A107:$B107,'Measurement Data'!$K$52:$L$52)</f>
        <v>-2.7604488462619384E-2</v>
      </c>
      <c r="W107" s="322">
        <f>SUMPRODUCT($A107:$B107,'Measurement Data'!$K$53:$L$53)</f>
        <v>1.1965443668207672E-2</v>
      </c>
      <c r="X107" s="331">
        <f>SUMPRODUCT($A107:$C107,'Measurement Data'!$U$59:$W$59)</f>
        <v>3.7560050062083886E-6</v>
      </c>
      <c r="Y107" s="332">
        <f>SUMPRODUCT($A107:$C107,'Measurement Data'!$U$60:$W$60)</f>
        <v>-9.9753527888790682E-6</v>
      </c>
      <c r="Z107" s="332">
        <f>SUMPRODUCT($A107:$C107,'Measurement Data'!$U$61:$W$61)</f>
        <v>2.4032109608839044E-6</v>
      </c>
      <c r="AA107" s="570">
        <f>SUMPRODUCT($A107:$D107,'Measurement Data'!$AD$59:$AG$59)</f>
        <v>2.2333875932087095E-5</v>
      </c>
      <c r="AB107" s="552">
        <f>SUMPRODUCT($A107:$D107,'Measurement Data'!$AD$60:$AG$60)</f>
        <v>-3.869212712856538E-5</v>
      </c>
      <c r="AC107" s="552">
        <f>SUMPRODUCT($A107:$D107,'Measurement Data'!$AD$61:$AG$61)</f>
        <v>1.0599330487010396E-5</v>
      </c>
      <c r="AD107" s="571">
        <f>SUMPRODUCT($A107:$D107,'Measurement Data'!$AD$62:$AG$62)</f>
        <v>-6.0711996489825438E-7</v>
      </c>
      <c r="AE107" s="308">
        <f>SUMPRODUCT(A107:E107,'Measurement Data'!$BG$59:$BK$59)</f>
        <v>-1.7598906717322064E-5</v>
      </c>
      <c r="AF107" s="308">
        <f>SUMPRODUCT(A107:E107,'Measurement Data'!$BG$60:$BK$60)</f>
        <v>6.6790504551704835E-5</v>
      </c>
      <c r="AG107" s="308">
        <f>SUMPRODUCT(A107:E107,'Measurement Data'!$BG$61:$BK$61)</f>
        <v>-4.1129362683478728E-5</v>
      </c>
      <c r="AH107" s="308">
        <f>SUMPRODUCT(A107:E107,'Measurement Data'!$BG$62:$BK$62)</f>
        <v>7.9364877812684474E-6</v>
      </c>
      <c r="AI107" s="310">
        <f>SUMPRODUCT(A107:E107,'Measurement Data'!$BG$63:$BK$63)</f>
        <v>-4.5987814984074359E-7</v>
      </c>
    </row>
    <row r="108" spans="1:35" ht="18" customHeight="1" x14ac:dyDescent="0.2">
      <c r="A108" s="432">
        <v>1</v>
      </c>
      <c r="B108" s="433">
        <f t="shared" si="12"/>
        <v>8.0999999999999961</v>
      </c>
      <c r="C108" s="434">
        <f t="shared" si="1"/>
        <v>65.609999999999943</v>
      </c>
      <c r="D108" s="563">
        <f t="shared" si="2"/>
        <v>531.44099999999924</v>
      </c>
      <c r="E108" s="435">
        <f t="shared" si="3"/>
        <v>4304.6720999999925</v>
      </c>
      <c r="F108" s="355">
        <f>'Measurement Data'!$K$27+'Measurement Data'!$K$28*'Chart Data'!B108</f>
        <v>14.316358105263168</v>
      </c>
      <c r="G108" s="320">
        <f t="shared" si="4"/>
        <v>13.751877974742825</v>
      </c>
      <c r="H108" s="354">
        <f t="shared" si="10"/>
        <v>14.880838235783511</v>
      </c>
      <c r="I108" s="322"/>
      <c r="J108" s="337">
        <f>'Measurement Data'!$U$30+'Chart Data'!B108*'Measurement Data'!$U$31+'Chart Data'!B108^2*'Measurement Data'!$U$32</f>
        <v>14.86200392569658</v>
      </c>
      <c r="K108" s="332">
        <f t="shared" si="11"/>
        <v>14.842254706333849</v>
      </c>
      <c r="L108" s="336">
        <f t="shared" si="5"/>
        <v>14.881753145059312</v>
      </c>
      <c r="M108" s="334"/>
      <c r="N108" s="551">
        <f>'Measurement Data'!$AD$30+B108*'Measurement Data'!$AD$31+B108^2*'Measurement Data'!$AD$32+B108^3*'Measurement Data'!$AD$33</f>
        <v>14.861931847563127</v>
      </c>
      <c r="O108" s="553">
        <f t="shared" si="6"/>
        <v>14.848306182379879</v>
      </c>
      <c r="P108" s="552">
        <f t="shared" si="7"/>
        <v>14.875557512746376</v>
      </c>
      <c r="Q108" s="550"/>
      <c r="R108" s="312">
        <f>SUMPRODUCT(A108:E108,'Measurement Data'!$BI$43:$BM$43)</f>
        <v>14.847510828819161</v>
      </c>
      <c r="S108" s="308">
        <f t="shared" si="8"/>
        <v>14.835851552920245</v>
      </c>
      <c r="T108" s="353">
        <f t="shared" si="9"/>
        <v>14.859170104718077</v>
      </c>
      <c r="U108" s="308"/>
      <c r="V108" s="319">
        <f>SUMPRODUCT($A108:$B108,'Measurement Data'!$K$52:$L$52)</f>
        <v>-3.0438409331405417E-2</v>
      </c>
      <c r="W108" s="322">
        <f>SUMPRODUCT($A108:$B108,'Measurement Data'!$K$53:$L$53)</f>
        <v>1.2595203861271234E-2</v>
      </c>
      <c r="X108" s="331">
        <f>SUMPRODUCT($A108:$C108,'Measurement Data'!$U$59:$W$59)</f>
        <v>1.0222408648312236E-5</v>
      </c>
      <c r="Y108" s="332">
        <f>SUMPRODUCT($A108:$C108,'Measurement Data'!$U$60:$W$60)</f>
        <v>-1.5874799312673318E-5</v>
      </c>
      <c r="Z108" s="332">
        <f>SUMPRODUCT($A108:$C108,'Measurement Data'!$U$61:$W$61)</f>
        <v>3.126854410072014E-6</v>
      </c>
      <c r="AA108" s="570">
        <f>SUMPRODUCT($A108:$D108,'Measurement Data'!$AD$59:$AG$59)</f>
        <v>1.5686750725766273E-5</v>
      </c>
      <c r="AB108" s="552">
        <f>SUMPRODUCT($A108:$D108,'Measurement Data'!$AD$60:$AG$60)</f>
        <v>-2.4321315007572435E-5</v>
      </c>
      <c r="AC108" s="552">
        <f>SUMPRODUCT($A108:$D108,'Measurement Data'!$AD$61:$AG$61)</f>
        <v>5.5375935618933326E-6</v>
      </c>
      <c r="AD108" s="571">
        <f>SUMPRODUCT($A108:$D108,'Measurement Data'!$AD$62:$AG$62)</f>
        <v>-1.7857327050528236E-7</v>
      </c>
      <c r="AE108" s="308">
        <f>SUMPRODUCT(A108:E108,'Measurement Data'!$BG$59:$BK$59)</f>
        <v>-1.6557457915470242E-5</v>
      </c>
      <c r="AF108" s="308">
        <f>SUMPRODUCT(A108:E108,'Measurement Data'!$BG$60:$BK$60)</f>
        <v>6.0838930522449583E-5</v>
      </c>
      <c r="AG108" s="308">
        <f>SUMPRODUCT(A108:E108,'Measurement Data'!$BG$61:$BK$61)</f>
        <v>-3.6513312427063557E-5</v>
      </c>
      <c r="AH108" s="308">
        <f>SUMPRODUCT(A108:E108,'Measurement Data'!$BG$62:$BK$62)</f>
        <v>6.8656909373351199E-6</v>
      </c>
      <c r="AI108" s="310">
        <f>SUMPRODUCT(A108:E108,'Measurement Data'!$BG$63:$BK$63)</f>
        <v>-3.870046485858662E-7</v>
      </c>
    </row>
    <row r="109" spans="1:35" ht="18" customHeight="1" x14ac:dyDescent="0.2">
      <c r="A109" s="432">
        <v>1</v>
      </c>
      <c r="B109" s="433">
        <f t="shared" si="12"/>
        <v>8.2799999999999958</v>
      </c>
      <c r="C109" s="434">
        <f t="shared" si="1"/>
        <v>68.558399999999935</v>
      </c>
      <c r="D109" s="563">
        <f t="shared" si="2"/>
        <v>567.66355199999919</v>
      </c>
      <c r="E109" s="435">
        <f t="shared" si="3"/>
        <v>4700.2542105599914</v>
      </c>
      <c r="F109" s="355">
        <f>'Measurement Data'!$K$27+'Measurement Data'!$K$28*'Chart Data'!B109</f>
        <v>14.658449431578958</v>
      </c>
      <c r="G109" s="320">
        <f t="shared" si="4"/>
        <v>14.07593255168419</v>
      </c>
      <c r="H109" s="354">
        <f t="shared" si="10"/>
        <v>15.240966311473727</v>
      </c>
      <c r="I109" s="322"/>
      <c r="J109" s="337">
        <f>'Measurement Data'!$U$30+'Chart Data'!B109*'Measurement Data'!$U$31+'Chart Data'!B109^2*'Measurement Data'!$U$32</f>
        <v>15.336849081291449</v>
      </c>
      <c r="K109" s="332">
        <f t="shared" si="11"/>
        <v>15.315582939164878</v>
      </c>
      <c r="L109" s="336">
        <f t="shared" si="5"/>
        <v>15.35811522341802</v>
      </c>
      <c r="M109" s="334"/>
      <c r="N109" s="551">
        <f>'Measurement Data'!$AD$30+B109*'Measurement Data'!$AD$31+B109^2*'Measurement Data'!$AD$32+B109^3*'Measurement Data'!$AD$33</f>
        <v>15.336978574800083</v>
      </c>
      <c r="O109" s="553">
        <f t="shared" si="6"/>
        <v>15.322259088415183</v>
      </c>
      <c r="P109" s="552">
        <f t="shared" si="7"/>
        <v>15.351698061184983</v>
      </c>
      <c r="Q109" s="550"/>
      <c r="R109" s="312">
        <f>SUMPRODUCT(A109:E109,'Measurement Data'!$BI$43:$BM$43)</f>
        <v>15.326745735379639</v>
      </c>
      <c r="S109" s="308">
        <f t="shared" si="8"/>
        <v>15.314992785987016</v>
      </c>
      <c r="T109" s="353">
        <f t="shared" si="9"/>
        <v>15.338498684772262</v>
      </c>
      <c r="U109" s="308"/>
      <c r="V109" s="319">
        <f>SUMPRODUCT($A109:$B109,'Measurement Data'!$K$52:$L$52)</f>
        <v>-3.3272330200191449E-2</v>
      </c>
      <c r="W109" s="322">
        <f>SUMPRODUCT($A109:$B109,'Measurement Data'!$K$53:$L$53)</f>
        <v>1.3224964054334796E-2</v>
      </c>
      <c r="X109" s="331">
        <f>SUMPRODUCT($A109:$C109,'Measurement Data'!$U$59:$W$59)</f>
        <v>1.7161963776423815E-5</v>
      </c>
      <c r="Y109" s="332">
        <f>SUMPRODUCT($A109:$C109,'Measurement Data'!$U$60:$W$60)</f>
        <v>-2.2108235120708072E-5</v>
      </c>
      <c r="Z109" s="332">
        <f>SUMPRODUCT($A109:$C109,'Measurement Data'!$U$61:$W$61)</f>
        <v>3.8876077797312929E-6</v>
      </c>
      <c r="AA109" s="570">
        <f>SUMPRODUCT($A109:$D109,'Measurement Data'!$AD$59:$AG$59)</f>
        <v>7.3448829241088819E-6</v>
      </c>
      <c r="AB109" s="552">
        <f>SUMPRODUCT($A109:$D109,'Measurement Data'!$AD$60:$AG$60)</f>
        <v>-6.9334663522716694E-6</v>
      </c>
      <c r="AC109" s="552">
        <f>SUMPRODUCT($A109:$D109,'Measurement Data'!$AD$61:$AG$61)</f>
        <v>-4.4345730216904192E-7</v>
      </c>
      <c r="AD109" s="571">
        <f>SUMPRODUCT($A109:$D109,'Measurement Data'!$AD$62:$AG$62)</f>
        <v>3.2081963569632009E-7</v>
      </c>
      <c r="AE109" s="308">
        <f>SUMPRODUCT(A109:E109,'Measurement Data'!$BG$59:$BK$59)</f>
        <v>-1.3877326477180606E-5</v>
      </c>
      <c r="AF109" s="308">
        <f>SUMPRODUCT(A109:E109,'Measurement Data'!$BG$60:$BK$60)</f>
        <v>4.8974288839260041E-5</v>
      </c>
      <c r="AG109" s="308">
        <f>SUMPRODUCT(A109:E109,'Measurement Data'!$BG$61:$BK$61)</f>
        <v>-2.8367414654555112E-5</v>
      </c>
      <c r="AH109" s="308">
        <f>SUMPRODUCT(A109:E109,'Measurement Data'!$BG$62:$BK$62)</f>
        <v>5.1233433084703003E-6</v>
      </c>
      <c r="AI109" s="310">
        <f>SUMPRODUCT(A109:E109,'Measurement Data'!$BG$63:$BK$63)</f>
        <v>-2.7461003250896162E-7</v>
      </c>
    </row>
    <row r="110" spans="1:35" ht="18" customHeight="1" x14ac:dyDescent="0.2">
      <c r="A110" s="432">
        <v>1</v>
      </c>
      <c r="B110" s="433">
        <f t="shared" si="12"/>
        <v>8.4599999999999955</v>
      </c>
      <c r="C110" s="434">
        <f t="shared" si="1"/>
        <v>71.571599999999918</v>
      </c>
      <c r="D110" s="563">
        <f t="shared" si="2"/>
        <v>605.49573599999894</v>
      </c>
      <c r="E110" s="435">
        <f t="shared" si="3"/>
        <v>5122.4939265599887</v>
      </c>
      <c r="F110" s="355">
        <f>'Measurement Data'!$K$27+'Measurement Data'!$K$28*'Chart Data'!B110</f>
        <v>15.000540757894747</v>
      </c>
      <c r="G110" s="320">
        <f t="shared" si="4"/>
        <v>14.399688705834022</v>
      </c>
      <c r="H110" s="354">
        <f t="shared" si="10"/>
        <v>15.601392809955472</v>
      </c>
      <c r="I110" s="322"/>
      <c r="J110" s="337">
        <f>'Measurement Data'!$U$30+'Chart Data'!B110*'Measurement Data'!$U$31+'Chart Data'!B110^2*'Measurement Data'!$U$32</f>
        <v>15.818170033436513</v>
      </c>
      <c r="K110" s="332">
        <f t="shared" si="11"/>
        <v>15.795207902048716</v>
      </c>
      <c r="L110" s="336">
        <f t="shared" si="5"/>
        <v>15.841132164824309</v>
      </c>
      <c r="M110" s="334"/>
      <c r="N110" s="551">
        <f>'Measurement Data'!$AD$30+B110*'Measurement Data'!$AD$31+B110^2*'Measurement Data'!$AD$32+B110^3*'Measurement Data'!$AD$33</f>
        <v>15.818531124277298</v>
      </c>
      <c r="O110" s="553">
        <f t="shared" si="6"/>
        <v>15.80219333166575</v>
      </c>
      <c r="P110" s="552">
        <f t="shared" si="7"/>
        <v>15.834868916888846</v>
      </c>
      <c r="Q110" s="550"/>
      <c r="R110" s="312">
        <f>SUMPRODUCT(A110:E110,'Measurement Data'!$BI$43:$BM$43)</f>
        <v>15.814159159914876</v>
      </c>
      <c r="S110" s="308">
        <f t="shared" si="8"/>
        <v>15.801755833213026</v>
      </c>
      <c r="T110" s="353">
        <f t="shared" si="9"/>
        <v>15.826562486616726</v>
      </c>
      <c r="U110" s="308"/>
      <c r="V110" s="319">
        <f>SUMPRODUCT($A110:$B110,'Measurement Data'!$K$52:$L$52)</f>
        <v>-3.6106251068977482E-2</v>
      </c>
      <c r="W110" s="322">
        <f>SUMPRODUCT($A110:$B110,'Measurement Data'!$K$53:$L$53)</f>
        <v>1.3854724247398358E-2</v>
      </c>
      <c r="X110" s="331">
        <f>SUMPRODUCT($A110:$C110,'Measurement Data'!$U$59:$W$59)</f>
        <v>2.4574670390542855E-5</v>
      </c>
      <c r="Y110" s="332">
        <f>SUMPRODUCT($A110:$C110,'Measurement Data'!$U$60:$W$60)</f>
        <v>-2.8675660212983437E-5</v>
      </c>
      <c r="Z110" s="332">
        <f>SUMPRODUCT($A110:$C110,'Measurement Data'!$U$61:$W$61)</f>
        <v>4.6854710698617479E-6</v>
      </c>
      <c r="AA110" s="570">
        <f>SUMPRODUCT($A110:$D110,'Measurement Data'!$AD$59:$AG$59)</f>
        <v>-2.8001221769517835E-6</v>
      </c>
      <c r="AB110" s="552">
        <f>SUMPRODUCT($A110:$D110,'Measurement Data'!$AD$60:$AG$60)</f>
        <v>1.3638970128263157E-5</v>
      </c>
      <c r="AC110" s="552">
        <f>SUMPRODUCT($A110:$D110,'Measurement Data'!$AD$61:$AG$61)</f>
        <v>-7.3916432981471032E-6</v>
      </c>
      <c r="AD110" s="571">
        <f>SUMPRODUCT($A110:$D110,'Measurement Data'!$AD$62:$AG$62)</f>
        <v>8.9460106429697602E-7</v>
      </c>
      <c r="AE110" s="308">
        <f>SUMPRODUCT(A110:E110,'Measurement Data'!$BG$59:$BK$59)</f>
        <v>-9.267489883773173E-6</v>
      </c>
      <c r="AF110" s="308">
        <f>SUMPRODUCT(A110:E110,'Measurement Data'!$BG$60:$BK$60)</f>
        <v>3.0257320701587362E-5</v>
      </c>
      <c r="AG110" s="308">
        <f>SUMPRODUCT(A110:E110,'Measurement Data'!$BG$61:$BK$61)</f>
        <v>-1.6168950043928508E-5</v>
      </c>
      <c r="AH110" s="308">
        <f>SUMPRODUCT(A110:E110,'Measurement Data'!$BG$62:$BK$62)</f>
        <v>2.614819525842871E-6</v>
      </c>
      <c r="AI110" s="310">
        <f>SUMPRODUCT(A110:E110,'Measurement Data'!$BG$63:$BK$63)</f>
        <v>-1.1732669978093568E-7</v>
      </c>
    </row>
    <row r="111" spans="1:35" ht="18" customHeight="1" x14ac:dyDescent="0.2">
      <c r="A111" s="432">
        <v>1</v>
      </c>
      <c r="B111" s="433">
        <f t="shared" si="12"/>
        <v>8.6399999999999952</v>
      </c>
      <c r="C111" s="434">
        <f t="shared" si="1"/>
        <v>74.649599999999921</v>
      </c>
      <c r="D111" s="563">
        <f t="shared" si="2"/>
        <v>644.97254399999895</v>
      </c>
      <c r="E111" s="435">
        <f t="shared" si="3"/>
        <v>5572.5627801599885</v>
      </c>
      <c r="F111" s="355">
        <f>'Measurement Data'!$K$27+'Measurement Data'!$K$28*'Chart Data'!B111</f>
        <v>15.342632084210535</v>
      </c>
      <c r="G111" s="320">
        <f t="shared" si="4"/>
        <v>14.723172935386332</v>
      </c>
      <c r="H111" s="354">
        <f t="shared" si="10"/>
        <v>15.962091233034739</v>
      </c>
      <c r="I111" s="322"/>
      <c r="J111" s="337">
        <f>'Measurement Data'!$U$30+'Chart Data'!B111*'Measurement Data'!$U$31+'Chart Data'!B111^2*'Measurement Data'!$U$32</f>
        <v>16.305966782131783</v>
      </c>
      <c r="K111" s="332">
        <f t="shared" si="11"/>
        <v>16.281138214390349</v>
      </c>
      <c r="L111" s="336">
        <f t="shared" si="5"/>
        <v>16.330795349873217</v>
      </c>
      <c r="M111" s="334"/>
      <c r="N111" s="551">
        <f>'Measurement Data'!$AD$30+B111*'Measurement Data'!$AD$31+B111^2*'Measurement Data'!$AD$32+B111^3*'Measurement Data'!$AD$33</f>
        <v>16.306590925789536</v>
      </c>
      <c r="O111" s="553">
        <f t="shared" si="6"/>
        <v>16.288078145271815</v>
      </c>
      <c r="P111" s="552">
        <f t="shared" si="7"/>
        <v>16.325103706307257</v>
      </c>
      <c r="Q111" s="550"/>
      <c r="R111" s="312">
        <f>SUMPRODUCT(A111:E111,'Measurement Data'!$BI$43:$BM$43)</f>
        <v>16.309962302834521</v>
      </c>
      <c r="S111" s="308">
        <f t="shared" si="8"/>
        <v>16.295977609664369</v>
      </c>
      <c r="T111" s="353">
        <f t="shared" si="9"/>
        <v>16.323946996004672</v>
      </c>
      <c r="U111" s="308"/>
      <c r="V111" s="319">
        <f>SUMPRODUCT($A111:$B111,'Measurement Data'!$K$52:$L$52)</f>
        <v>-3.8940171937763515E-2</v>
      </c>
      <c r="W111" s="322">
        <f>SUMPRODUCT($A111:$B111,'Measurement Data'!$K$53:$L$53)</f>
        <v>1.4484484440461919E-2</v>
      </c>
      <c r="X111" s="331">
        <f>SUMPRODUCT($A111:$C111,'Measurement Data'!$U$59:$W$59)</f>
        <v>3.2460528490669519E-5</v>
      </c>
      <c r="Y111" s="332">
        <f>SUMPRODUCT($A111:$C111,'Measurement Data'!$U$60:$W$60)</f>
        <v>-3.5577074589499577E-5</v>
      </c>
      <c r="Z111" s="332">
        <f>SUMPRODUCT($A111:$C111,'Measurement Data'!$U$61:$W$61)</f>
        <v>5.520444280463406E-6</v>
      </c>
      <c r="AA111" s="570">
        <f>SUMPRODUCT($A111:$D111,'Measurement Data'!$AD$59:$AG$59)</f>
        <v>-1.4856659281482863E-5</v>
      </c>
      <c r="AB111" s="552">
        <f>SUMPRODUCT($A111:$D111,'Measurement Data'!$AD$60:$AG$60)</f>
        <v>3.7563545724960019E-5</v>
      </c>
      <c r="AC111" s="552">
        <f>SUMPRODUCT($A111:$D111,'Measurement Data'!$AD$61:$AG$61)</f>
        <v>-1.5354785619012311E-5</v>
      </c>
      <c r="AD111" s="571">
        <f>SUMPRODUCT($A111:$D111,'Measurement Data'!$AD$62:$AG$62)</f>
        <v>1.5463133258871017E-6</v>
      </c>
      <c r="AE111" s="308">
        <f>SUMPRODUCT(A111:E111,'Measurement Data'!$BG$59:$BK$59)</f>
        <v>-2.4197567716909181E-6</v>
      </c>
      <c r="AF111" s="308">
        <f>SUMPRODUCT(A111:E111,'Measurement Data'!$BG$60:$BK$60)</f>
        <v>3.6983548673194533E-6</v>
      </c>
      <c r="AG111" s="308">
        <f>SUMPRODUCT(A111:E111,'Measurement Data'!$BG$61:$BK$61)</f>
        <v>6.3161068231294692E-7</v>
      </c>
      <c r="AH111" s="308">
        <f>SUMPRODUCT(A111:E111,'Measurement Data'!$BG$62:$BK$62)</f>
        <v>-7.5921879561565569E-7</v>
      </c>
      <c r="AI111" s="310">
        <f>SUMPRODUCT(A111:E111,'Measurement Data'!$BG$63:$BK$63)</f>
        <v>9.0474785662778435E-8</v>
      </c>
    </row>
    <row r="112" spans="1:35" ht="18" customHeight="1" x14ac:dyDescent="0.2">
      <c r="A112" s="432">
        <v>1</v>
      </c>
      <c r="B112" s="433">
        <f t="shared" si="12"/>
        <v>8.819999999999995</v>
      </c>
      <c r="C112" s="434">
        <f t="shared" si="1"/>
        <v>77.792399999999915</v>
      </c>
      <c r="D112" s="563">
        <f t="shared" si="2"/>
        <v>686.12896799999885</v>
      </c>
      <c r="E112" s="435">
        <f t="shared" si="3"/>
        <v>6051.6574977599867</v>
      </c>
      <c r="F112" s="355">
        <f>'Measurement Data'!$K$27+'Measurement Data'!$K$28*'Chart Data'!B112</f>
        <v>15.684723410526324</v>
      </c>
      <c r="G112" s="320">
        <f t="shared" si="4"/>
        <v>15.046409020001088</v>
      </c>
      <c r="H112" s="354">
        <f t="shared" si="10"/>
        <v>16.323037801051562</v>
      </c>
      <c r="I112" s="322"/>
      <c r="J112" s="337">
        <f>'Measurement Data'!$U$30+'Chart Data'!B112*'Measurement Data'!$U$31+'Chart Data'!B112^2*'Measurement Data'!$U$32</f>
        <v>16.800239327377245</v>
      </c>
      <c r="K112" s="332">
        <f t="shared" si="11"/>
        <v>16.773382249792025</v>
      </c>
      <c r="L112" s="336">
        <f t="shared" si="5"/>
        <v>16.827096404962465</v>
      </c>
      <c r="M112" s="334"/>
      <c r="N112" s="551">
        <f>'Measurement Data'!$AD$30+B112*'Measurement Data'!$AD$31+B112^2*'Measurement Data'!$AD$32+B112^3*'Measurement Data'!$AD$33</f>
        <v>16.801159409131561</v>
      </c>
      <c r="O112" s="553">
        <f t="shared" si="6"/>
        <v>16.77991064791642</v>
      </c>
      <c r="P112" s="552">
        <f t="shared" si="7"/>
        <v>16.822408170346701</v>
      </c>
      <c r="Q112" s="550"/>
      <c r="R112" s="312">
        <f>SUMPRODUCT(A112:E112,'Measurement Data'!$BI$43:$BM$43)</f>
        <v>16.814376121320986</v>
      </c>
      <c r="S112" s="308">
        <f t="shared" si="8"/>
        <v>16.797601535350381</v>
      </c>
      <c r="T112" s="353">
        <f t="shared" si="9"/>
        <v>16.831150707291592</v>
      </c>
      <c r="U112" s="308"/>
      <c r="V112" s="319">
        <f>SUMPRODUCT($A112:$B112,'Measurement Data'!$K$52:$L$52)</f>
        <v>-4.177409280654952E-2</v>
      </c>
      <c r="W112" s="322">
        <f>SUMPRODUCT($A112:$B112,'Measurement Data'!$K$53:$L$53)</f>
        <v>1.5114244633525481E-2</v>
      </c>
      <c r="X112" s="331">
        <f>SUMPRODUCT($A112:$C112,'Measurement Data'!$U$59:$W$59)</f>
        <v>4.0819538076803806E-5</v>
      </c>
      <c r="Y112" s="332">
        <f>SUMPRODUCT($A112:$C112,'Measurement Data'!$U$60:$W$60)</f>
        <v>-4.2812478250256328E-5</v>
      </c>
      <c r="Z112" s="332">
        <f>SUMPRODUCT($A112:$C112,'Measurement Data'!$U$61:$W$61)</f>
        <v>6.3925274115362403E-6</v>
      </c>
      <c r="AA112" s="570">
        <f>SUMPRODUCT($A112:$D112,'Measurement Data'!$AD$59:$AG$59)</f>
        <v>-2.8933123093551495E-5</v>
      </c>
      <c r="AB112" s="552">
        <f>SUMPRODUCT($A112:$D112,'Measurement Data'!$AD$60:$AG$60)</f>
        <v>6.500781172874559E-5</v>
      </c>
      <c r="AC112" s="552">
        <f>SUMPRODUCT($A112:$D112,'Measurement Data'!$AD$61:$AG$61)</f>
        <v>-2.4380705457735258E-5</v>
      </c>
      <c r="AD112" s="571">
        <f>SUMPRODUCT($A112:$D112,'Measurement Data'!$AD$62:$AG$62)</f>
        <v>2.2794987310571541E-6</v>
      </c>
      <c r="AE112" s="308">
        <f>SUMPRODUCT(A112:E112,'Measurement Data'!$BG$59:$BK$59)</f>
        <v>6.9912330674937184E-6</v>
      </c>
      <c r="AF112" s="308">
        <f>SUMPRODUCT(A112:E112,'Measurement Data'!$BG$60:$BK$60)</f>
        <v>-3.1742692347220755E-5</v>
      </c>
      <c r="AG112" s="308">
        <f>SUMPRODUCT(A112:E112,'Measurement Data'!$BG$61:$BK$61)</f>
        <v>2.2610606757147295E-5</v>
      </c>
      <c r="AH112" s="308">
        <f>SUMPRODUCT(A112:E112,'Measurement Data'!$BG$62:$BK$62)</f>
        <v>-5.1028230572153655E-6</v>
      </c>
      <c r="AI112" s="310">
        <f>SUMPRODUCT(A112:E112,'Measurement Data'!$BG$63:$BK$63)</f>
        <v>3.546856941223761E-7</v>
      </c>
    </row>
    <row r="113" spans="1:35" ht="18" customHeight="1" x14ac:dyDescent="0.2">
      <c r="A113" s="436">
        <v>1</v>
      </c>
      <c r="B113" s="437">
        <f>B112+0.02*($A$7-$B$63)</f>
        <v>8.9999999999999947</v>
      </c>
      <c r="C113" s="438">
        <f t="shared" si="1"/>
        <v>80.999999999999901</v>
      </c>
      <c r="D113" s="561">
        <f t="shared" si="2"/>
        <v>728.99999999999864</v>
      </c>
      <c r="E113" s="439">
        <f t="shared" si="3"/>
        <v>6560.9999999999836</v>
      </c>
      <c r="F113" s="356">
        <f>'Measurement Data'!$K$27+'Measurement Data'!$K$28*'Chart Data'!B113</f>
        <v>16.026814736842116</v>
      </c>
      <c r="G113" s="419">
        <f t="shared" si="4"/>
        <v>15.369418310981452</v>
      </c>
      <c r="H113" s="358">
        <f t="shared" si="10"/>
        <v>16.68421116270278</v>
      </c>
      <c r="I113" s="323"/>
      <c r="J113" s="338">
        <f>'Measurement Data'!$U$30+'Chart Data'!B113*'Measurement Data'!$U$31+'Chart Data'!B113^2*'Measurement Data'!$U$32</f>
        <v>17.300987669172908</v>
      </c>
      <c r="K113" s="339">
        <f t="shared" si="11"/>
        <v>17.27194773527857</v>
      </c>
      <c r="L113" s="357">
        <f t="shared" si="5"/>
        <v>17.330027603067247</v>
      </c>
      <c r="M113" s="340"/>
      <c r="N113" s="554">
        <f>'Measurement Data'!$AD$30+B113*'Measurement Data'!$AD$31+B113^2*'Measurement Data'!$AD$32+B113^3*'Measurement Data'!$AD$33</f>
        <v>17.30223800409814</v>
      </c>
      <c r="O113" s="555">
        <f t="shared" si="6"/>
        <v>17.27770201504201</v>
      </c>
      <c r="P113" s="556">
        <f t="shared" si="7"/>
        <v>17.326773993154269</v>
      </c>
      <c r="Q113" s="557"/>
      <c r="R113" s="313">
        <f>SUMPRODUCT(A113:E113,'Measurement Data'!$BI$43:$BM$43)</f>
        <v>17.327631329329481</v>
      </c>
      <c r="S113" s="314">
        <f t="shared" si="8"/>
        <v>17.306741026239262</v>
      </c>
      <c r="T113" s="359">
        <f t="shared" si="9"/>
        <v>17.3485216324197</v>
      </c>
      <c r="U113" s="314"/>
      <c r="V113" s="442">
        <f>SUMPRODUCT($A113:$B113,'Measurement Data'!$K$52:$L$52)</f>
        <v>-4.4608013675335553E-2</v>
      </c>
      <c r="W113" s="323">
        <f>SUMPRODUCT($A113:$B113,'Measurement Data'!$K$53:$L$53)</f>
        <v>1.5744004826589043E-2</v>
      </c>
      <c r="X113" s="452">
        <f>SUMPRODUCT($A113:$C113,'Measurement Data'!$U$59:$W$59)</f>
        <v>4.9651699148945609E-5</v>
      </c>
      <c r="Y113" s="339">
        <f>SUMPRODUCT($A113:$C113,'Measurement Data'!$U$60:$W$60)</f>
        <v>-5.0381871195253692E-5</v>
      </c>
      <c r="Z113" s="339">
        <f>SUMPRODUCT($A113:$C113,'Measurement Data'!$U$61:$W$61)</f>
        <v>7.3017204630802506E-6</v>
      </c>
      <c r="AA113" s="572">
        <f>SUMPRODUCT($A113:$D113,'Measurement Data'!$AD$59:$AG$59)</f>
        <v>-4.5137908317225035E-5</v>
      </c>
      <c r="AB113" s="556">
        <f>SUMPRODUCT($A113:$D113,'Measurement Data'!$AD$60:$AG$60)</f>
        <v>9.6139319430548712E-5</v>
      </c>
      <c r="AC113" s="556">
        <f>SUMPRODUCT($A113:$D113,'Measurement Data'!$AD$61:$AG$61)</f>
        <v>-3.4517224007286538E-5</v>
      </c>
      <c r="AD113" s="573">
        <f>SUMPRODUCT($A113:$D113,'Measurement Data'!$AD$62:$AG$62)</f>
        <v>3.097699590397563E-6</v>
      </c>
      <c r="AE113" s="314">
        <f>SUMPRODUCT(A113:E113,'Measurement Data'!$BG$59:$BK$59)</f>
        <v>1.9308008687084904E-5</v>
      </c>
      <c r="AF113" s="314">
        <f>SUMPRODUCT(A113:E113,'Measurement Data'!$BG$60:$BK$60)</f>
        <v>-7.7156317067297864E-5</v>
      </c>
      <c r="AG113" s="314">
        <f>SUMPRODUCT(A113:E113,'Measurement Data'!$BG$61:$BK$61)</f>
        <v>5.0371187369027855E-5</v>
      </c>
      <c r="AH113" s="314">
        <f>SUMPRODUCT(A113:E113,'Measurement Data'!$BG$62:$BK$62)</f>
        <v>-1.0524757676506642E-5</v>
      </c>
      <c r="AI113" s="453">
        <f>SUMPRODUCT(A113:E113,'Measurement Data'!$BG$63:$BK$63)</f>
        <v>6.8145913013358634E-7</v>
      </c>
    </row>
  </sheetData>
  <sheetProtection sheet="1" objects="1" scenarios="1"/>
  <phoneticPr fontId="30" type="noConversion"/>
  <pageMargins left="0.75" right="0.75" top="0.17" bottom="0.23" header="0.17" footer="0.18"/>
  <pageSetup scale="27" orientation="landscape" r:id="rId1"/>
  <headerFooter alignWithMargins="0">
    <oddFooter>&amp;L&amp;F&amp;CPage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Readme</vt:lpstr>
      <vt:lpstr>Measurement Data</vt:lpstr>
      <vt:lpstr>Chart Data</vt:lpstr>
      <vt:lpstr>Curves 1</vt:lpstr>
      <vt:lpstr>Residuals 1</vt:lpstr>
      <vt:lpstr>Curves 2</vt:lpstr>
      <vt:lpstr>Residuals 2</vt:lpstr>
      <vt:lpstr>Curves 3</vt:lpstr>
      <vt:lpstr>Residuals 3</vt:lpstr>
      <vt:lpstr>Curves 4</vt:lpstr>
      <vt:lpstr>Residuals 4</vt:lpstr>
      <vt:lpstr>aa</vt:lpstr>
      <vt:lpstr>conc</vt:lpstr>
      <vt:lpstr>df</vt:lpstr>
      <vt:lpstr>n</vt:lpstr>
      <vt:lpstr>nn</vt:lpstr>
      <vt:lpstr>p</vt:lpstr>
      <vt:lpstr>'Measurement Data'!Print_Area</vt:lpstr>
      <vt:lpstr>reps</vt:lpstr>
      <vt:lpstr>t</vt:lpstr>
      <vt:lpstr>X</vt:lpstr>
      <vt:lpstr>xcubed</vt:lpstr>
      <vt:lpstr>xsquared</vt:lpstr>
      <vt:lpstr>xx</vt:lpstr>
      <vt:lpstr>Y</vt:lpstr>
      <vt:lpstr>yy</vt:lpstr>
    </vt:vector>
  </TitlesOfParts>
  <Company>Research Triangle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Calibration of Measurement System</dc:title>
  <dc:subject>Traceability Ptotocol - Calibration</dc:subject>
  <dc:creator>Michael Messner, RTI</dc:creator>
  <cp:keywords>Calibration, Traceability, Regression</cp:keywords>
  <dc:description>Linear, quadratic, cubic, and quartic models are supported.  Uncertainty of candidate standards is predicted.  Candidate standards are assayed and their concentrations are estimated, together with 95% uncertainty estimates.</dc:description>
  <cp:lastModifiedBy>Robert S Wright</cp:lastModifiedBy>
  <cp:lastPrinted>2012-05-13T18:53:01Z</cp:lastPrinted>
  <dcterms:created xsi:type="dcterms:W3CDTF">1997-09-17T17:03:37Z</dcterms:created>
  <dcterms:modified xsi:type="dcterms:W3CDTF">2016-02-29T22:31:50Z</dcterms:modified>
</cp:coreProperties>
</file>