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1.xml" ContentType="application/vnd.openxmlformats-officedocument.themeOverrid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2.xml" ContentType="application/vnd.openxmlformats-officedocument.themeOverrid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3.xml" ContentType="application/vnd.openxmlformats-officedocument.themeOverrid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4.xml" ContentType="application/vnd.openxmlformats-officedocument.themeOverrid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5.xml" ContentType="application/vnd.openxmlformats-officedocument.themeOverride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8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theme/themeOverride6.xml" ContentType="application/vnd.openxmlformats-officedocument.themeOverride+xml"/>
  <Override PartName="/xl/drawings/drawing9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0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1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theme/themeOverride7.xml" ContentType="application/vnd.openxmlformats-officedocument.themeOverride+xml"/>
  <Override PartName="/xl/drawings/drawing12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1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1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theme/themeOverride8.xml" ContentType="application/vnd.openxmlformats-officedocument.themeOverrid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theme/themeOverride9.xml" ContentType="application/vnd.openxmlformats-officedocument.themeOverride+xml"/>
  <Override PartName="/xl/drawings/drawing15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6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17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theme/themeOverride10.xml" ContentType="application/vnd.openxmlformats-officedocument.themeOverride+xml"/>
  <Override PartName="/xl/drawings/drawing18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53222"/>
  <mc:AlternateContent xmlns:mc="http://schemas.openxmlformats.org/markup-compatibility/2006">
    <mc:Choice Requires="x15">
      <x15ac:absPath xmlns:x15ac="http://schemas.microsoft.com/office/spreadsheetml/2010/11/ac" url="\\nassrvr\users\mmoreau\My Documents\CAPHRA\White paper may submission\"/>
    </mc:Choice>
  </mc:AlternateContent>
  <bookViews>
    <workbookView xWindow="0" yWindow="0" windowWidth="25200" windowHeight="12345" tabRatio="669" firstSheet="10" activeTab="19"/>
  </bookViews>
  <sheets>
    <sheet name="BW" sheetId="97" r:id="rId1"/>
    <sheet name="BH" sheetId="98" r:id="rId2"/>
    <sheet name="BSA" sheetId="19" r:id="rId3"/>
    <sheet name="BMI" sheetId="99" r:id="rId4"/>
    <sheet name="HCT" sheetId="17" r:id="rId5"/>
    <sheet name="Pulmonary parameters" sheetId="100" r:id="rId6"/>
    <sheet name="Drinking Water" sheetId="84" r:id="rId7"/>
    <sheet name="Brain Vol" sheetId="18" r:id="rId8"/>
    <sheet name="Fat Vol " sheetId="96" r:id="rId9"/>
    <sheet name="Liver Vol" sheetId="42" r:id="rId10"/>
    <sheet name="Gut vol" sheetId="80" r:id="rId11"/>
    <sheet name="Rap perf tissue Vol" sheetId="85" r:id="rId12"/>
    <sheet name="Plasma Vol" sheetId="60" r:id="rId13"/>
    <sheet name="QC" sheetId="22" r:id="rId14"/>
    <sheet name="Brain flow" sheetId="78" r:id="rId15"/>
    <sheet name="Fat flow" sheetId="77" r:id="rId16"/>
    <sheet name="GUT flow " sheetId="81" r:id="rId17"/>
    <sheet name="Rap perf tissues flow" sheetId="86" r:id="rId18"/>
    <sheet name="Liver flow" sheetId="76" r:id="rId19"/>
    <sheet name="Mean liver weight-need update" sheetId="95" r:id="rId20"/>
  </sheets>
  <externalReferences>
    <externalReference r:id="rId21"/>
  </externalReferences>
  <definedNames>
    <definedName name="_xlnm.Print_Area" localSheetId="7">'Brain Vol'!$B$1:$P$39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95" l="1"/>
  <c r="E13" i="95"/>
  <c r="E9" i="95"/>
  <c r="E8" i="99"/>
  <c r="I23" i="76"/>
  <c r="I16" i="76"/>
  <c r="I12" i="76"/>
  <c r="H23" i="76"/>
  <c r="H16" i="76"/>
  <c r="H12" i="76"/>
  <c r="F23" i="76"/>
  <c r="F16" i="76"/>
  <c r="F12" i="76"/>
  <c r="D23" i="76"/>
  <c r="D16" i="76"/>
  <c r="D12" i="76"/>
  <c r="F24" i="86"/>
  <c r="F17" i="86"/>
  <c r="F13" i="86"/>
  <c r="D24" i="86"/>
  <c r="D17" i="86"/>
  <c r="D13" i="86"/>
  <c r="F22" i="81"/>
  <c r="F15" i="81"/>
  <c r="F11" i="81"/>
  <c r="D22" i="81"/>
  <c r="D15" i="81"/>
  <c r="D11" i="81"/>
  <c r="F22" i="77"/>
  <c r="F15" i="77"/>
  <c r="F11" i="77"/>
  <c r="D22" i="77"/>
  <c r="D15" i="77"/>
  <c r="D11" i="77"/>
  <c r="H22" i="78"/>
  <c r="H15" i="78"/>
  <c r="H11" i="78"/>
  <c r="F11" i="78"/>
  <c r="F22" i="78"/>
  <c r="F15" i="78"/>
  <c r="L21" i="100"/>
  <c r="L25" i="100"/>
  <c r="G25" i="100"/>
  <c r="C25" i="100"/>
  <c r="X21" i="100"/>
  <c r="I22" i="60"/>
  <c r="I15" i="60"/>
  <c r="I11" i="60"/>
  <c r="H22" i="60"/>
  <c r="H15" i="60"/>
  <c r="H11" i="60"/>
  <c r="G22" i="60"/>
  <c r="G15" i="60"/>
  <c r="G11" i="60"/>
  <c r="E22" i="60"/>
  <c r="E15" i="60"/>
  <c r="E11" i="60"/>
  <c r="F22" i="85"/>
  <c r="F15" i="85"/>
  <c r="F11" i="85"/>
  <c r="E22" i="85"/>
  <c r="E15" i="85"/>
  <c r="E11" i="85"/>
  <c r="G22" i="80"/>
  <c r="G15" i="80"/>
  <c r="G11" i="80"/>
  <c r="F22" i="80"/>
  <c r="F15" i="80"/>
  <c r="F11" i="80"/>
  <c r="E22" i="80"/>
  <c r="E15" i="80"/>
  <c r="E11" i="80"/>
  <c r="G28" i="42"/>
  <c r="G17" i="42"/>
  <c r="E28" i="42"/>
  <c r="E21" i="42"/>
  <c r="G21" i="42" s="1"/>
  <c r="E17" i="42"/>
  <c r="H22" i="96"/>
  <c r="H15" i="96"/>
  <c r="H11" i="96"/>
  <c r="G22" i="96"/>
  <c r="G11" i="96"/>
  <c r="G15" i="96"/>
  <c r="F22" i="96"/>
  <c r="F15" i="96"/>
  <c r="F11" i="96"/>
  <c r="D10" i="18"/>
  <c r="F21" i="18"/>
  <c r="F14" i="18"/>
  <c r="F10" i="18"/>
  <c r="D21" i="18"/>
  <c r="D14" i="18"/>
  <c r="G12" i="22"/>
  <c r="F12" i="22"/>
  <c r="E12" i="22"/>
  <c r="G23" i="22"/>
  <c r="G16" i="22"/>
  <c r="F23" i="22"/>
  <c r="F16" i="22"/>
  <c r="E23" i="22"/>
  <c r="E16" i="22"/>
  <c r="E19" i="19"/>
  <c r="E12" i="19"/>
  <c r="E8" i="19"/>
  <c r="D17" i="17"/>
  <c r="D10" i="17"/>
  <c r="E6" i="95"/>
  <c r="H9" i="76"/>
  <c r="I9" i="76" s="1"/>
  <c r="F9" i="76"/>
  <c r="D9" i="76"/>
  <c r="F10" i="86"/>
  <c r="D10" i="86"/>
  <c r="F8" i="77"/>
  <c r="D8" i="77"/>
  <c r="F8" i="81"/>
  <c r="D8" i="81"/>
  <c r="H8" i="78"/>
  <c r="G9" i="22"/>
  <c r="F9" i="22"/>
  <c r="E9" i="22"/>
  <c r="I8" i="60"/>
  <c r="H8" i="60"/>
  <c r="G8" i="60"/>
  <c r="E8" i="60"/>
  <c r="F8" i="85"/>
  <c r="E8" i="85"/>
  <c r="G8" i="80"/>
  <c r="F8" i="80"/>
  <c r="E8" i="80"/>
  <c r="G14" i="42"/>
  <c r="E14" i="42"/>
  <c r="F8" i="96"/>
  <c r="G8" i="96" s="1"/>
  <c r="H8" i="96" s="1"/>
  <c r="F7" i="18"/>
  <c r="D7" i="18"/>
  <c r="D4" i="17"/>
  <c r="E5" i="19"/>
  <c r="E18" i="97" l="1"/>
  <c r="E19" i="97"/>
  <c r="E20" i="97"/>
  <c r="E21" i="97"/>
  <c r="D11" i="76" l="1"/>
  <c r="D13" i="76"/>
  <c r="D14" i="76"/>
  <c r="D15" i="76"/>
  <c r="D17" i="76"/>
  <c r="D18" i="76"/>
  <c r="D19" i="76"/>
  <c r="D20" i="76"/>
  <c r="D21" i="76"/>
  <c r="D22" i="76"/>
  <c r="D24" i="76"/>
  <c r="D25" i="76"/>
  <c r="D26" i="76"/>
  <c r="D27" i="76"/>
  <c r="D28" i="76"/>
  <c r="D29" i="76"/>
  <c r="D30" i="76"/>
  <c r="D31" i="76"/>
  <c r="D32" i="76"/>
  <c r="D33" i="76"/>
  <c r="D34" i="76"/>
  <c r="D35" i="76"/>
  <c r="D36" i="76"/>
  <c r="D37" i="76"/>
  <c r="D38" i="76"/>
  <c r="D39" i="76"/>
  <c r="D40" i="76"/>
  <c r="D41" i="76"/>
  <c r="D42" i="76"/>
  <c r="D43" i="76"/>
  <c r="D44" i="76"/>
  <c r="D45" i="76"/>
  <c r="D46" i="76"/>
  <c r="D47" i="76"/>
  <c r="D48" i="76"/>
  <c r="D49" i="76"/>
  <c r="D50" i="76"/>
  <c r="D51" i="76"/>
  <c r="D52" i="76"/>
  <c r="D53" i="76"/>
  <c r="D54" i="76"/>
  <c r="D55" i="76"/>
  <c r="D56" i="76"/>
  <c r="D57" i="76"/>
  <c r="D58" i="76"/>
  <c r="D59" i="76"/>
  <c r="D60" i="76"/>
  <c r="D61" i="76"/>
  <c r="D62" i="76"/>
  <c r="D63" i="76"/>
  <c r="D64" i="76"/>
  <c r="D65" i="76"/>
  <c r="D66" i="76"/>
  <c r="D67" i="76"/>
  <c r="D68" i="76"/>
  <c r="D69" i="76"/>
  <c r="D70" i="76"/>
  <c r="D71" i="76"/>
  <c r="D72" i="76"/>
  <c r="D73" i="76"/>
  <c r="D10" i="76"/>
  <c r="D12" i="86"/>
  <c r="D14" i="86"/>
  <c r="D15" i="86"/>
  <c r="D16" i="86"/>
  <c r="D18" i="86"/>
  <c r="D19" i="86"/>
  <c r="D20" i="86"/>
  <c r="D21" i="86"/>
  <c r="D22" i="86"/>
  <c r="D23" i="86"/>
  <c r="D25" i="86"/>
  <c r="D26" i="86"/>
  <c r="D27" i="86"/>
  <c r="D28" i="86"/>
  <c r="D29" i="86"/>
  <c r="D30" i="86"/>
  <c r="D31" i="86"/>
  <c r="D32" i="86"/>
  <c r="D33" i="86"/>
  <c r="D34" i="86"/>
  <c r="D35" i="86"/>
  <c r="D36" i="86"/>
  <c r="D37" i="86"/>
  <c r="D38" i="86"/>
  <c r="D39" i="86"/>
  <c r="D40" i="86"/>
  <c r="D41" i="86"/>
  <c r="D42" i="86"/>
  <c r="D43" i="86"/>
  <c r="D44" i="86"/>
  <c r="D45" i="86"/>
  <c r="D46" i="86"/>
  <c r="D47" i="86"/>
  <c r="D48" i="86"/>
  <c r="D49" i="86"/>
  <c r="D50" i="86"/>
  <c r="D51" i="86"/>
  <c r="D52" i="86"/>
  <c r="D53" i="86"/>
  <c r="D54" i="86"/>
  <c r="D55" i="86"/>
  <c r="D56" i="86"/>
  <c r="D57" i="86"/>
  <c r="D58" i="86"/>
  <c r="D59" i="86"/>
  <c r="D60" i="86"/>
  <c r="D61" i="86"/>
  <c r="D62" i="86"/>
  <c r="D63" i="86"/>
  <c r="D64" i="86"/>
  <c r="D65" i="86"/>
  <c r="D66" i="86"/>
  <c r="D67" i="86"/>
  <c r="D68" i="86"/>
  <c r="D69" i="86"/>
  <c r="D70" i="86"/>
  <c r="D71" i="86"/>
  <c r="D72" i="86"/>
  <c r="D73" i="86"/>
  <c r="D74" i="86"/>
  <c r="D11" i="86"/>
  <c r="D10" i="81"/>
  <c r="D12" i="81"/>
  <c r="D13" i="81"/>
  <c r="D14" i="81"/>
  <c r="D16" i="81"/>
  <c r="D17" i="81"/>
  <c r="D18" i="81"/>
  <c r="D19" i="81"/>
  <c r="D20" i="81"/>
  <c r="D21" i="81"/>
  <c r="D23" i="81"/>
  <c r="D24" i="81"/>
  <c r="D25" i="81"/>
  <c r="D26" i="81"/>
  <c r="D27" i="81"/>
  <c r="D28" i="81"/>
  <c r="D29" i="81"/>
  <c r="D30" i="81"/>
  <c r="D31" i="81"/>
  <c r="D32" i="81"/>
  <c r="D33" i="81"/>
  <c r="D34" i="81"/>
  <c r="D35" i="81"/>
  <c r="D36" i="81"/>
  <c r="D37" i="81"/>
  <c r="D38" i="81"/>
  <c r="D39" i="81"/>
  <c r="D40" i="81"/>
  <c r="D41" i="81"/>
  <c r="D42" i="81"/>
  <c r="D43" i="81"/>
  <c r="D44" i="81"/>
  <c r="D45" i="81"/>
  <c r="D46" i="81"/>
  <c r="D47" i="81"/>
  <c r="D48" i="81"/>
  <c r="D49" i="81"/>
  <c r="D50" i="81"/>
  <c r="D51" i="81"/>
  <c r="D52" i="81"/>
  <c r="D53" i="81"/>
  <c r="D54" i="81"/>
  <c r="D55" i="81"/>
  <c r="D56" i="81"/>
  <c r="D57" i="81"/>
  <c r="D58" i="81"/>
  <c r="D59" i="81"/>
  <c r="D60" i="81"/>
  <c r="D61" i="81"/>
  <c r="D62" i="81"/>
  <c r="D63" i="81"/>
  <c r="D64" i="81"/>
  <c r="D65" i="81"/>
  <c r="D66" i="81"/>
  <c r="D67" i="81"/>
  <c r="D68" i="81"/>
  <c r="D69" i="81"/>
  <c r="D70" i="81"/>
  <c r="D71" i="81"/>
  <c r="D72" i="81"/>
  <c r="D9" i="81"/>
  <c r="D10" i="77"/>
  <c r="D12" i="77"/>
  <c r="D13" i="77"/>
  <c r="D14" i="77"/>
  <c r="D16" i="77"/>
  <c r="D17" i="77"/>
  <c r="D18" i="77"/>
  <c r="D19" i="77"/>
  <c r="D20" i="77"/>
  <c r="D21" i="77"/>
  <c r="D23" i="77"/>
  <c r="D24" i="77"/>
  <c r="D25" i="77"/>
  <c r="D26" i="77"/>
  <c r="D27" i="77"/>
  <c r="D28" i="77"/>
  <c r="D29" i="77"/>
  <c r="D30" i="77"/>
  <c r="D31" i="77"/>
  <c r="D32" i="77"/>
  <c r="D33" i="77"/>
  <c r="D34" i="77"/>
  <c r="D35" i="77"/>
  <c r="D36" i="77"/>
  <c r="D37" i="77"/>
  <c r="D38" i="77"/>
  <c r="D39" i="77"/>
  <c r="D40" i="77"/>
  <c r="D41" i="77"/>
  <c r="D42" i="77"/>
  <c r="D43" i="77"/>
  <c r="D44" i="77"/>
  <c r="D45" i="77"/>
  <c r="D46" i="77"/>
  <c r="D47" i="77"/>
  <c r="D48" i="77"/>
  <c r="D49" i="77"/>
  <c r="D50" i="77"/>
  <c r="D51" i="77"/>
  <c r="D52" i="77"/>
  <c r="D53" i="77"/>
  <c r="D54" i="77"/>
  <c r="D55" i="77"/>
  <c r="D56" i="77"/>
  <c r="D57" i="77"/>
  <c r="D58" i="77"/>
  <c r="D59" i="77"/>
  <c r="D60" i="77"/>
  <c r="D61" i="77"/>
  <c r="D62" i="77"/>
  <c r="D63" i="77"/>
  <c r="D64" i="77"/>
  <c r="D65" i="77"/>
  <c r="D66" i="77"/>
  <c r="D67" i="77"/>
  <c r="D68" i="77"/>
  <c r="D69" i="77"/>
  <c r="D70" i="77"/>
  <c r="D71" i="77"/>
  <c r="D72" i="77"/>
  <c r="D9" i="77"/>
  <c r="F34" i="96"/>
  <c r="F35" i="96"/>
  <c r="F36" i="96"/>
  <c r="F37" i="96"/>
  <c r="F38" i="96"/>
  <c r="F39" i="96"/>
  <c r="F40" i="96"/>
  <c r="F41" i="96"/>
  <c r="F42" i="96"/>
  <c r="F43" i="96"/>
  <c r="F44" i="96"/>
  <c r="F45" i="96"/>
  <c r="F46" i="96"/>
  <c r="F47" i="96"/>
  <c r="F48" i="96"/>
  <c r="F49" i="96"/>
  <c r="F50" i="96"/>
  <c r="F51" i="96"/>
  <c r="F52" i="96"/>
  <c r="F53" i="96"/>
  <c r="F54" i="96"/>
  <c r="F55" i="96"/>
  <c r="F56" i="96"/>
  <c r="F57" i="96"/>
  <c r="F58" i="96"/>
  <c r="F59" i="96"/>
  <c r="F60" i="96"/>
  <c r="F61" i="96"/>
  <c r="F62" i="96"/>
  <c r="F63" i="96"/>
  <c r="F64" i="96"/>
  <c r="F65" i="96"/>
  <c r="F66" i="96"/>
  <c r="F67" i="96"/>
  <c r="F68" i="96"/>
  <c r="F69" i="96"/>
  <c r="F70" i="96"/>
  <c r="F71" i="96"/>
  <c r="F72" i="96"/>
  <c r="F33" i="96"/>
  <c r="F32" i="96"/>
  <c r="F10" i="96"/>
  <c r="F12" i="96"/>
  <c r="F13" i="96"/>
  <c r="F14" i="96"/>
  <c r="F16" i="96"/>
  <c r="F17" i="96"/>
  <c r="F18" i="96"/>
  <c r="F19" i="96"/>
  <c r="F20" i="96"/>
  <c r="F21" i="96"/>
  <c r="F23" i="96"/>
  <c r="F24" i="96"/>
  <c r="F25" i="96"/>
  <c r="F26" i="96"/>
  <c r="F27" i="96"/>
  <c r="F28" i="96"/>
  <c r="F29" i="96"/>
  <c r="F30" i="96"/>
  <c r="F31" i="96"/>
  <c r="F9" i="96"/>
  <c r="AC81" i="100"/>
  <c r="Q81" i="100"/>
  <c r="L81" i="100"/>
  <c r="G81" i="100"/>
  <c r="C81" i="100"/>
  <c r="X80" i="100"/>
  <c r="Q80" i="100"/>
  <c r="L80" i="100"/>
  <c r="G80" i="100"/>
  <c r="C80" i="100"/>
  <c r="X79" i="100"/>
  <c r="Q79" i="100"/>
  <c r="L79" i="100"/>
  <c r="G79" i="100"/>
  <c r="C79" i="100"/>
  <c r="X78" i="100"/>
  <c r="Q78" i="100"/>
  <c r="L78" i="100"/>
  <c r="G78" i="100"/>
  <c r="C78" i="100"/>
  <c r="X77" i="100"/>
  <c r="Q77" i="100"/>
  <c r="L77" i="100"/>
  <c r="G77" i="100"/>
  <c r="C77" i="100"/>
  <c r="X76" i="100"/>
  <c r="Q76" i="100"/>
  <c r="L76" i="100"/>
  <c r="G76" i="100"/>
  <c r="C76" i="100"/>
  <c r="X75" i="100"/>
  <c r="Q75" i="100"/>
  <c r="L75" i="100"/>
  <c r="G75" i="100"/>
  <c r="C75" i="100"/>
  <c r="X74" i="100"/>
  <c r="Q74" i="100"/>
  <c r="L74" i="100"/>
  <c r="G74" i="100"/>
  <c r="C74" i="100"/>
  <c r="X73" i="100"/>
  <c r="Q73" i="100"/>
  <c r="L73" i="100"/>
  <c r="G73" i="100"/>
  <c r="C73" i="100"/>
  <c r="X72" i="100"/>
  <c r="Q72" i="100"/>
  <c r="L72" i="100"/>
  <c r="G72" i="100"/>
  <c r="C72" i="100"/>
  <c r="X71" i="100"/>
  <c r="Q71" i="100"/>
  <c r="L71" i="100"/>
  <c r="G71" i="100"/>
  <c r="C71" i="100"/>
  <c r="X70" i="100"/>
  <c r="Q70" i="100"/>
  <c r="L70" i="100"/>
  <c r="G70" i="100"/>
  <c r="C70" i="100"/>
  <c r="X69" i="100"/>
  <c r="Q69" i="100"/>
  <c r="L69" i="100"/>
  <c r="G69" i="100"/>
  <c r="C69" i="100"/>
  <c r="X68" i="100"/>
  <c r="Q68" i="100"/>
  <c r="L68" i="100"/>
  <c r="G68" i="100"/>
  <c r="C68" i="100"/>
  <c r="X67" i="100"/>
  <c r="Q67" i="100"/>
  <c r="L67" i="100"/>
  <c r="G67" i="100"/>
  <c r="C67" i="100"/>
  <c r="X66" i="100"/>
  <c r="Q66" i="100"/>
  <c r="L66" i="100"/>
  <c r="G66" i="100"/>
  <c r="C66" i="100"/>
  <c r="X65" i="100"/>
  <c r="Q65" i="100"/>
  <c r="L65" i="100"/>
  <c r="G65" i="100"/>
  <c r="C65" i="100"/>
  <c r="X64" i="100"/>
  <c r="Q64" i="100"/>
  <c r="L64" i="100"/>
  <c r="G64" i="100"/>
  <c r="C64" i="100"/>
  <c r="X63" i="100"/>
  <c r="Q63" i="100"/>
  <c r="L63" i="100"/>
  <c r="G63" i="100"/>
  <c r="C63" i="100"/>
  <c r="X62" i="100"/>
  <c r="Q62" i="100"/>
  <c r="L62" i="100"/>
  <c r="G62" i="100"/>
  <c r="C62" i="100"/>
  <c r="X61" i="100"/>
  <c r="Q61" i="100"/>
  <c r="L61" i="100"/>
  <c r="G61" i="100"/>
  <c r="C61" i="100"/>
  <c r="X60" i="100"/>
  <c r="Q60" i="100"/>
  <c r="L60" i="100"/>
  <c r="G60" i="100"/>
  <c r="C60" i="100"/>
  <c r="X59" i="100"/>
  <c r="Q59" i="100"/>
  <c r="L59" i="100"/>
  <c r="G59" i="100"/>
  <c r="C59" i="100"/>
  <c r="X58" i="100"/>
  <c r="Q58" i="100"/>
  <c r="L58" i="100"/>
  <c r="G58" i="100"/>
  <c r="C58" i="100"/>
  <c r="X57" i="100"/>
  <c r="Q57" i="100"/>
  <c r="L57" i="100"/>
  <c r="G57" i="100"/>
  <c r="C57" i="100"/>
  <c r="X56" i="100"/>
  <c r="Q56" i="100"/>
  <c r="L56" i="100"/>
  <c r="G56" i="100"/>
  <c r="C56" i="100"/>
  <c r="X55" i="100"/>
  <c r="Q55" i="100"/>
  <c r="L55" i="100"/>
  <c r="G55" i="100"/>
  <c r="C55" i="100"/>
  <c r="X54" i="100"/>
  <c r="Q54" i="100"/>
  <c r="L54" i="100"/>
  <c r="G54" i="100"/>
  <c r="C54" i="100"/>
  <c r="X53" i="100"/>
  <c r="Q53" i="100"/>
  <c r="L53" i="100"/>
  <c r="G53" i="100"/>
  <c r="C53" i="100"/>
  <c r="X52" i="100"/>
  <c r="Q52" i="100"/>
  <c r="L52" i="100"/>
  <c r="G52" i="100"/>
  <c r="C52" i="100"/>
  <c r="X51" i="100"/>
  <c r="Q51" i="100"/>
  <c r="L51" i="100"/>
  <c r="G51" i="100"/>
  <c r="C51" i="100"/>
  <c r="X50" i="100"/>
  <c r="Q50" i="100"/>
  <c r="L50" i="100"/>
  <c r="G50" i="100"/>
  <c r="C50" i="100"/>
  <c r="X49" i="100"/>
  <c r="Q49" i="100"/>
  <c r="L49" i="100"/>
  <c r="G49" i="100"/>
  <c r="C49" i="100"/>
  <c r="X48" i="100"/>
  <c r="Q48" i="100"/>
  <c r="L48" i="100"/>
  <c r="G48" i="100"/>
  <c r="C48" i="100"/>
  <c r="X47" i="100"/>
  <c r="Q47" i="100"/>
  <c r="L47" i="100"/>
  <c r="G47" i="100"/>
  <c r="C47" i="100"/>
  <c r="X46" i="100"/>
  <c r="Q46" i="100"/>
  <c r="L46" i="100"/>
  <c r="G46" i="100"/>
  <c r="C46" i="100"/>
  <c r="X45" i="100"/>
  <c r="Q45" i="100"/>
  <c r="L45" i="100"/>
  <c r="G45" i="100"/>
  <c r="C45" i="100"/>
  <c r="X44" i="100"/>
  <c r="Q44" i="100"/>
  <c r="L44" i="100"/>
  <c r="G44" i="100"/>
  <c r="C44" i="100"/>
  <c r="X43" i="100"/>
  <c r="Q43" i="100"/>
  <c r="L43" i="100"/>
  <c r="G43" i="100"/>
  <c r="C43" i="100"/>
  <c r="X42" i="100"/>
  <c r="Q42" i="100"/>
  <c r="L42" i="100"/>
  <c r="G42" i="100"/>
  <c r="C42" i="100"/>
  <c r="X41" i="100"/>
  <c r="Q41" i="100"/>
  <c r="L41" i="100"/>
  <c r="G41" i="100"/>
  <c r="C41" i="100"/>
  <c r="X40" i="100"/>
  <c r="Q40" i="100"/>
  <c r="L40" i="100"/>
  <c r="G40" i="100"/>
  <c r="C40" i="100"/>
  <c r="X39" i="100"/>
  <c r="Q39" i="100"/>
  <c r="L39" i="100"/>
  <c r="G39" i="100"/>
  <c r="C39" i="100"/>
  <c r="X38" i="100"/>
  <c r="Q38" i="100"/>
  <c r="L38" i="100"/>
  <c r="G38" i="100"/>
  <c r="C38" i="100"/>
  <c r="X37" i="100"/>
  <c r="Q37" i="100"/>
  <c r="L37" i="100"/>
  <c r="G37" i="100"/>
  <c r="C37" i="100"/>
  <c r="X36" i="100"/>
  <c r="Q36" i="100"/>
  <c r="L36" i="100"/>
  <c r="G36" i="100"/>
  <c r="C36" i="100"/>
  <c r="X35" i="100"/>
  <c r="Q35" i="100"/>
  <c r="L35" i="100"/>
  <c r="G35" i="100"/>
  <c r="C35" i="100"/>
  <c r="X34" i="100"/>
  <c r="Q34" i="100"/>
  <c r="L34" i="100"/>
  <c r="G34" i="100"/>
  <c r="C34" i="100"/>
  <c r="X33" i="100"/>
  <c r="Q33" i="100"/>
  <c r="L33" i="100"/>
  <c r="G33" i="100"/>
  <c r="C33" i="100"/>
  <c r="X32" i="100"/>
  <c r="Q32" i="100"/>
  <c r="L32" i="100"/>
  <c r="G32" i="100"/>
  <c r="C32" i="100"/>
  <c r="X31" i="100"/>
  <c r="Q31" i="100"/>
  <c r="L31" i="100"/>
  <c r="G31" i="100"/>
  <c r="C31" i="100"/>
  <c r="X30" i="100"/>
  <c r="Q30" i="100"/>
  <c r="L30" i="100"/>
  <c r="G30" i="100"/>
  <c r="C30" i="100"/>
  <c r="X29" i="100"/>
  <c r="Q29" i="100"/>
  <c r="L29" i="100"/>
  <c r="G29" i="100"/>
  <c r="C29" i="100"/>
  <c r="X28" i="100"/>
  <c r="Q28" i="100"/>
  <c r="L28" i="100"/>
  <c r="G28" i="100"/>
  <c r="C28" i="100"/>
  <c r="X27" i="100"/>
  <c r="Q27" i="100"/>
  <c r="L27" i="100"/>
  <c r="G27" i="100"/>
  <c r="C27" i="100"/>
  <c r="X26" i="100"/>
  <c r="Q26" i="100"/>
  <c r="L26" i="100"/>
  <c r="G26" i="100"/>
  <c r="C26" i="100"/>
  <c r="X24" i="100"/>
  <c r="Q24" i="100"/>
  <c r="L24" i="100"/>
  <c r="G24" i="100"/>
  <c r="C24" i="100"/>
  <c r="X23" i="100"/>
  <c r="Q23" i="100"/>
  <c r="L23" i="100"/>
  <c r="G23" i="100"/>
  <c r="C23" i="100"/>
  <c r="X22" i="100"/>
  <c r="Q22" i="100"/>
  <c r="L22" i="100"/>
  <c r="G22" i="100"/>
  <c r="C22" i="100"/>
  <c r="X20" i="100"/>
  <c r="Q20" i="100"/>
  <c r="L20" i="100"/>
  <c r="G20" i="100"/>
  <c r="C20" i="100"/>
  <c r="X19" i="100"/>
  <c r="Q19" i="100"/>
  <c r="L19" i="100"/>
  <c r="G19" i="100"/>
  <c r="C19" i="100"/>
  <c r="X18" i="100"/>
  <c r="Q18" i="100"/>
  <c r="L18" i="100"/>
  <c r="G18" i="100"/>
  <c r="C18" i="100"/>
  <c r="AD10" i="100"/>
  <c r="X10" i="100"/>
  <c r="R10" i="100"/>
  <c r="L10" i="100"/>
  <c r="AC9" i="100"/>
  <c r="AD9" i="100" s="1"/>
  <c r="X9" i="100"/>
  <c r="R9" i="100"/>
  <c r="L9" i="100"/>
  <c r="AD8" i="100"/>
  <c r="X8" i="100"/>
  <c r="R8" i="100"/>
  <c r="L8" i="100"/>
  <c r="AD7" i="100"/>
  <c r="X7" i="100"/>
  <c r="R7" i="100"/>
  <c r="L7" i="100"/>
  <c r="AD6" i="100"/>
  <c r="X6" i="100"/>
  <c r="R6" i="100"/>
  <c r="L6" i="100"/>
  <c r="AD5" i="100"/>
  <c r="X5" i="100"/>
  <c r="R5" i="100"/>
  <c r="L5" i="100"/>
  <c r="E21" i="98"/>
  <c r="E22" i="98"/>
  <c r="E23" i="98"/>
  <c r="E24" i="98"/>
  <c r="E25" i="98"/>
  <c r="E26" i="98"/>
  <c r="E27" i="98"/>
  <c r="E28" i="98"/>
  <c r="E29" i="98"/>
  <c r="E30" i="98"/>
  <c r="E31" i="98"/>
  <c r="E32" i="98"/>
  <c r="E33" i="98"/>
  <c r="E34" i="98"/>
  <c r="E35" i="98"/>
  <c r="E36" i="98"/>
  <c r="E37" i="98"/>
  <c r="E38" i="98"/>
  <c r="E39" i="98"/>
  <c r="E40" i="98"/>
  <c r="E41" i="98"/>
  <c r="E42" i="98"/>
  <c r="E43" i="98"/>
  <c r="E44" i="98"/>
  <c r="E45" i="98"/>
  <c r="E46" i="98"/>
  <c r="E47" i="98"/>
  <c r="E48" i="98"/>
  <c r="E49" i="98"/>
  <c r="E50" i="98"/>
  <c r="E51" i="98"/>
  <c r="E52" i="98"/>
  <c r="E53" i="98"/>
  <c r="E54" i="98"/>
  <c r="E55" i="98"/>
  <c r="E56" i="98"/>
  <c r="E57" i="98"/>
  <c r="E58" i="98"/>
  <c r="E59" i="98"/>
  <c r="E60" i="98"/>
  <c r="E61" i="98"/>
  <c r="E62" i="98"/>
  <c r="E63" i="98"/>
  <c r="E64" i="98"/>
  <c r="E65" i="98"/>
  <c r="E66" i="98"/>
  <c r="E67" i="98"/>
  <c r="E68" i="98"/>
  <c r="E69" i="98"/>
  <c r="E70" i="98"/>
  <c r="E71" i="98"/>
  <c r="E72" i="98"/>
  <c r="E73" i="98"/>
  <c r="E74" i="98"/>
  <c r="E75" i="98"/>
  <c r="E76" i="98"/>
  <c r="E77" i="98"/>
  <c r="E20" i="98"/>
  <c r="E18" i="98"/>
  <c r="E19" i="98"/>
  <c r="E17" i="98"/>
  <c r="E23" i="97"/>
  <c r="E24" i="97"/>
  <c r="E25" i="97"/>
  <c r="E26" i="97"/>
  <c r="E27" i="97"/>
  <c r="E28" i="97"/>
  <c r="E29" i="97"/>
  <c r="E30" i="97"/>
  <c r="E31" i="97"/>
  <c r="E32" i="97"/>
  <c r="E33" i="97"/>
  <c r="E34" i="97"/>
  <c r="E35" i="97"/>
  <c r="E36" i="97"/>
  <c r="E37" i="97"/>
  <c r="E38" i="97"/>
  <c r="E39" i="97"/>
  <c r="E40" i="97"/>
  <c r="E41" i="97"/>
  <c r="E42" i="97"/>
  <c r="E43" i="97"/>
  <c r="E44" i="97"/>
  <c r="E45" i="97"/>
  <c r="E46" i="97"/>
  <c r="E47" i="97"/>
  <c r="E22" i="97"/>
  <c r="E42" i="42" l="1"/>
  <c r="E43" i="42"/>
  <c r="E44" i="42"/>
  <c r="E45" i="42"/>
  <c r="E46" i="42"/>
  <c r="E47" i="42"/>
  <c r="E48" i="42"/>
  <c r="E49" i="42"/>
  <c r="E50" i="42"/>
  <c r="E51" i="42"/>
  <c r="E52" i="42"/>
  <c r="E53" i="42"/>
  <c r="E54" i="42"/>
  <c r="E55" i="42"/>
  <c r="E56" i="42"/>
  <c r="E57" i="42"/>
  <c r="E58" i="42"/>
  <c r="E59" i="42"/>
  <c r="E60" i="42"/>
  <c r="E61" i="42"/>
  <c r="E62" i="42"/>
  <c r="E63" i="42"/>
  <c r="E64" i="42"/>
  <c r="E65" i="42"/>
  <c r="E66" i="42"/>
  <c r="E67" i="42"/>
  <c r="E68" i="42"/>
  <c r="E69" i="42"/>
  <c r="E70" i="42"/>
  <c r="E71" i="42"/>
  <c r="E72" i="42"/>
  <c r="E73" i="42"/>
  <c r="E74" i="42"/>
  <c r="E75" i="42"/>
  <c r="E76" i="42"/>
  <c r="E77" i="42"/>
  <c r="E78" i="42"/>
  <c r="E41" i="42"/>
  <c r="D9" i="18" l="1"/>
  <c r="D11" i="18"/>
  <c r="D12" i="18"/>
  <c r="D13" i="18"/>
  <c r="D15" i="18"/>
  <c r="D16" i="18"/>
  <c r="D17" i="18"/>
  <c r="D18" i="18"/>
  <c r="D19" i="18"/>
  <c r="D20" i="18"/>
  <c r="D22" i="18"/>
  <c r="D23" i="18"/>
  <c r="D24" i="18"/>
  <c r="D25" i="18"/>
  <c r="D26" i="18"/>
  <c r="D27" i="18"/>
  <c r="D28" i="18"/>
  <c r="D29" i="18"/>
  <c r="D30" i="18"/>
  <c r="D31" i="18"/>
  <c r="D32" i="18"/>
  <c r="D33" i="18"/>
  <c r="D34" i="18"/>
  <c r="D35" i="18"/>
  <c r="D36" i="18"/>
  <c r="D37" i="18"/>
  <c r="D38" i="18"/>
  <c r="D39" i="18"/>
  <c r="D40" i="18"/>
  <c r="D41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58" i="18"/>
  <c r="D59" i="18"/>
  <c r="D60" i="18"/>
  <c r="D61" i="18"/>
  <c r="D62" i="18"/>
  <c r="D63" i="18"/>
  <c r="D64" i="18"/>
  <c r="D65" i="18"/>
  <c r="D66" i="18"/>
  <c r="D67" i="18"/>
  <c r="D68" i="18"/>
  <c r="D69" i="18"/>
  <c r="D70" i="18"/>
  <c r="D71" i="18"/>
  <c r="D8" i="18"/>
  <c r="D68" i="17"/>
  <c r="D67" i="17"/>
  <c r="D8" i="17"/>
  <c r="D9" i="17"/>
  <c r="D11" i="17"/>
  <c r="D12" i="17"/>
  <c r="D13" i="17"/>
  <c r="D14" i="17"/>
  <c r="D15" i="17"/>
  <c r="D16" i="17"/>
  <c r="D18" i="17"/>
  <c r="D19" i="17"/>
  <c r="D20" i="17"/>
  <c r="D21" i="17"/>
  <c r="D22" i="17"/>
  <c r="D23" i="17"/>
  <c r="D24" i="17"/>
  <c r="D25" i="17"/>
  <c r="D26" i="17"/>
  <c r="D27" i="17"/>
  <c r="D28" i="17"/>
  <c r="D29" i="17"/>
  <c r="D30" i="17"/>
  <c r="D31" i="17"/>
  <c r="D32" i="17"/>
  <c r="D33" i="17"/>
  <c r="D34" i="17"/>
  <c r="D35" i="17"/>
  <c r="D36" i="17"/>
  <c r="D37" i="17"/>
  <c r="D38" i="17"/>
  <c r="D39" i="17"/>
  <c r="D40" i="17"/>
  <c r="D41" i="17"/>
  <c r="D42" i="17"/>
  <c r="D43" i="17"/>
  <c r="D44" i="17"/>
  <c r="D45" i="17"/>
  <c r="D46" i="17"/>
  <c r="D47" i="17"/>
  <c r="D48" i="17"/>
  <c r="D49" i="17"/>
  <c r="D50" i="17"/>
  <c r="D51" i="17"/>
  <c r="D52" i="17"/>
  <c r="D53" i="17"/>
  <c r="D54" i="17"/>
  <c r="D55" i="17"/>
  <c r="D56" i="17"/>
  <c r="D57" i="17"/>
  <c r="D58" i="17"/>
  <c r="D59" i="17"/>
  <c r="D60" i="17"/>
  <c r="D61" i="17"/>
  <c r="D62" i="17"/>
  <c r="D63" i="17"/>
  <c r="D64" i="17"/>
  <c r="D65" i="17"/>
  <c r="D66" i="17"/>
  <c r="D7" i="17"/>
  <c r="E11" i="98" l="1"/>
  <c r="E10" i="98"/>
  <c r="G4" i="96" l="1"/>
  <c r="G3" i="96"/>
  <c r="J39" i="96" l="1"/>
  <c r="J40" i="96"/>
  <c r="J41" i="96"/>
  <c r="J42" i="96"/>
  <c r="J43" i="96"/>
  <c r="J44" i="96"/>
  <c r="J45" i="96"/>
  <c r="J46" i="96"/>
  <c r="J47" i="96"/>
  <c r="J48" i="96"/>
  <c r="J49" i="96"/>
  <c r="J50" i="96"/>
  <c r="J51" i="96"/>
  <c r="J52" i="96"/>
  <c r="J53" i="96"/>
  <c r="J54" i="96"/>
  <c r="J55" i="96"/>
  <c r="J56" i="96"/>
  <c r="J57" i="96"/>
  <c r="J58" i="96"/>
  <c r="J59" i="96"/>
  <c r="J60" i="96"/>
  <c r="J61" i="96"/>
  <c r="J62" i="96"/>
  <c r="J63" i="96"/>
  <c r="J64" i="96"/>
  <c r="J65" i="96"/>
  <c r="J66" i="96"/>
  <c r="J67" i="96"/>
  <c r="J68" i="96"/>
  <c r="J69" i="96"/>
  <c r="J70" i="96"/>
  <c r="J71" i="96"/>
  <c r="J72" i="96"/>
  <c r="J38" i="96"/>
  <c r="J20" i="96"/>
  <c r="J21" i="96"/>
  <c r="J23" i="96"/>
  <c r="J24" i="96"/>
  <c r="J25" i="96"/>
  <c r="J26" i="96"/>
  <c r="J27" i="96"/>
  <c r="J28" i="96"/>
  <c r="J29" i="96"/>
  <c r="J30" i="96"/>
  <c r="J31" i="96"/>
  <c r="J32" i="96"/>
  <c r="J33" i="96"/>
  <c r="J34" i="96"/>
  <c r="J35" i="96"/>
  <c r="J36" i="96"/>
  <c r="J37" i="96"/>
  <c r="J19" i="96"/>
  <c r="Z17" i="96" l="1"/>
  <c r="Z18" i="96"/>
  <c r="Z19" i="96"/>
  <c r="Z20" i="96"/>
  <c r="Z21" i="96"/>
  <c r="Z16" i="96"/>
  <c r="D85" i="96" l="1"/>
  <c r="H85" i="96" s="1"/>
  <c r="D86" i="96"/>
  <c r="H86" i="96" s="1"/>
  <c r="D87" i="96"/>
  <c r="H87" i="96" s="1"/>
  <c r="D88" i="96"/>
  <c r="D89" i="96"/>
  <c r="D90" i="96"/>
  <c r="D91" i="96"/>
  <c r="D92" i="96"/>
  <c r="D93" i="96"/>
  <c r="D94" i="96"/>
  <c r="D95" i="96"/>
  <c r="D96" i="96"/>
  <c r="D97" i="96"/>
  <c r="D98" i="96"/>
  <c r="D99" i="96"/>
  <c r="D100" i="96"/>
  <c r="D101" i="96"/>
  <c r="D102" i="96"/>
  <c r="D103" i="96"/>
  <c r="D104" i="96"/>
  <c r="D105" i="96"/>
  <c r="D106" i="96"/>
  <c r="D107" i="96"/>
  <c r="D108" i="96"/>
  <c r="D84" i="96"/>
  <c r="G2" i="96"/>
  <c r="E7" i="42" l="1"/>
  <c r="D48" i="97" l="1"/>
  <c r="E48" i="97" s="1"/>
  <c r="D49" i="97"/>
  <c r="E49" i="97" s="1"/>
  <c r="D50" i="97"/>
  <c r="E50" i="97" s="1"/>
  <c r="D51" i="97"/>
  <c r="E51" i="97" s="1"/>
  <c r="D52" i="97"/>
  <c r="E52" i="97" s="1"/>
  <c r="D53" i="97"/>
  <c r="E53" i="97" s="1"/>
  <c r="D54" i="97"/>
  <c r="E54" i="97" s="1"/>
  <c r="D55" i="97"/>
  <c r="E55" i="97" s="1"/>
  <c r="D56" i="97"/>
  <c r="E56" i="97" s="1"/>
  <c r="D57" i="97"/>
  <c r="E57" i="97" s="1"/>
  <c r="D58" i="97"/>
  <c r="E58" i="97" s="1"/>
  <c r="D59" i="97"/>
  <c r="E59" i="97" s="1"/>
  <c r="D60" i="97"/>
  <c r="E60" i="97" s="1"/>
  <c r="D61" i="97"/>
  <c r="E61" i="97" s="1"/>
  <c r="D62" i="97"/>
  <c r="E62" i="97" s="1"/>
  <c r="D63" i="97"/>
  <c r="E63" i="97" s="1"/>
  <c r="D64" i="97"/>
  <c r="E64" i="97" s="1"/>
  <c r="D65" i="97"/>
  <c r="E65" i="97" s="1"/>
  <c r="D66" i="97"/>
  <c r="E66" i="97" s="1"/>
  <c r="D67" i="97"/>
  <c r="E67" i="97" s="1"/>
  <c r="D68" i="97"/>
  <c r="E68" i="97" s="1"/>
  <c r="D69" i="97"/>
  <c r="E69" i="97" s="1"/>
  <c r="D70" i="97"/>
  <c r="E70" i="97" s="1"/>
  <c r="D71" i="97"/>
  <c r="E71" i="97" s="1"/>
  <c r="D72" i="97"/>
  <c r="E72" i="97" s="1"/>
  <c r="D73" i="97"/>
  <c r="E73" i="97" s="1"/>
  <c r="D74" i="97"/>
  <c r="E74" i="97" s="1"/>
  <c r="D75" i="97"/>
  <c r="E75" i="97" s="1"/>
  <c r="D76" i="97"/>
  <c r="E76" i="97" s="1"/>
  <c r="D77" i="97"/>
  <c r="E77" i="97" s="1"/>
  <c r="D78" i="97"/>
  <c r="E78" i="97" s="1"/>
  <c r="D79" i="97"/>
  <c r="E79" i="97" s="1"/>
  <c r="D80" i="97"/>
  <c r="E80" i="97" s="1"/>
  <c r="D81" i="97"/>
  <c r="E81" i="97" s="1"/>
  <c r="D82" i="97"/>
  <c r="E82" i="97" s="1"/>
  <c r="C127" i="98" l="1"/>
  <c r="F10" i="97"/>
  <c r="F12" i="97" s="1"/>
  <c r="F13" i="97" s="1"/>
  <c r="E29" i="99" l="1"/>
  <c r="E17" i="99"/>
  <c r="G55" i="96" l="1"/>
  <c r="H55" i="96" s="1"/>
  <c r="E40" i="99"/>
  <c r="E39" i="99"/>
  <c r="E67" i="99"/>
  <c r="E60" i="99"/>
  <c r="E35" i="99"/>
  <c r="E51" i="99"/>
  <c r="E63" i="99"/>
  <c r="E47" i="99"/>
  <c r="E69" i="99"/>
  <c r="E53" i="99"/>
  <c r="E43" i="99"/>
  <c r="E24" i="99"/>
  <c r="E21" i="99"/>
  <c r="E56" i="99"/>
  <c r="E41" i="99"/>
  <c r="E13" i="99"/>
  <c r="E14" i="99"/>
  <c r="E38" i="99"/>
  <c r="E27" i="99"/>
  <c r="E18" i="99"/>
  <c r="E55" i="99"/>
  <c r="E28" i="99"/>
  <c r="E49" i="99"/>
  <c r="E23" i="99"/>
  <c r="E44" i="99"/>
  <c r="E37" i="99"/>
  <c r="E33" i="99"/>
  <c r="E32" i="99"/>
  <c r="E30" i="99"/>
  <c r="E12" i="99"/>
  <c r="E22" i="99"/>
  <c r="E46" i="99"/>
  <c r="E31" i="99"/>
  <c r="E26" i="99"/>
  <c r="E15" i="99"/>
  <c r="E20" i="99"/>
  <c r="E25" i="99"/>
  <c r="E19" i="99"/>
  <c r="G12" i="96"/>
  <c r="H12" i="96" s="1"/>
  <c r="G27" i="96"/>
  <c r="H27" i="96" s="1"/>
  <c r="G21" i="96"/>
  <c r="H21" i="96" s="1"/>
  <c r="G23" i="96"/>
  <c r="H23" i="96" s="1"/>
  <c r="G35" i="96"/>
  <c r="H35" i="96" s="1"/>
  <c r="G24" i="96"/>
  <c r="H24" i="96" s="1"/>
  <c r="G36" i="96"/>
  <c r="H36" i="96" s="1"/>
  <c r="G16" i="96"/>
  <c r="H16" i="96" s="1"/>
  <c r="G37" i="96"/>
  <c r="H37" i="96" s="1"/>
  <c r="G17" i="96"/>
  <c r="H17" i="96" s="1"/>
  <c r="G40" i="96"/>
  <c r="H40" i="96" s="1"/>
  <c r="G64" i="96"/>
  <c r="H64" i="96" s="1"/>
  <c r="G9" i="96"/>
  <c r="H9" i="96" s="1"/>
  <c r="G26" i="96"/>
  <c r="H26" i="96" s="1"/>
  <c r="G32" i="96"/>
  <c r="H32" i="96" s="1"/>
  <c r="G20" i="96"/>
  <c r="H20" i="96" s="1"/>
  <c r="G13" i="96"/>
  <c r="H13" i="96" s="1"/>
  <c r="G28" i="96"/>
  <c r="H28" i="96" s="1"/>
  <c r="G14" i="96"/>
  <c r="H14" i="96" s="1"/>
  <c r="G29" i="96"/>
  <c r="H29" i="96" s="1"/>
  <c r="G30" i="96"/>
  <c r="H30" i="96" s="1"/>
  <c r="G25" i="96"/>
  <c r="H25" i="96" s="1"/>
  <c r="G31" i="96"/>
  <c r="H31" i="96" s="1"/>
  <c r="G61" i="96"/>
  <c r="H61" i="96" s="1"/>
  <c r="G10" i="96"/>
  <c r="H10" i="96" s="1"/>
  <c r="G19" i="96"/>
  <c r="H19" i="96" s="1"/>
  <c r="G33" i="96"/>
  <c r="H33" i="96" s="1"/>
  <c r="G46" i="96"/>
  <c r="H46" i="96" s="1"/>
  <c r="G72" i="96"/>
  <c r="H72" i="96" s="1"/>
  <c r="G18" i="96"/>
  <c r="H18" i="96" s="1"/>
  <c r="G34" i="96"/>
  <c r="H34" i="96" s="1"/>
  <c r="G70" i="96"/>
  <c r="H70" i="96" s="1"/>
  <c r="E70" i="95"/>
  <c r="E69" i="95"/>
  <c r="E68" i="95"/>
  <c r="E67" i="95"/>
  <c r="E66" i="95"/>
  <c r="E65" i="95"/>
  <c r="E64" i="95"/>
  <c r="E63" i="95"/>
  <c r="E62" i="95"/>
  <c r="E61" i="95"/>
  <c r="E60" i="95"/>
  <c r="E59" i="95"/>
  <c r="E58" i="95"/>
  <c r="E57" i="95"/>
  <c r="E56" i="95"/>
  <c r="E55" i="95"/>
  <c r="E54" i="95"/>
  <c r="E53" i="95"/>
  <c r="E52" i="95"/>
  <c r="E51" i="95"/>
  <c r="E50" i="95"/>
  <c r="E49" i="95"/>
  <c r="E48" i="95"/>
  <c r="E47" i="95"/>
  <c r="E46" i="95"/>
  <c r="E45" i="95"/>
  <c r="E44" i="95"/>
  <c r="E43" i="95"/>
  <c r="E42" i="95"/>
  <c r="E41" i="95"/>
  <c r="E40" i="95"/>
  <c r="E39" i="95"/>
  <c r="E38" i="95"/>
  <c r="E37" i="95"/>
  <c r="E36" i="95"/>
  <c r="E35" i="95"/>
  <c r="E34" i="95"/>
  <c r="E33" i="95"/>
  <c r="E32" i="95"/>
  <c r="E31" i="95"/>
  <c r="E30" i="95"/>
  <c r="E29" i="95"/>
  <c r="E28" i="95"/>
  <c r="E27" i="95"/>
  <c r="E26" i="95"/>
  <c r="E25" i="95"/>
  <c r="E24" i="95"/>
  <c r="E23" i="95"/>
  <c r="E22" i="95"/>
  <c r="E21" i="95"/>
  <c r="E19" i="95"/>
  <c r="E18" i="95"/>
  <c r="E17" i="95"/>
  <c r="E16" i="95"/>
  <c r="E15" i="95"/>
  <c r="E14" i="95"/>
  <c r="E12" i="95"/>
  <c r="E11" i="95"/>
  <c r="E10" i="95"/>
  <c r="E8" i="95"/>
  <c r="E7" i="95"/>
  <c r="G49" i="96" l="1"/>
  <c r="H49" i="96" s="1"/>
  <c r="E10" i="99"/>
  <c r="G52" i="96"/>
  <c r="H52" i="96" s="1"/>
  <c r="G58" i="96"/>
  <c r="H58" i="96" s="1"/>
  <c r="E68" i="99"/>
  <c r="E36" i="99"/>
  <c r="E48" i="99"/>
  <c r="E59" i="99"/>
  <c r="E42" i="99"/>
  <c r="E52" i="99"/>
  <c r="E62" i="99"/>
  <c r="E16" i="99"/>
  <c r="E50" i="99"/>
  <c r="E54" i="99"/>
  <c r="E64" i="99"/>
  <c r="E57" i="99"/>
  <c r="E61" i="99"/>
  <c r="E65" i="99"/>
  <c r="E45" i="99"/>
  <c r="E58" i="99"/>
  <c r="E66" i="99"/>
  <c r="E11" i="99"/>
  <c r="E9" i="99"/>
  <c r="G43" i="96"/>
  <c r="H43" i="96" s="1"/>
  <c r="G67" i="96"/>
  <c r="H67" i="96" s="1"/>
  <c r="G71" i="96"/>
  <c r="H71" i="96" s="1"/>
  <c r="G66" i="96"/>
  <c r="H66" i="96" s="1"/>
  <c r="G68" i="96"/>
  <c r="H68" i="96" s="1"/>
  <c r="G63" i="96"/>
  <c r="H63" i="96" s="1"/>
  <c r="G69" i="96"/>
  <c r="H69" i="96" s="1"/>
  <c r="G62" i="96"/>
  <c r="H62" i="96" s="1"/>
  <c r="G59" i="96"/>
  <c r="H59" i="96" s="1"/>
  <c r="G56" i="96"/>
  <c r="H56" i="96" s="1"/>
  <c r="G53" i="96"/>
  <c r="H53" i="96" s="1"/>
  <c r="G48" i="96"/>
  <c r="H48" i="96" s="1"/>
  <c r="G38" i="96"/>
  <c r="H38" i="96" s="1"/>
  <c r="G60" i="96"/>
  <c r="H60" i="96" s="1"/>
  <c r="G51" i="96"/>
  <c r="H51" i="96" s="1"/>
  <c r="G50" i="96"/>
  <c r="H50" i="96" s="1"/>
  <c r="G45" i="96"/>
  <c r="H45" i="96" s="1"/>
  <c r="G41" i="96"/>
  <c r="H41" i="96" s="1"/>
  <c r="G65" i="96"/>
  <c r="H65" i="96" s="1"/>
  <c r="G57" i="96"/>
  <c r="H57" i="96" s="1"/>
  <c r="G47" i="96"/>
  <c r="H47" i="96" s="1"/>
  <c r="G42" i="96"/>
  <c r="H42" i="96" s="1"/>
  <c r="G54" i="96"/>
  <c r="H54" i="96" s="1"/>
  <c r="G44" i="96"/>
  <c r="H44" i="96" s="1"/>
  <c r="G39" i="96"/>
  <c r="H39" i="96" s="1"/>
  <c r="F9" i="78"/>
  <c r="H9" i="78" s="1"/>
  <c r="F10" i="78"/>
  <c r="H10" i="78" s="1"/>
  <c r="F12" i="78"/>
  <c r="H12" i="78" s="1"/>
  <c r="F13" i="78"/>
  <c r="H13" i="78" s="1"/>
  <c r="F14" i="78"/>
  <c r="H14" i="78" s="1"/>
  <c r="F16" i="78"/>
  <c r="H16" i="78" s="1"/>
  <c r="F17" i="78"/>
  <c r="H17" i="78" s="1"/>
  <c r="F18" i="78"/>
  <c r="H18" i="78" s="1"/>
  <c r="F19" i="78"/>
  <c r="H19" i="78" s="1"/>
  <c r="F20" i="78"/>
  <c r="H20" i="78" s="1"/>
  <c r="F21" i="78"/>
  <c r="H21" i="78" s="1"/>
  <c r="F23" i="78"/>
  <c r="H23" i="78" s="1"/>
  <c r="F24" i="78"/>
  <c r="H24" i="78" s="1"/>
  <c r="F25" i="78"/>
  <c r="H25" i="78" s="1"/>
  <c r="F26" i="78"/>
  <c r="H26" i="78" s="1"/>
  <c r="F27" i="78"/>
  <c r="H27" i="78" s="1"/>
  <c r="F28" i="78"/>
  <c r="H28" i="78" s="1"/>
  <c r="F29" i="78"/>
  <c r="H29" i="78" s="1"/>
  <c r="F30" i="78"/>
  <c r="H30" i="78" s="1"/>
  <c r="F31" i="78"/>
  <c r="H31" i="78" s="1"/>
  <c r="F32" i="78"/>
  <c r="H32" i="78" s="1"/>
  <c r="F33" i="78"/>
  <c r="H33" i="78" s="1"/>
  <c r="F34" i="78"/>
  <c r="H34" i="78" s="1"/>
  <c r="F35" i="78"/>
  <c r="H35" i="78" s="1"/>
  <c r="F36" i="78"/>
  <c r="H36" i="78" s="1"/>
  <c r="F37" i="78"/>
  <c r="H37" i="78" s="1"/>
  <c r="H38" i="78"/>
  <c r="H42" i="78"/>
  <c r="H43" i="78"/>
  <c r="H46" i="78"/>
  <c r="H50" i="78"/>
  <c r="H51" i="78"/>
  <c r="H54" i="78"/>
  <c r="H58" i="78"/>
  <c r="H59" i="78"/>
  <c r="H62" i="78"/>
  <c r="H65" i="78"/>
  <c r="H66" i="78"/>
  <c r="H67" i="78"/>
  <c r="H70" i="78"/>
  <c r="H72" i="78"/>
  <c r="H71" i="78"/>
  <c r="H69" i="78"/>
  <c r="H68" i="78"/>
  <c r="H64" i="78"/>
  <c r="H63" i="78"/>
  <c r="H61" i="78"/>
  <c r="H60" i="78"/>
  <c r="H57" i="78"/>
  <c r="H56" i="78"/>
  <c r="H55" i="78"/>
  <c r="H53" i="78"/>
  <c r="H52" i="78"/>
  <c r="H49" i="78"/>
  <c r="H48" i="78"/>
  <c r="H47" i="78"/>
  <c r="H45" i="78"/>
  <c r="H44" i="78"/>
  <c r="H41" i="78"/>
  <c r="H40" i="78"/>
  <c r="H39" i="78"/>
  <c r="E34" i="99" l="1"/>
  <c r="S16" i="18" l="1"/>
  <c r="S17" i="18"/>
  <c r="S15" i="18"/>
  <c r="S13" i="18"/>
  <c r="S12" i="18"/>
  <c r="S11" i="18"/>
  <c r="T16" i="60" l="1"/>
  <c r="T14" i="60"/>
  <c r="T13" i="60"/>
  <c r="T12" i="60"/>
  <c r="T10" i="60"/>
  <c r="E10" i="22"/>
  <c r="F12" i="86" l="1"/>
  <c r="F14" i="86"/>
  <c r="F15" i="86"/>
  <c r="F16" i="86"/>
  <c r="F18" i="86"/>
  <c r="F19" i="86"/>
  <c r="F20" i="86"/>
  <c r="F21" i="86"/>
  <c r="F22" i="86"/>
  <c r="F23" i="86"/>
  <c r="F25" i="86"/>
  <c r="F26" i="86"/>
  <c r="F27" i="86"/>
  <c r="F28" i="86"/>
  <c r="F29" i="86"/>
  <c r="F30" i="86"/>
  <c r="F31" i="86"/>
  <c r="F32" i="86"/>
  <c r="F33" i="86"/>
  <c r="F34" i="86"/>
  <c r="F35" i="86"/>
  <c r="F36" i="86"/>
  <c r="F37" i="86"/>
  <c r="F38" i="86"/>
  <c r="F39" i="86"/>
  <c r="F40" i="86"/>
  <c r="F41" i="86"/>
  <c r="F42" i="86"/>
  <c r="F43" i="86"/>
  <c r="F44" i="86"/>
  <c r="F45" i="86"/>
  <c r="F46" i="86"/>
  <c r="F47" i="86"/>
  <c r="F48" i="86"/>
  <c r="F49" i="86"/>
  <c r="F50" i="86"/>
  <c r="F51" i="86"/>
  <c r="F52" i="86"/>
  <c r="F53" i="86"/>
  <c r="F54" i="86"/>
  <c r="F55" i="86"/>
  <c r="F56" i="86"/>
  <c r="F57" i="86"/>
  <c r="F58" i="86"/>
  <c r="F59" i="86"/>
  <c r="F60" i="86"/>
  <c r="F61" i="86"/>
  <c r="F62" i="86"/>
  <c r="F63" i="86"/>
  <c r="F64" i="86"/>
  <c r="F65" i="86"/>
  <c r="F66" i="86"/>
  <c r="F67" i="86"/>
  <c r="F68" i="86"/>
  <c r="F69" i="86"/>
  <c r="F70" i="86"/>
  <c r="F71" i="86"/>
  <c r="F72" i="86"/>
  <c r="F73" i="86"/>
  <c r="F74" i="86"/>
  <c r="F11" i="86"/>
  <c r="E10" i="85" l="1"/>
  <c r="F10" i="85" s="1"/>
  <c r="E12" i="85"/>
  <c r="F12" i="85" s="1"/>
  <c r="E13" i="85"/>
  <c r="F13" i="85" s="1"/>
  <c r="E14" i="85"/>
  <c r="F14" i="85" s="1"/>
  <c r="E16" i="85"/>
  <c r="F16" i="85" s="1"/>
  <c r="E17" i="85"/>
  <c r="F17" i="85" s="1"/>
  <c r="E18" i="85"/>
  <c r="F18" i="85" s="1"/>
  <c r="E19" i="85"/>
  <c r="F19" i="85" s="1"/>
  <c r="E20" i="85"/>
  <c r="F20" i="85" s="1"/>
  <c r="E21" i="85"/>
  <c r="F21" i="85" s="1"/>
  <c r="E23" i="85"/>
  <c r="F23" i="85" s="1"/>
  <c r="E24" i="85"/>
  <c r="F24" i="85" s="1"/>
  <c r="E25" i="85"/>
  <c r="F25" i="85" s="1"/>
  <c r="E26" i="85"/>
  <c r="F26" i="85" s="1"/>
  <c r="E27" i="85"/>
  <c r="F27" i="85" s="1"/>
  <c r="E28" i="85"/>
  <c r="F28" i="85" s="1"/>
  <c r="E29" i="85"/>
  <c r="F29" i="85" s="1"/>
  <c r="E30" i="85"/>
  <c r="F30" i="85" s="1"/>
  <c r="E31" i="85"/>
  <c r="F31" i="85" s="1"/>
  <c r="E32" i="85"/>
  <c r="F32" i="85" s="1"/>
  <c r="E33" i="85"/>
  <c r="F33" i="85" s="1"/>
  <c r="E34" i="85"/>
  <c r="F34" i="85" s="1"/>
  <c r="E35" i="85"/>
  <c r="F35" i="85" s="1"/>
  <c r="E36" i="85"/>
  <c r="F36" i="85" s="1"/>
  <c r="E37" i="85"/>
  <c r="F37" i="85" s="1"/>
  <c r="E38" i="85"/>
  <c r="F38" i="85" s="1"/>
  <c r="E39" i="85"/>
  <c r="F39" i="85" s="1"/>
  <c r="E40" i="85"/>
  <c r="F40" i="85" s="1"/>
  <c r="E41" i="85"/>
  <c r="F41" i="85" s="1"/>
  <c r="E42" i="85"/>
  <c r="F42" i="85" s="1"/>
  <c r="E43" i="85"/>
  <c r="F43" i="85" s="1"/>
  <c r="E44" i="85"/>
  <c r="F44" i="85" s="1"/>
  <c r="E45" i="85"/>
  <c r="F45" i="85" s="1"/>
  <c r="E46" i="85"/>
  <c r="F46" i="85" s="1"/>
  <c r="E47" i="85"/>
  <c r="F47" i="85" s="1"/>
  <c r="E48" i="85"/>
  <c r="F48" i="85" s="1"/>
  <c r="E49" i="85"/>
  <c r="F49" i="85" s="1"/>
  <c r="E50" i="85"/>
  <c r="F50" i="85" s="1"/>
  <c r="E51" i="85"/>
  <c r="F51" i="85" s="1"/>
  <c r="E52" i="85"/>
  <c r="F52" i="85" s="1"/>
  <c r="E53" i="85"/>
  <c r="F53" i="85" s="1"/>
  <c r="E54" i="85"/>
  <c r="F54" i="85" s="1"/>
  <c r="E55" i="85"/>
  <c r="F55" i="85" s="1"/>
  <c r="E56" i="85"/>
  <c r="F56" i="85" s="1"/>
  <c r="E57" i="85"/>
  <c r="F57" i="85" s="1"/>
  <c r="E58" i="85"/>
  <c r="F58" i="85" s="1"/>
  <c r="E59" i="85"/>
  <c r="F59" i="85" s="1"/>
  <c r="E60" i="85"/>
  <c r="F60" i="85" s="1"/>
  <c r="E61" i="85"/>
  <c r="F61" i="85" s="1"/>
  <c r="E62" i="85"/>
  <c r="F62" i="85" s="1"/>
  <c r="E63" i="85"/>
  <c r="F63" i="85" s="1"/>
  <c r="E64" i="85"/>
  <c r="F64" i="85" s="1"/>
  <c r="E65" i="85"/>
  <c r="F65" i="85" s="1"/>
  <c r="E66" i="85"/>
  <c r="F66" i="85" s="1"/>
  <c r="E67" i="85"/>
  <c r="F67" i="85" s="1"/>
  <c r="E68" i="85"/>
  <c r="F68" i="85" s="1"/>
  <c r="E69" i="85"/>
  <c r="F69" i="85" s="1"/>
  <c r="E70" i="85"/>
  <c r="F70" i="85" s="1"/>
  <c r="E71" i="85"/>
  <c r="F71" i="85" s="1"/>
  <c r="E72" i="85"/>
  <c r="F72" i="85" s="1"/>
  <c r="E9" i="85"/>
  <c r="F9" i="85" s="1"/>
  <c r="E38" i="60" l="1"/>
  <c r="E39" i="60"/>
  <c r="E40" i="60"/>
  <c r="E41" i="60"/>
  <c r="E42" i="60"/>
  <c r="E43" i="60"/>
  <c r="E44" i="60"/>
  <c r="E45" i="60"/>
  <c r="E46" i="60"/>
  <c r="E47" i="60"/>
  <c r="E48" i="60"/>
  <c r="E49" i="60"/>
  <c r="E50" i="60"/>
  <c r="E51" i="60"/>
  <c r="E52" i="60"/>
  <c r="E53" i="60"/>
  <c r="E54" i="60"/>
  <c r="E55" i="60"/>
  <c r="E56" i="60"/>
  <c r="E57" i="60"/>
  <c r="E58" i="60"/>
  <c r="E59" i="60"/>
  <c r="E60" i="60"/>
  <c r="E61" i="60"/>
  <c r="E62" i="60"/>
  <c r="E63" i="60"/>
  <c r="E64" i="60"/>
  <c r="E65" i="60"/>
  <c r="E66" i="60"/>
  <c r="E67" i="60"/>
  <c r="E68" i="60"/>
  <c r="E69" i="60"/>
  <c r="E70" i="60"/>
  <c r="E71" i="60"/>
  <c r="E72" i="60"/>
  <c r="E10" i="60"/>
  <c r="E12" i="60"/>
  <c r="E13" i="60"/>
  <c r="E14" i="60"/>
  <c r="E16" i="60"/>
  <c r="E17" i="60"/>
  <c r="E18" i="60"/>
  <c r="E19" i="60"/>
  <c r="E20" i="60"/>
  <c r="E21" i="60"/>
  <c r="E23" i="60"/>
  <c r="E24" i="60"/>
  <c r="E25" i="60"/>
  <c r="E26" i="60"/>
  <c r="E27" i="60"/>
  <c r="E28" i="60"/>
  <c r="E29" i="60"/>
  <c r="E30" i="60"/>
  <c r="E31" i="60"/>
  <c r="E32" i="60"/>
  <c r="E33" i="60"/>
  <c r="E34" i="60"/>
  <c r="E35" i="60"/>
  <c r="E36" i="60"/>
  <c r="E37" i="60"/>
  <c r="E9" i="60"/>
  <c r="G9" i="60" s="1"/>
  <c r="E10" i="80" l="1"/>
  <c r="E12" i="80"/>
  <c r="E13" i="80"/>
  <c r="F13" i="80" s="1"/>
  <c r="E14" i="80"/>
  <c r="F14" i="80" s="1"/>
  <c r="G14" i="80" s="1"/>
  <c r="E16" i="80"/>
  <c r="E17" i="80"/>
  <c r="F17" i="80" s="1"/>
  <c r="E18" i="80"/>
  <c r="F18" i="80" s="1"/>
  <c r="E19" i="80"/>
  <c r="F19" i="80" s="1"/>
  <c r="G19" i="80" s="1"/>
  <c r="E20" i="80"/>
  <c r="E21" i="80"/>
  <c r="F21" i="80" s="1"/>
  <c r="G21" i="80" s="1"/>
  <c r="E23" i="80"/>
  <c r="F23" i="80" s="1"/>
  <c r="E24" i="80"/>
  <c r="F24" i="80" s="1"/>
  <c r="G24" i="80" s="1"/>
  <c r="E25" i="80"/>
  <c r="E26" i="80"/>
  <c r="F26" i="80" s="1"/>
  <c r="G26" i="80" s="1"/>
  <c r="E27" i="80"/>
  <c r="E28" i="80"/>
  <c r="F28" i="80" s="1"/>
  <c r="G28" i="80" s="1"/>
  <c r="E29" i="80"/>
  <c r="E30" i="80"/>
  <c r="F30" i="80" s="1"/>
  <c r="G30" i="80" s="1"/>
  <c r="E31" i="80"/>
  <c r="F31" i="80" s="1"/>
  <c r="E32" i="80"/>
  <c r="F32" i="80" s="1"/>
  <c r="G32" i="80" s="1"/>
  <c r="E33" i="80"/>
  <c r="F33" i="80" s="1"/>
  <c r="E34" i="80"/>
  <c r="F34" i="80" s="1"/>
  <c r="G34" i="80" s="1"/>
  <c r="E35" i="80"/>
  <c r="F35" i="80" s="1"/>
  <c r="E36" i="80"/>
  <c r="F36" i="80" s="1"/>
  <c r="G36" i="80" s="1"/>
  <c r="E37" i="80"/>
  <c r="E38" i="80"/>
  <c r="F38" i="80" s="1"/>
  <c r="G38" i="80" s="1"/>
  <c r="E39" i="80"/>
  <c r="F39" i="80" s="1"/>
  <c r="E40" i="80"/>
  <c r="F40" i="80" s="1"/>
  <c r="G40" i="80" s="1"/>
  <c r="E41" i="80"/>
  <c r="E42" i="80"/>
  <c r="F42" i="80" s="1"/>
  <c r="G42" i="80" s="1"/>
  <c r="E43" i="80"/>
  <c r="E44" i="80"/>
  <c r="F44" i="80" s="1"/>
  <c r="G44" i="80" s="1"/>
  <c r="E45" i="80"/>
  <c r="E46" i="80"/>
  <c r="F46" i="80" s="1"/>
  <c r="G46" i="80" s="1"/>
  <c r="E47" i="80"/>
  <c r="F47" i="80" s="1"/>
  <c r="E48" i="80"/>
  <c r="F48" i="80" s="1"/>
  <c r="G48" i="80" s="1"/>
  <c r="E49" i="80"/>
  <c r="E50" i="80"/>
  <c r="F50" i="80" s="1"/>
  <c r="G50" i="80" s="1"/>
  <c r="E51" i="80"/>
  <c r="F51" i="80" s="1"/>
  <c r="E52" i="80"/>
  <c r="F52" i="80" s="1"/>
  <c r="G52" i="80" s="1"/>
  <c r="E53" i="80"/>
  <c r="E54" i="80"/>
  <c r="F54" i="80" s="1"/>
  <c r="G54" i="80" s="1"/>
  <c r="E55" i="80"/>
  <c r="F55" i="80" s="1"/>
  <c r="E56" i="80"/>
  <c r="F56" i="80" s="1"/>
  <c r="G56" i="80" s="1"/>
  <c r="E57" i="80"/>
  <c r="F57" i="80" s="1"/>
  <c r="E58" i="80"/>
  <c r="F58" i="80" s="1"/>
  <c r="G58" i="80" s="1"/>
  <c r="E59" i="80"/>
  <c r="F59" i="80" s="1"/>
  <c r="E60" i="80"/>
  <c r="F60" i="80" s="1"/>
  <c r="G60" i="80" s="1"/>
  <c r="E61" i="80"/>
  <c r="E62" i="80"/>
  <c r="F62" i="80" s="1"/>
  <c r="G62" i="80" s="1"/>
  <c r="E63" i="80"/>
  <c r="E64" i="80"/>
  <c r="F64" i="80" s="1"/>
  <c r="G64" i="80" s="1"/>
  <c r="E65" i="80"/>
  <c r="E66" i="80"/>
  <c r="F66" i="80" s="1"/>
  <c r="G66" i="80" s="1"/>
  <c r="E67" i="80"/>
  <c r="F67" i="80" s="1"/>
  <c r="E68" i="80"/>
  <c r="F68" i="80" s="1"/>
  <c r="G68" i="80" s="1"/>
  <c r="E69" i="80"/>
  <c r="E70" i="80"/>
  <c r="F70" i="80" s="1"/>
  <c r="G70" i="80" s="1"/>
  <c r="E71" i="80"/>
  <c r="F71" i="80" s="1"/>
  <c r="E72" i="80"/>
  <c r="F72" i="80" s="1"/>
  <c r="G72" i="80" s="1"/>
  <c r="E9" i="80"/>
  <c r="F9" i="80" s="1"/>
  <c r="G9" i="80" s="1"/>
  <c r="F63" i="80" l="1"/>
  <c r="G63" i="80" s="1"/>
  <c r="F43" i="80"/>
  <c r="G43" i="80" s="1"/>
  <c r="F27" i="80"/>
  <c r="G27" i="80" s="1"/>
  <c r="F12" i="80"/>
  <c r="G12" i="80" s="1"/>
  <c r="G17" i="80"/>
  <c r="G67" i="80"/>
  <c r="G51" i="80"/>
  <c r="G39" i="80"/>
  <c r="G18" i="80"/>
  <c r="F69" i="80"/>
  <c r="G69" i="80" s="1"/>
  <c r="F65" i="80"/>
  <c r="G65" i="80" s="1"/>
  <c r="F61" i="80"/>
  <c r="G61" i="80" s="1"/>
  <c r="F53" i="80"/>
  <c r="G53" i="80" s="1"/>
  <c r="F49" i="80"/>
  <c r="G49" i="80" s="1"/>
  <c r="F45" i="80"/>
  <c r="G45" i="80" s="1"/>
  <c r="F41" i="80"/>
  <c r="G41" i="80" s="1"/>
  <c r="F37" i="80"/>
  <c r="G37" i="80" s="1"/>
  <c r="F29" i="80"/>
  <c r="G29" i="80" s="1"/>
  <c r="F25" i="80"/>
  <c r="G25" i="80" s="1"/>
  <c r="F20" i="80"/>
  <c r="G20" i="80" s="1"/>
  <c r="F16" i="80"/>
  <c r="G16" i="80" s="1"/>
  <c r="F10" i="80"/>
  <c r="G10" i="80" s="1"/>
  <c r="G59" i="80"/>
  <c r="G35" i="80"/>
  <c r="G57" i="80"/>
  <c r="G13" i="80"/>
  <c r="G33" i="80"/>
  <c r="G47" i="80"/>
  <c r="G31" i="80"/>
  <c r="G71" i="80"/>
  <c r="G55" i="80"/>
  <c r="G23" i="80"/>
  <c r="F35" i="81"/>
  <c r="F38" i="81"/>
  <c r="F41" i="81"/>
  <c r="F44" i="81"/>
  <c r="F53" i="81"/>
  <c r="F16" i="81"/>
  <c r="F19" i="81"/>
  <c r="F23" i="81"/>
  <c r="F26" i="81"/>
  <c r="F62" i="81"/>
  <c r="F12" i="81"/>
  <c r="F59" i="81"/>
  <c r="F29" i="81"/>
  <c r="F65" i="81"/>
  <c r="F47" i="81"/>
  <c r="F50" i="81"/>
  <c r="F56" i="81"/>
  <c r="F32" i="81"/>
  <c r="F68" i="81"/>
  <c r="F66" i="81"/>
  <c r="F71" i="81"/>
  <c r="F33" i="81" l="1"/>
  <c r="F43" i="81"/>
  <c r="F72" i="81"/>
  <c r="F34" i="81"/>
  <c r="F48" i="81"/>
  <c r="F13" i="81"/>
  <c r="F37" i="81"/>
  <c r="F70" i="81"/>
  <c r="F51" i="81"/>
  <c r="F45" i="81"/>
  <c r="F30" i="81"/>
  <c r="F24" i="81"/>
  <c r="F58" i="81"/>
  <c r="F21" i="81"/>
  <c r="F20" i="81"/>
  <c r="F39" i="81"/>
  <c r="F25" i="81"/>
  <c r="F9" i="81"/>
  <c r="F55" i="81"/>
  <c r="F18" i="81"/>
  <c r="F46" i="81"/>
  <c r="F69" i="81"/>
  <c r="F63" i="81"/>
  <c r="F57" i="81"/>
  <c r="F31" i="81"/>
  <c r="F64" i="81"/>
  <c r="F54" i="81"/>
  <c r="F52" i="81"/>
  <c r="F14" i="81"/>
  <c r="F27" i="81"/>
  <c r="F40" i="81"/>
  <c r="F60" i="81"/>
  <c r="F67" i="81"/>
  <c r="F28" i="81"/>
  <c r="F36" i="81"/>
  <c r="F61" i="81"/>
  <c r="F17" i="81"/>
  <c r="F42" i="81"/>
  <c r="F49" i="81"/>
  <c r="F10" i="81"/>
  <c r="E7" i="19" l="1"/>
  <c r="E9" i="19"/>
  <c r="E10" i="19"/>
  <c r="E11" i="19"/>
  <c r="E13" i="19"/>
  <c r="E14" i="19"/>
  <c r="E15" i="19"/>
  <c r="E16" i="19"/>
  <c r="E17" i="19"/>
  <c r="E18" i="19"/>
  <c r="E20" i="19"/>
  <c r="E21" i="19"/>
  <c r="E22" i="19"/>
  <c r="E23" i="19"/>
  <c r="E24" i="19"/>
  <c r="E25" i="19"/>
  <c r="E26" i="19"/>
  <c r="E27" i="19"/>
  <c r="E28" i="19"/>
  <c r="E29" i="19"/>
  <c r="E30" i="19"/>
  <c r="E31" i="19"/>
  <c r="E32" i="19"/>
  <c r="E33" i="19"/>
  <c r="E34" i="19"/>
  <c r="E35" i="19"/>
  <c r="E36" i="19"/>
  <c r="E37" i="19"/>
  <c r="E38" i="19"/>
  <c r="E39" i="19"/>
  <c r="E40" i="19"/>
  <c r="E41" i="19"/>
  <c r="E42" i="19"/>
  <c r="E43" i="19"/>
  <c r="E44" i="19"/>
  <c r="E45" i="19"/>
  <c r="E46" i="19"/>
  <c r="E47" i="19"/>
  <c r="E48" i="19"/>
  <c r="E49" i="19"/>
  <c r="E50" i="19"/>
  <c r="E51" i="19"/>
  <c r="E52" i="19"/>
  <c r="E53" i="19"/>
  <c r="E54" i="19"/>
  <c r="E55" i="19"/>
  <c r="E56" i="19"/>
  <c r="E57" i="19"/>
  <c r="E58" i="19"/>
  <c r="E59" i="19"/>
  <c r="E60" i="19"/>
  <c r="E61" i="19"/>
  <c r="E62" i="19"/>
  <c r="E63" i="19"/>
  <c r="E64" i="19"/>
  <c r="E65" i="19"/>
  <c r="E66" i="19"/>
  <c r="E67" i="19"/>
  <c r="E68" i="19"/>
  <c r="E69" i="19"/>
  <c r="E6" i="19"/>
  <c r="D4" i="76" l="1"/>
  <c r="D4" i="77" l="1"/>
  <c r="H11" i="76"/>
  <c r="I11" i="76" s="1"/>
  <c r="H13" i="76"/>
  <c r="I13" i="76" s="1"/>
  <c r="H18" i="76"/>
  <c r="I18" i="76" s="1"/>
  <c r="H19" i="76"/>
  <c r="I19" i="76" s="1"/>
  <c r="H20" i="76"/>
  <c r="I20" i="76" s="1"/>
  <c r="H25" i="76"/>
  <c r="I25" i="76" s="1"/>
  <c r="H26" i="76"/>
  <c r="I26" i="76" s="1"/>
  <c r="H27" i="76"/>
  <c r="I27" i="76" s="1"/>
  <c r="H31" i="76"/>
  <c r="I31" i="76" s="1"/>
  <c r="H32" i="76"/>
  <c r="I32" i="76" s="1"/>
  <c r="H33" i="76"/>
  <c r="I33" i="76" s="1"/>
  <c r="H37" i="76"/>
  <c r="I37" i="76" s="1"/>
  <c r="H38" i="76"/>
  <c r="I38" i="76" s="1"/>
  <c r="H39" i="76"/>
  <c r="I39" i="76" s="1"/>
  <c r="H43" i="76"/>
  <c r="I43" i="76" s="1"/>
  <c r="H44" i="76"/>
  <c r="I44" i="76" s="1"/>
  <c r="H45" i="76"/>
  <c r="I45" i="76" s="1"/>
  <c r="H49" i="76"/>
  <c r="I49" i="76" s="1"/>
  <c r="H50" i="76"/>
  <c r="I50" i="76" s="1"/>
  <c r="H51" i="76"/>
  <c r="I51" i="76" s="1"/>
  <c r="H55" i="76"/>
  <c r="I55" i="76" s="1"/>
  <c r="H56" i="76"/>
  <c r="I56" i="76" s="1"/>
  <c r="H57" i="76"/>
  <c r="I57" i="76" s="1"/>
  <c r="H61" i="76"/>
  <c r="I61" i="76" s="1"/>
  <c r="H62" i="76"/>
  <c r="I62" i="76" s="1"/>
  <c r="H63" i="76"/>
  <c r="I63" i="76" s="1"/>
  <c r="H67" i="76"/>
  <c r="I67" i="76" s="1"/>
  <c r="H68" i="76"/>
  <c r="I68" i="76" s="1"/>
  <c r="H69" i="76"/>
  <c r="I69" i="76" s="1"/>
  <c r="F12" i="77" l="1"/>
  <c r="F9" i="77"/>
  <c r="H10" i="76"/>
  <c r="I10" i="76" s="1"/>
  <c r="F73" i="76"/>
  <c r="H73" i="76"/>
  <c r="I73" i="76" s="1"/>
  <c r="F53" i="76"/>
  <c r="H53" i="76"/>
  <c r="I53" i="76" s="1"/>
  <c r="F72" i="76"/>
  <c r="H72" i="76"/>
  <c r="I72" i="76" s="1"/>
  <c r="F64" i="76"/>
  <c r="H64" i="76"/>
  <c r="I64" i="76" s="1"/>
  <c r="F60" i="76"/>
  <c r="H60" i="76"/>
  <c r="I60" i="76" s="1"/>
  <c r="F52" i="76"/>
  <c r="H52" i="76"/>
  <c r="I52" i="76" s="1"/>
  <c r="F48" i="76"/>
  <c r="H48" i="76"/>
  <c r="I48" i="76" s="1"/>
  <c r="F40" i="76"/>
  <c r="H40" i="76"/>
  <c r="I40" i="76" s="1"/>
  <c r="F36" i="76"/>
  <c r="H36" i="76"/>
  <c r="I36" i="76" s="1"/>
  <c r="F28" i="76"/>
  <c r="H28" i="76"/>
  <c r="I28" i="76" s="1"/>
  <c r="F24" i="76"/>
  <c r="H24" i="76"/>
  <c r="I24" i="76" s="1"/>
  <c r="F14" i="76"/>
  <c r="H14" i="76"/>
  <c r="I14" i="76" s="1"/>
  <c r="F59" i="76"/>
  <c r="H59" i="76"/>
  <c r="I59" i="76" s="1"/>
  <c r="F47" i="76"/>
  <c r="H47" i="76"/>
  <c r="I47" i="76" s="1"/>
  <c r="F35" i="76"/>
  <c r="H35" i="76"/>
  <c r="I35" i="76" s="1"/>
  <c r="F22" i="76"/>
  <c r="H22" i="76"/>
  <c r="I22" i="76" s="1"/>
  <c r="F71" i="76"/>
  <c r="H71" i="76"/>
  <c r="I71" i="76" s="1"/>
  <c r="F70" i="76"/>
  <c r="H70" i="76"/>
  <c r="I70" i="76" s="1"/>
  <c r="F66" i="76"/>
  <c r="H66" i="76"/>
  <c r="I66" i="76" s="1"/>
  <c r="F58" i="76"/>
  <c r="H58" i="76"/>
  <c r="I58" i="76" s="1"/>
  <c r="F54" i="76"/>
  <c r="H54" i="76"/>
  <c r="I54" i="76" s="1"/>
  <c r="F46" i="76"/>
  <c r="H46" i="76"/>
  <c r="I46" i="76" s="1"/>
  <c r="F42" i="76"/>
  <c r="H42" i="76"/>
  <c r="I42" i="76" s="1"/>
  <c r="F34" i="76"/>
  <c r="H34" i="76"/>
  <c r="I34" i="76" s="1"/>
  <c r="F30" i="76"/>
  <c r="H30" i="76"/>
  <c r="I30" i="76" s="1"/>
  <c r="F21" i="76"/>
  <c r="H21" i="76"/>
  <c r="I21" i="76" s="1"/>
  <c r="F17" i="76"/>
  <c r="H17" i="76"/>
  <c r="I17" i="76" s="1"/>
  <c r="F65" i="76"/>
  <c r="H65" i="76"/>
  <c r="I65" i="76" s="1"/>
  <c r="F41" i="76"/>
  <c r="H41" i="76"/>
  <c r="I41" i="76" s="1"/>
  <c r="F29" i="76"/>
  <c r="H29" i="76"/>
  <c r="I29" i="76" s="1"/>
  <c r="F15" i="76"/>
  <c r="H15" i="76"/>
  <c r="I15" i="76" s="1"/>
  <c r="F65" i="77"/>
  <c r="F53" i="77"/>
  <c r="F43" i="77"/>
  <c r="F33" i="77"/>
  <c r="F16" i="77"/>
  <c r="F68" i="77"/>
  <c r="F64" i="77"/>
  <c r="F58" i="77"/>
  <c r="F52" i="77"/>
  <c r="F48" i="77"/>
  <c r="F42" i="77"/>
  <c r="F36" i="77"/>
  <c r="F32" i="77"/>
  <c r="F26" i="77"/>
  <c r="F19" i="77"/>
  <c r="F14" i="77"/>
  <c r="F72" i="77"/>
  <c r="F66" i="77"/>
  <c r="F60" i="77"/>
  <c r="F56" i="77"/>
  <c r="F50" i="77"/>
  <c r="F44" i="77"/>
  <c r="F40" i="77"/>
  <c r="F34" i="77"/>
  <c r="F28" i="77"/>
  <c r="F24" i="77"/>
  <c r="F17" i="77"/>
  <c r="F69" i="77"/>
  <c r="F59" i="77"/>
  <c r="F49" i="77"/>
  <c r="F37" i="77"/>
  <c r="F27" i="77"/>
  <c r="F20" i="77"/>
  <c r="F67" i="77"/>
  <c r="F61" i="77"/>
  <c r="F57" i="77"/>
  <c r="F51" i="77"/>
  <c r="F45" i="77"/>
  <c r="F41" i="77"/>
  <c r="F35" i="77"/>
  <c r="F29" i="77"/>
  <c r="F25" i="77"/>
  <c r="F18" i="77"/>
  <c r="F10" i="77"/>
  <c r="F71" i="77"/>
  <c r="F63" i="77"/>
  <c r="F55" i="77"/>
  <c r="F47" i="77"/>
  <c r="F39" i="77"/>
  <c r="F31" i="77"/>
  <c r="F23" i="77"/>
  <c r="F13" i="77"/>
  <c r="F70" i="77"/>
  <c r="F62" i="77"/>
  <c r="F54" i="77"/>
  <c r="F46" i="77"/>
  <c r="F38" i="77"/>
  <c r="F30" i="77"/>
  <c r="F21" i="77"/>
  <c r="F49" i="76"/>
  <c r="F31" i="76"/>
  <c r="F55" i="76"/>
  <c r="F11" i="76"/>
  <c r="F19" i="76"/>
  <c r="F26" i="76"/>
  <c r="F32" i="76"/>
  <c r="F38" i="76"/>
  <c r="F44" i="76"/>
  <c r="F50" i="76"/>
  <c r="F56" i="76"/>
  <c r="F62" i="76"/>
  <c r="F68" i="76"/>
  <c r="F10" i="76"/>
  <c r="F67" i="76"/>
  <c r="F25" i="76"/>
  <c r="F43" i="76"/>
  <c r="F61" i="76"/>
  <c r="F13" i="76"/>
  <c r="F20" i="76"/>
  <c r="F27" i="76"/>
  <c r="F33" i="76"/>
  <c r="F39" i="76"/>
  <c r="F45" i="76"/>
  <c r="F51" i="76"/>
  <c r="F57" i="76"/>
  <c r="F63" i="76"/>
  <c r="F69" i="76"/>
  <c r="F18" i="76"/>
  <c r="F37" i="76"/>
  <c r="F10" i="22"/>
  <c r="G10" i="22" l="1"/>
  <c r="E15" i="42"/>
  <c r="G15" i="42" s="1"/>
  <c r="E40" i="42" l="1"/>
  <c r="G40" i="42" s="1"/>
  <c r="E16" i="42"/>
  <c r="G16" i="42" s="1"/>
  <c r="D6" i="17"/>
  <c r="D5" i="17"/>
  <c r="G43" i="42" l="1"/>
  <c r="G42" i="42"/>
  <c r="H9" i="60" l="1"/>
  <c r="I9" i="60" s="1"/>
  <c r="F8" i="18"/>
  <c r="G72" i="60" l="1"/>
  <c r="H72" i="60" s="1"/>
  <c r="I72" i="60" s="1"/>
  <c r="G71" i="60"/>
  <c r="H71" i="60" s="1"/>
  <c r="I71" i="60" s="1"/>
  <c r="G70" i="60"/>
  <c r="H70" i="60" s="1"/>
  <c r="I70" i="60" s="1"/>
  <c r="G69" i="60"/>
  <c r="H69" i="60" s="1"/>
  <c r="I69" i="60" s="1"/>
  <c r="G68" i="60"/>
  <c r="H68" i="60" s="1"/>
  <c r="I68" i="60" s="1"/>
  <c r="G67" i="60"/>
  <c r="H67" i="60" s="1"/>
  <c r="I67" i="60" s="1"/>
  <c r="G66" i="60"/>
  <c r="H66" i="60" s="1"/>
  <c r="I66" i="60" s="1"/>
  <c r="G65" i="60"/>
  <c r="H65" i="60" s="1"/>
  <c r="I65" i="60" s="1"/>
  <c r="G64" i="60"/>
  <c r="H64" i="60" s="1"/>
  <c r="I64" i="60" s="1"/>
  <c r="G63" i="60"/>
  <c r="H63" i="60" s="1"/>
  <c r="I63" i="60" s="1"/>
  <c r="G62" i="60"/>
  <c r="H62" i="60" s="1"/>
  <c r="I62" i="60" s="1"/>
  <c r="G61" i="60"/>
  <c r="H61" i="60" s="1"/>
  <c r="I61" i="60" s="1"/>
  <c r="G60" i="60"/>
  <c r="H60" i="60" s="1"/>
  <c r="I60" i="60" s="1"/>
  <c r="G59" i="60"/>
  <c r="H59" i="60" s="1"/>
  <c r="I59" i="60" s="1"/>
  <c r="G58" i="60"/>
  <c r="H58" i="60" s="1"/>
  <c r="I58" i="60" s="1"/>
  <c r="G57" i="60"/>
  <c r="H57" i="60" s="1"/>
  <c r="I57" i="60" s="1"/>
  <c r="G56" i="60"/>
  <c r="H56" i="60" s="1"/>
  <c r="I56" i="60" s="1"/>
  <c r="G55" i="60"/>
  <c r="H55" i="60" s="1"/>
  <c r="I55" i="60" s="1"/>
  <c r="G54" i="60"/>
  <c r="H54" i="60" s="1"/>
  <c r="I54" i="60" s="1"/>
  <c r="G53" i="60"/>
  <c r="H53" i="60" s="1"/>
  <c r="I53" i="60" s="1"/>
  <c r="G52" i="60"/>
  <c r="H52" i="60" s="1"/>
  <c r="I52" i="60" s="1"/>
  <c r="G51" i="60"/>
  <c r="H51" i="60" s="1"/>
  <c r="I51" i="60" s="1"/>
  <c r="G50" i="60"/>
  <c r="H50" i="60" s="1"/>
  <c r="I50" i="60" s="1"/>
  <c r="G49" i="60"/>
  <c r="H49" i="60" s="1"/>
  <c r="I49" i="60" s="1"/>
  <c r="G48" i="60"/>
  <c r="H48" i="60" s="1"/>
  <c r="I48" i="60" s="1"/>
  <c r="G47" i="60"/>
  <c r="H47" i="60" s="1"/>
  <c r="I47" i="60" s="1"/>
  <c r="G46" i="60"/>
  <c r="H46" i="60" s="1"/>
  <c r="I46" i="60" s="1"/>
  <c r="G45" i="60"/>
  <c r="H45" i="60" s="1"/>
  <c r="I45" i="60" s="1"/>
  <c r="G44" i="60"/>
  <c r="H44" i="60" s="1"/>
  <c r="I44" i="60" s="1"/>
  <c r="G43" i="60"/>
  <c r="H43" i="60" s="1"/>
  <c r="I43" i="60" s="1"/>
  <c r="G42" i="60"/>
  <c r="H42" i="60" s="1"/>
  <c r="I42" i="60" s="1"/>
  <c r="G41" i="60"/>
  <c r="H41" i="60" s="1"/>
  <c r="I41" i="60" s="1"/>
  <c r="G40" i="60"/>
  <c r="H40" i="60" s="1"/>
  <c r="I40" i="60" s="1"/>
  <c r="G39" i="60"/>
  <c r="H39" i="60" s="1"/>
  <c r="I39" i="60" s="1"/>
  <c r="G38" i="60"/>
  <c r="H38" i="60" s="1"/>
  <c r="I38" i="60" s="1"/>
  <c r="G37" i="60"/>
  <c r="H37" i="60" s="1"/>
  <c r="I37" i="60" s="1"/>
  <c r="G36" i="60"/>
  <c r="H36" i="60" s="1"/>
  <c r="I36" i="60" s="1"/>
  <c r="G35" i="60"/>
  <c r="H35" i="60" s="1"/>
  <c r="I35" i="60" s="1"/>
  <c r="G34" i="60"/>
  <c r="H34" i="60" s="1"/>
  <c r="I34" i="60" s="1"/>
  <c r="G33" i="60"/>
  <c r="H33" i="60" s="1"/>
  <c r="I33" i="60" s="1"/>
  <c r="G32" i="60"/>
  <c r="H32" i="60" s="1"/>
  <c r="I32" i="60" s="1"/>
  <c r="G31" i="60"/>
  <c r="H31" i="60" s="1"/>
  <c r="I31" i="60" s="1"/>
  <c r="G30" i="60"/>
  <c r="H30" i="60" s="1"/>
  <c r="I30" i="60" s="1"/>
  <c r="G29" i="60"/>
  <c r="H29" i="60" s="1"/>
  <c r="I29" i="60" s="1"/>
  <c r="G28" i="60"/>
  <c r="H28" i="60" s="1"/>
  <c r="I28" i="60" s="1"/>
  <c r="G27" i="60"/>
  <c r="H27" i="60" s="1"/>
  <c r="I27" i="60" s="1"/>
  <c r="G26" i="60"/>
  <c r="H26" i="60" s="1"/>
  <c r="I26" i="60" s="1"/>
  <c r="G25" i="60"/>
  <c r="H25" i="60" s="1"/>
  <c r="I25" i="60" s="1"/>
  <c r="G24" i="60"/>
  <c r="H24" i="60" s="1"/>
  <c r="I24" i="60" s="1"/>
  <c r="G23" i="60"/>
  <c r="H23" i="60" s="1"/>
  <c r="I23" i="60" s="1"/>
  <c r="G21" i="60"/>
  <c r="H21" i="60" s="1"/>
  <c r="I21" i="60" s="1"/>
  <c r="G20" i="60"/>
  <c r="H20" i="60" s="1"/>
  <c r="I20" i="60" s="1"/>
  <c r="G19" i="60"/>
  <c r="H19" i="60" s="1"/>
  <c r="I19" i="60" s="1"/>
  <c r="G18" i="60"/>
  <c r="H18" i="60" s="1"/>
  <c r="I18" i="60" s="1"/>
  <c r="G17" i="60"/>
  <c r="H17" i="60" s="1"/>
  <c r="I17" i="60" s="1"/>
  <c r="G16" i="60"/>
  <c r="H16" i="60" s="1"/>
  <c r="I16" i="60" s="1"/>
  <c r="G14" i="60"/>
  <c r="H14" i="60" s="1"/>
  <c r="I14" i="60" s="1"/>
  <c r="G13" i="60"/>
  <c r="H13" i="60" s="1"/>
  <c r="I13" i="60" s="1"/>
  <c r="G12" i="60"/>
  <c r="H12" i="60" s="1"/>
  <c r="I12" i="60" s="1"/>
  <c r="G10" i="60"/>
  <c r="H10" i="60" s="1"/>
  <c r="I10" i="60" s="1"/>
  <c r="E11" i="22" l="1"/>
  <c r="E18" i="42" l="1"/>
  <c r="G18" i="42" s="1"/>
  <c r="E19" i="42"/>
  <c r="G19" i="42" s="1"/>
  <c r="E20" i="42"/>
  <c r="G20" i="42" s="1"/>
  <c r="E22" i="42"/>
  <c r="G22" i="42" s="1"/>
  <c r="E23" i="42"/>
  <c r="G23" i="42" s="1"/>
  <c r="E24" i="42"/>
  <c r="G24" i="42" s="1"/>
  <c r="E25" i="42"/>
  <c r="G25" i="42" s="1"/>
  <c r="E26" i="42"/>
  <c r="G26" i="42" s="1"/>
  <c r="E27" i="42"/>
  <c r="G27" i="42" s="1"/>
  <c r="E29" i="42"/>
  <c r="G29" i="42" s="1"/>
  <c r="E30" i="42"/>
  <c r="G30" i="42" s="1"/>
  <c r="E31" i="42"/>
  <c r="G31" i="42" s="1"/>
  <c r="E32" i="42"/>
  <c r="G32" i="42" s="1"/>
  <c r="E33" i="42"/>
  <c r="G33" i="42" s="1"/>
  <c r="E34" i="42"/>
  <c r="G34" i="42" s="1"/>
  <c r="E35" i="42"/>
  <c r="G35" i="42" s="1"/>
  <c r="E36" i="42"/>
  <c r="G36" i="42" s="1"/>
  <c r="E37" i="42"/>
  <c r="G37" i="42" s="1"/>
  <c r="E38" i="42"/>
  <c r="G38" i="42" s="1"/>
  <c r="E39" i="42"/>
  <c r="G39" i="42" s="1"/>
  <c r="G52" i="42" l="1"/>
  <c r="G41" i="42"/>
  <c r="G67" i="42"/>
  <c r="G68" i="42"/>
  <c r="G63" i="42"/>
  <c r="G64" i="42"/>
  <c r="G59" i="42"/>
  <c r="G44" i="42"/>
  <c r="G76" i="42"/>
  <c r="G75" i="42"/>
  <c r="G51" i="42"/>
  <c r="G72" i="42"/>
  <c r="G48" i="42"/>
  <c r="G60" i="42"/>
  <c r="G56" i="42"/>
  <c r="G55" i="42"/>
  <c r="G71" i="42"/>
  <c r="G47" i="42"/>
  <c r="G78" i="42"/>
  <c r="G74" i="42"/>
  <c r="G70" i="42"/>
  <c r="G66" i="42"/>
  <c r="G62" i="42"/>
  <c r="G58" i="42"/>
  <c r="G54" i="42"/>
  <c r="G50" i="42"/>
  <c r="G46" i="42"/>
  <c r="G77" i="42"/>
  <c r="G73" i="42"/>
  <c r="G69" i="42"/>
  <c r="G65" i="42"/>
  <c r="G61" i="42"/>
  <c r="G57" i="42"/>
  <c r="G53" i="42"/>
  <c r="G49" i="42"/>
  <c r="G45" i="42"/>
  <c r="E13" i="22" l="1"/>
  <c r="F13" i="22" s="1"/>
  <c r="E14" i="22"/>
  <c r="F14" i="22" s="1"/>
  <c r="E15" i="22"/>
  <c r="F15" i="22" s="1"/>
  <c r="E17" i="22"/>
  <c r="F17" i="22" s="1"/>
  <c r="E18" i="22"/>
  <c r="F18" i="22" s="1"/>
  <c r="E19" i="22"/>
  <c r="F19" i="22" s="1"/>
  <c r="E20" i="22"/>
  <c r="F20" i="22" s="1"/>
  <c r="E21" i="22"/>
  <c r="F21" i="22" s="1"/>
  <c r="E22" i="22"/>
  <c r="F22" i="22" s="1"/>
  <c r="E24" i="22"/>
  <c r="F24" i="22" s="1"/>
  <c r="E25" i="22"/>
  <c r="F25" i="22" s="1"/>
  <c r="E26" i="22"/>
  <c r="F26" i="22" s="1"/>
  <c r="E27" i="22"/>
  <c r="F27" i="22" s="1"/>
  <c r="E28" i="22"/>
  <c r="F28" i="22" s="1"/>
  <c r="E29" i="22"/>
  <c r="F29" i="22" s="1"/>
  <c r="E30" i="22"/>
  <c r="F30" i="22" s="1"/>
  <c r="E31" i="22"/>
  <c r="F31" i="22" s="1"/>
  <c r="E32" i="22"/>
  <c r="F32" i="22" s="1"/>
  <c r="E33" i="22"/>
  <c r="F33" i="22" s="1"/>
  <c r="E34" i="22"/>
  <c r="F34" i="22" s="1"/>
  <c r="E35" i="22"/>
  <c r="F35" i="22" s="1"/>
  <c r="E36" i="22"/>
  <c r="F36" i="22" s="1"/>
  <c r="E37" i="22"/>
  <c r="F37" i="22" s="1"/>
  <c r="E38" i="22"/>
  <c r="F38" i="22" s="1"/>
  <c r="E39" i="22"/>
  <c r="F39" i="22" s="1"/>
  <c r="E40" i="22"/>
  <c r="F40" i="22" s="1"/>
  <c r="E41" i="22"/>
  <c r="F41" i="22" s="1"/>
  <c r="E42" i="22"/>
  <c r="F42" i="22" s="1"/>
  <c r="E43" i="22"/>
  <c r="F43" i="22" s="1"/>
  <c r="E44" i="22"/>
  <c r="F44" i="22" s="1"/>
  <c r="E45" i="22"/>
  <c r="F45" i="22" s="1"/>
  <c r="E46" i="22"/>
  <c r="F46" i="22" s="1"/>
  <c r="E47" i="22"/>
  <c r="F47" i="22" s="1"/>
  <c r="E48" i="22"/>
  <c r="F48" i="22" s="1"/>
  <c r="E49" i="22"/>
  <c r="F49" i="22" s="1"/>
  <c r="E50" i="22"/>
  <c r="F50" i="22" s="1"/>
  <c r="E51" i="22"/>
  <c r="F51" i="22" s="1"/>
  <c r="E52" i="22"/>
  <c r="F52" i="22" s="1"/>
  <c r="E53" i="22"/>
  <c r="F53" i="22" s="1"/>
  <c r="E54" i="22"/>
  <c r="F54" i="22" s="1"/>
  <c r="E55" i="22"/>
  <c r="F55" i="22" s="1"/>
  <c r="E56" i="22"/>
  <c r="F56" i="22" s="1"/>
  <c r="E57" i="22"/>
  <c r="F57" i="22" s="1"/>
  <c r="E58" i="22"/>
  <c r="F58" i="22" s="1"/>
  <c r="E59" i="22"/>
  <c r="F59" i="22" s="1"/>
  <c r="E60" i="22"/>
  <c r="F60" i="22" s="1"/>
  <c r="E61" i="22"/>
  <c r="F61" i="22" s="1"/>
  <c r="E62" i="22"/>
  <c r="F62" i="22" s="1"/>
  <c r="E63" i="22"/>
  <c r="F63" i="22" s="1"/>
  <c r="E64" i="22"/>
  <c r="F64" i="22" s="1"/>
  <c r="E65" i="22"/>
  <c r="F65" i="22" s="1"/>
  <c r="E66" i="22"/>
  <c r="F66" i="22" s="1"/>
  <c r="E67" i="22"/>
  <c r="F67" i="22" s="1"/>
  <c r="E68" i="22"/>
  <c r="F68" i="22" s="1"/>
  <c r="E69" i="22"/>
  <c r="F69" i="22" s="1"/>
  <c r="E70" i="22"/>
  <c r="F70" i="22" s="1"/>
  <c r="E71" i="22"/>
  <c r="F71" i="22" s="1"/>
  <c r="E72" i="22"/>
  <c r="F72" i="22" s="1"/>
  <c r="E73" i="22"/>
  <c r="F73" i="22" s="1"/>
  <c r="F11" i="22"/>
  <c r="G73" i="22" l="1"/>
  <c r="G21" i="22"/>
  <c r="G33" i="22"/>
  <c r="G68" i="22"/>
  <c r="G56" i="22"/>
  <c r="G44" i="22"/>
  <c r="G32" i="22"/>
  <c r="G19" i="22"/>
  <c r="G67" i="22"/>
  <c r="G55" i="22"/>
  <c r="G43" i="22"/>
  <c r="G31" i="22"/>
  <c r="G18" i="22"/>
  <c r="G66" i="22"/>
  <c r="G54" i="22"/>
  <c r="G42" i="22"/>
  <c r="G30" i="22"/>
  <c r="G17" i="22"/>
  <c r="G58" i="22"/>
  <c r="G57" i="22"/>
  <c r="G53" i="22"/>
  <c r="G40" i="22"/>
  <c r="G51" i="22"/>
  <c r="G26" i="22"/>
  <c r="G34" i="22"/>
  <c r="G20" i="22"/>
  <c r="G65" i="22"/>
  <c r="G15" i="22"/>
  <c r="G52" i="22"/>
  <c r="G13" i="22"/>
  <c r="G62" i="22"/>
  <c r="G61" i="22"/>
  <c r="G49" i="22"/>
  <c r="G37" i="22"/>
  <c r="G25" i="22"/>
  <c r="G70" i="22"/>
  <c r="G45" i="22"/>
  <c r="G29" i="22"/>
  <c r="G64" i="22"/>
  <c r="G14" i="22"/>
  <c r="G39" i="22"/>
  <c r="G38" i="22"/>
  <c r="G72" i="22"/>
  <c r="G60" i="22"/>
  <c r="G48" i="22"/>
  <c r="G36" i="22"/>
  <c r="G24" i="22"/>
  <c r="G46" i="22"/>
  <c r="G69" i="22"/>
  <c r="G41" i="22"/>
  <c r="G28" i="22"/>
  <c r="G63" i="22"/>
  <c r="G27" i="22"/>
  <c r="G11" i="22"/>
  <c r="G50" i="22"/>
  <c r="G71" i="22"/>
  <c r="G59" i="22"/>
  <c r="G47" i="22"/>
  <c r="G35" i="22"/>
  <c r="G22" i="22"/>
  <c r="F19" i="18"/>
  <c r="F20" i="18"/>
  <c r="F22" i="18"/>
  <c r="F23" i="18"/>
  <c r="F24" i="18"/>
  <c r="F25" i="18"/>
  <c r="F26" i="18"/>
  <c r="F27" i="18"/>
  <c r="F28" i="18"/>
  <c r="F29" i="18"/>
  <c r="F30" i="18"/>
  <c r="F31" i="18"/>
  <c r="F32" i="18"/>
  <c r="F33" i="18"/>
  <c r="F34" i="18"/>
  <c r="F35" i="18"/>
  <c r="F36" i="18"/>
  <c r="F37" i="18"/>
  <c r="F38" i="18"/>
  <c r="F39" i="18"/>
  <c r="F40" i="18"/>
  <c r="F41" i="18"/>
  <c r="F42" i="18"/>
  <c r="F43" i="18"/>
  <c r="F44" i="18"/>
  <c r="F45" i="18"/>
  <c r="F46" i="18"/>
  <c r="F47" i="18"/>
  <c r="F48" i="18"/>
  <c r="F49" i="18"/>
  <c r="F50" i="18"/>
  <c r="F51" i="18"/>
  <c r="F52" i="18"/>
  <c r="F53" i="18"/>
  <c r="F54" i="18"/>
  <c r="F55" i="18"/>
  <c r="F56" i="18"/>
  <c r="F57" i="18"/>
  <c r="F58" i="18"/>
  <c r="F59" i="18"/>
  <c r="F60" i="18"/>
  <c r="F61" i="18"/>
  <c r="F62" i="18"/>
  <c r="F63" i="18"/>
  <c r="F64" i="18"/>
  <c r="F65" i="18"/>
  <c r="F66" i="18"/>
  <c r="F67" i="18"/>
  <c r="F68" i="18"/>
  <c r="F69" i="18"/>
  <c r="F70" i="18"/>
  <c r="F71" i="18"/>
  <c r="F11" i="18"/>
  <c r="F12" i="18"/>
  <c r="F13" i="18"/>
  <c r="F15" i="18"/>
  <c r="F16" i="18"/>
  <c r="F17" i="18"/>
  <c r="F18" i="18"/>
  <c r="F9" i="18"/>
</calcChain>
</file>

<file path=xl/sharedStrings.xml><?xml version="1.0" encoding="utf-8"?>
<sst xmlns="http://schemas.openxmlformats.org/spreadsheetml/2006/main" count="617" uniqueCount="366">
  <si>
    <t>Eqn</t>
  </si>
  <si>
    <t>MBW</t>
  </si>
  <si>
    <t xml:space="preserve">EXP(-3.751 + 0.422 * LOG(MBH) + 0.515 * LOG(MBW)) </t>
  </si>
  <si>
    <t>Maximum height</t>
  </si>
  <si>
    <t xml:space="preserve">THETA </t>
  </si>
  <si>
    <t>Year; Timing parameter controlling the location of the adolescent growth spurt along the time axis</t>
  </si>
  <si>
    <t>S0</t>
  </si>
  <si>
    <t>Parameter controlling pre-pubertal growth velocity</t>
  </si>
  <si>
    <t>S1</t>
  </si>
  <si>
    <t>Parameter controlling pubertal growth velocity</t>
  </si>
  <si>
    <t>MBH</t>
  </si>
  <si>
    <t>MBSA</t>
  </si>
  <si>
    <t>m^2; BSA for an average person</t>
  </si>
  <si>
    <t>Final value for m file</t>
  </si>
  <si>
    <t xml:space="preserve">Body weight Calculations </t>
  </si>
  <si>
    <t>Age (years)</t>
  </si>
  <si>
    <t xml:space="preserve">Eqn </t>
  </si>
  <si>
    <t>Conditions</t>
  </si>
  <si>
    <t>MHT</t>
  </si>
  <si>
    <t>3Year-MBHT</t>
  </si>
  <si>
    <t>3Year-MHTJ</t>
  </si>
  <si>
    <t>Age (year)</t>
  </si>
  <si>
    <t>MVLiv</t>
  </si>
  <si>
    <t>MBW (kg)</t>
  </si>
  <si>
    <t>(1.0728 * MBSA - 0.3457) * MVLiv268 / (1.0728 * MBSA_268_303 - 0.3457)</t>
  </si>
  <si>
    <t>L; Fat volume for an average person</t>
  </si>
  <si>
    <t>MVFATADULT</t>
  </si>
  <si>
    <t xml:space="preserve">MBW / ((MBH / 100.0)**2.0)  </t>
  </si>
  <si>
    <t>BMI for an average person</t>
  </si>
  <si>
    <t xml:space="preserve">MBMI </t>
  </si>
  <si>
    <t>Brain</t>
  </si>
  <si>
    <t>Value (L)</t>
  </si>
  <si>
    <t>Year</t>
  </si>
  <si>
    <t>VBR = 10*(Years+0.315)/(9+6.92*Years)</t>
  </si>
  <si>
    <t>VBRN</t>
  </si>
  <si>
    <t>L; Brain volume</t>
  </si>
  <si>
    <t>10*(Years+0.315)/(9+6.92*Years)</t>
  </si>
  <si>
    <t>MVPLAS</t>
  </si>
  <si>
    <t>MVPLASADULT</t>
  </si>
  <si>
    <t>Plasma volume for an average person at adult age</t>
  </si>
  <si>
    <t>Plasma volume for an average person</t>
  </si>
  <si>
    <t>HCT</t>
  </si>
  <si>
    <t>QCMIN</t>
  </si>
  <si>
    <t>QC_BSA * BSA * (1.0 + WSV_QCMIN)</t>
  </si>
  <si>
    <t>QC</t>
  </si>
  <si>
    <t>QCMIN * 60.0</t>
  </si>
  <si>
    <t>L/hr; Cardiac output</t>
  </si>
  <si>
    <t>L/min; Cardiac output</t>
  </si>
  <si>
    <t xml:space="preserve">QC * (1.0 - HTC)  </t>
  </si>
  <si>
    <t>QCP</t>
  </si>
  <si>
    <t xml:space="preserve">L/hr; Cardiac plasma output  </t>
  </si>
  <si>
    <t>QCMIN (L/min)</t>
  </si>
  <si>
    <t>QC (L/hr)</t>
  </si>
  <si>
    <t>QCP (L/hr)</t>
  </si>
  <si>
    <t>L/min/m^2; Constant to calculate Cardiac Output scaled by Body Surface Area</t>
  </si>
  <si>
    <t xml:space="preserve">CONSTANT     QC_BSA </t>
  </si>
  <si>
    <t>WSV_QCMIN</t>
  </si>
  <si>
    <t xml:space="preserve">L/min; Between subject variability on cardiac output: QCMIN </t>
  </si>
  <si>
    <t>Age (Year)</t>
  </si>
  <si>
    <t>The relationship between cardiac output and BSA was reported by Cowles et al. (1971)</t>
  </si>
  <si>
    <t>QFAT</t>
  </si>
  <si>
    <t>QFAT (L/hr)</t>
  </si>
  <si>
    <t xml:space="preserve">VFATC </t>
  </si>
  <si>
    <t>Value</t>
  </si>
  <si>
    <t>QBRNC</t>
  </si>
  <si>
    <t>QBRN</t>
  </si>
  <si>
    <t>VBRNC</t>
  </si>
  <si>
    <t>VFATC</t>
  </si>
  <si>
    <t>Calculate VLIVC</t>
  </si>
  <si>
    <t>VLivC</t>
  </si>
  <si>
    <t>MVFAT</t>
  </si>
  <si>
    <t>MBMI</t>
  </si>
  <si>
    <t>Equation</t>
  </si>
  <si>
    <t>Calculate MVLIV (L)</t>
  </si>
  <si>
    <t>QBRN (L/hr)</t>
  </si>
  <si>
    <t xml:space="preserve">BW (Kg) </t>
  </si>
  <si>
    <t>0.05012 * MBW**0.78</t>
  </si>
  <si>
    <t>Life Stage Liver Volume (VLiv) determined by BW and BSA</t>
  </si>
  <si>
    <t>m^2; BSA for an average person at 268 (female) or 303 (male) months old</t>
  </si>
  <si>
    <t xml:space="preserve">H1; cm; </t>
  </si>
  <si>
    <t>MBSA_268_303</t>
  </si>
  <si>
    <t>MBWADULT</t>
  </si>
  <si>
    <t>L; Liver volume for an average person if ≤ 22Y</t>
  </si>
  <si>
    <t>L; Liver volume for an average person if &gt; 22Y</t>
  </si>
  <si>
    <t>BSAAdult</t>
  </si>
  <si>
    <t xml:space="preserve">cm, Mean height of all ages </t>
  </si>
  <si>
    <t>H1</t>
  </si>
  <si>
    <t>cm; Maximum height of adult i.e 25Y</t>
  </si>
  <si>
    <t>0.05012 * MBW^0.78</t>
  </si>
  <si>
    <t>MVLiv268</t>
  </si>
  <si>
    <t>L; Liver volume at age 268 months for an average person</t>
  </si>
  <si>
    <t>0.05012 * MBWADULT**0.78</t>
  </si>
  <si>
    <t>Calculate VBRN (L)</t>
  </si>
  <si>
    <t>MBW (Kg)</t>
  </si>
  <si>
    <t>Variable</t>
  </si>
  <si>
    <t xml:space="preserve"> (VTisC/VTisCAdult)*QTisCAdult
</t>
  </si>
  <si>
    <t xml:space="preserve">VTisAdult/BWAdult
</t>
  </si>
  <si>
    <t>QLIV</t>
  </si>
  <si>
    <t>QFATC</t>
  </si>
  <si>
    <t>QFATC_Adult</t>
  </si>
  <si>
    <t>VFATC_Adult</t>
  </si>
  <si>
    <t>QLIVC_Adult</t>
  </si>
  <si>
    <t>VLIVC_Adult</t>
  </si>
  <si>
    <t xml:space="preserve">VFAT_Adult/BW_Adult
</t>
  </si>
  <si>
    <r>
      <t xml:space="preserve">Fractional male hepatic </t>
    </r>
    <r>
      <rPr>
        <b/>
        <u/>
        <sz val="12"/>
        <rFont val="Times New Roman"/>
        <family val="1"/>
      </rPr>
      <t>arterial flow</t>
    </r>
    <r>
      <rPr>
        <sz val="12"/>
        <rFont val="Times New Roman"/>
        <family val="1"/>
      </rPr>
      <t xml:space="preserve"> at adult age for an average person. Data from ICRP 2002. </t>
    </r>
  </si>
  <si>
    <t>BSA for an adult individual</t>
  </si>
  <si>
    <t>(((1.12815e-06) * (YEARS**3.0)) - (1.72362e-04 * (YEARS**2.0)) + (8.15264e-03 * YEARS) + 0.327363) * (1.0 + WSV_HCT)</t>
  </si>
  <si>
    <t xml:space="preserve">0.359 * (1 + WSV_HCT) </t>
  </si>
  <si>
    <t>(((1.12815e-06) * (year^3.0)) - (1.72362e-04 * (year^2.0)) + (8.15264e-03 * year) + 0.327363) * (1.0 + WSV_HCT)</t>
  </si>
  <si>
    <t>Calculated value (Dimensionless)</t>
  </si>
  <si>
    <t>MVPLASC</t>
  </si>
  <si>
    <t>QLIVC (arterial)</t>
  </si>
  <si>
    <t>QLIVC (total)</t>
  </si>
  <si>
    <t>QLIV arterial (L/hr)</t>
  </si>
  <si>
    <t>QLIV total (L/hr)</t>
  </si>
  <si>
    <t>MVGUT</t>
  </si>
  <si>
    <t>L; Gut volume for an average person</t>
  </si>
  <si>
    <t xml:space="preserve">0.021 * MLBWADULT </t>
  </si>
  <si>
    <t xml:space="preserve">VGUTC </t>
  </si>
  <si>
    <t>VGUT / BW</t>
  </si>
  <si>
    <t>Calculate MVGUT (L)</t>
  </si>
  <si>
    <t>Calculate MVGUTC</t>
  </si>
  <si>
    <t>QGUTC_Adult</t>
  </si>
  <si>
    <t>QGUT</t>
  </si>
  <si>
    <t xml:space="preserve">(QGUTC * QCP </t>
  </si>
  <si>
    <t>VGUTC</t>
  </si>
  <si>
    <t>QGUTC</t>
  </si>
  <si>
    <t>VGUTC_Adult</t>
  </si>
  <si>
    <r>
      <t xml:space="preserve">Fractional male blood </t>
    </r>
    <r>
      <rPr>
        <b/>
        <u/>
        <sz val="12"/>
        <rFont val="Times New Roman"/>
        <family val="1"/>
      </rPr>
      <t>flow</t>
    </r>
    <r>
      <rPr>
        <sz val="12"/>
        <rFont val="Times New Roman"/>
        <family val="1"/>
      </rPr>
      <t xml:space="preserve"> to large + small intestine at adult age for an average person. Data from ICRP 2002. </t>
    </r>
  </si>
  <si>
    <t xml:space="preserve">QGUTC </t>
  </si>
  <si>
    <t>QGUT  (L/hr)</t>
  </si>
  <si>
    <t>Lean BW</t>
  </si>
  <si>
    <t>MBW - MVFAT</t>
  </si>
  <si>
    <t>MLBW</t>
  </si>
  <si>
    <t>kg; Lean body weight for an average person</t>
  </si>
  <si>
    <t>QLIVC (arterial) + QGUTC</t>
  </si>
  <si>
    <t>sum of arterial blood flow and the portal (QGUTC) blood flow</t>
  </si>
  <si>
    <t>MVBLDC</t>
  </si>
  <si>
    <t>Mean Body Surface Area (MBSA)</t>
  </si>
  <si>
    <t>Calculated MBSA (m^2)</t>
  </si>
  <si>
    <t>Mean Fat Volume (MFAT)</t>
  </si>
  <si>
    <t>Mean Gut Volume (MVGUT) determined by BW</t>
  </si>
  <si>
    <t>Calculate MVFAT (L)</t>
  </si>
  <si>
    <t>Mean Plasma Volume (MVPLAS)</t>
  </si>
  <si>
    <t xml:space="preserve">(10.0**(1.2082 * log10(MBSA) + 3.2869)) * (1.0 - HCT) / 1000.0     </t>
  </si>
  <si>
    <t xml:space="preserve">(10.0**(1.2082 * log10(MBSAADULT) + 3.2869)) * (1.0 - HCT) / 1000.0 </t>
  </si>
  <si>
    <t>Calculated MVPLAS</t>
  </si>
  <si>
    <t xml:space="preserve">(QBRNC * QCP) </t>
  </si>
  <si>
    <t>Standard fractional blood flow for Fat in MALE; (Brown et al., 1997 reports 5% cardiac output)</t>
  </si>
  <si>
    <t>(QFATC * QCP)</t>
  </si>
  <si>
    <t xml:space="preserve">(QLIVC * QCP) </t>
  </si>
  <si>
    <t>ICRP publication values</t>
  </si>
  <si>
    <t>Resting</t>
  </si>
  <si>
    <t xml:space="preserve">DS </t>
  </si>
  <si>
    <t>Y = 0.17*exp(ln(0.01371/0.17)*exp(-0.13*age))</t>
  </si>
  <si>
    <t>DS (dead space) (L)</t>
  </si>
  <si>
    <t>TV (Tidal volume) (L)</t>
  </si>
  <si>
    <t>QALV</t>
  </si>
  <si>
    <t>Sitting awake</t>
  </si>
  <si>
    <t>N/A</t>
  </si>
  <si>
    <t>Light exercise</t>
  </si>
  <si>
    <t>Heavy exercice</t>
  </si>
  <si>
    <t>TV at resting</t>
  </si>
  <si>
    <t>Y = 0.6842*exp(ln(0.04306/0.6842)*exp(-0.1357*age))</t>
  </si>
  <si>
    <t>TV Light exercice</t>
  </si>
  <si>
    <t>Y = 0.1041 + (age^2.727)*(1.478-0.1041)/(age^2.727 + 12.23^2.727)</t>
  </si>
  <si>
    <t>Gumpertz until 1Y and then dose response</t>
  </si>
  <si>
    <t>Y = 0.4493*exp(ln(0.09919/0.4493)*exp(-0.175*age))</t>
  </si>
  <si>
    <t>sigmoidal until 1Y and then dose response</t>
  </si>
  <si>
    <t>EPA handbook water ingestion (2003-2006) table 3-36</t>
  </si>
  <si>
    <t>Mean L/day</t>
  </si>
  <si>
    <t>Birth to 1 month</t>
  </si>
  <si>
    <t>1-3M</t>
  </si>
  <si>
    <t>3-6M</t>
  </si>
  <si>
    <t>6-12M</t>
  </si>
  <si>
    <t>1-2Y</t>
  </si>
  <si>
    <t>2-3Y</t>
  </si>
  <si>
    <t>3-6Y</t>
  </si>
  <si>
    <t>6-11Y</t>
  </si>
  <si>
    <t>11-16Y</t>
  </si>
  <si>
    <t>16-18Y</t>
  </si>
  <si>
    <t>18-21Y</t>
  </si>
  <si>
    <t>21-65Y</t>
  </si>
  <si>
    <t>65+</t>
  </si>
  <si>
    <t>Mean rapidly perfused tissues Volume (MVRaP) determined by Gut Volume</t>
  </si>
  <si>
    <t>MVRap</t>
  </si>
  <si>
    <t>L; Rapidly perfused tissues volume for an average person</t>
  </si>
  <si>
    <t xml:space="preserve">VRapC </t>
  </si>
  <si>
    <t>VRap / BW</t>
  </si>
  <si>
    <t xml:space="preserve">2.596 * MVGUT </t>
  </si>
  <si>
    <t>Calculate MVRap (L)</t>
  </si>
  <si>
    <t>Calculate MVRapC</t>
  </si>
  <si>
    <t>QRapC</t>
  </si>
  <si>
    <t>VRapC</t>
  </si>
  <si>
    <t>VRapC_Adult</t>
  </si>
  <si>
    <t>QRapC_Adult</t>
  </si>
  <si>
    <t>Qrap</t>
  </si>
  <si>
    <t xml:space="preserve">QGUTC * QCP </t>
  </si>
  <si>
    <t xml:space="preserve">QRapC </t>
  </si>
  <si>
    <t>QRap  (L/hr)</t>
  </si>
  <si>
    <t>Note: This eqn to be used for other tisues except for liver and brain</t>
  </si>
  <si>
    <t>newborn</t>
  </si>
  <si>
    <t>Adult</t>
  </si>
  <si>
    <t>Our eqn</t>
  </si>
  <si>
    <t>Validation table</t>
  </si>
  <si>
    <t xml:space="preserve"> ICRP data</t>
  </si>
  <si>
    <t>MVBLD</t>
  </si>
  <si>
    <t>Validation table FOR MVBLD</t>
  </si>
  <si>
    <t>ICRP</t>
  </si>
  <si>
    <t>Yoon et al. 2011 based on Bjorkman et al. 2004</t>
  </si>
  <si>
    <t>Organ</t>
  </si>
  <si>
    <t>Neonate</t>
  </si>
  <si>
    <t>Ref</t>
  </si>
  <si>
    <t>MLW</t>
  </si>
  <si>
    <t xml:space="preserve">Mean liver weight </t>
  </si>
  <si>
    <t>Liver volume * Liver density</t>
  </si>
  <si>
    <t>https://www.ncbi.nlm.nih.gov/pubmed/12826175</t>
  </si>
  <si>
    <t>Liver density (gm/L)</t>
  </si>
  <si>
    <t>Liver volume (L)</t>
  </si>
  <si>
    <t>Calculate MLW (g)</t>
  </si>
  <si>
    <t>Life stage eqn from Huali et al</t>
  </si>
  <si>
    <t>NHANES 2004-2005</t>
  </si>
  <si>
    <t>BW curve modified from Huali et al to fit average BW for males in NHANES 2004-2005</t>
  </si>
  <si>
    <t>Parameters</t>
  </si>
  <si>
    <t>Description/Note</t>
  </si>
  <si>
    <t>MWBIRTH</t>
  </si>
  <si>
    <t>Body weight at birth (Mean)</t>
  </si>
  <si>
    <t>MWCHILD</t>
  </si>
  <si>
    <t>Maximum weight for early hyperbolic section curve</t>
  </si>
  <si>
    <t>MWADULT</t>
  </si>
  <si>
    <t xml:space="preserve">max. wt. for later logistic section of growth curve (kg)
</t>
  </si>
  <si>
    <t>Half</t>
  </si>
  <si>
    <t xml:space="preserve">age at which wt. is half Wchild (yr)
</t>
  </si>
  <si>
    <t xml:space="preserve">MBWADULT
</t>
  </si>
  <si>
    <t>kg; Body weight for an average person at 268.1832 months; Note:  268 months = 22.3333 years</t>
  </si>
  <si>
    <t>K</t>
  </si>
  <si>
    <t>Dimensionless; Logistic constant (shifts peak left or right)</t>
  </si>
  <si>
    <t xml:space="preserve">DIFF_BH_BW </t>
  </si>
  <si>
    <t>year; Difference between age at peak height velocity and age at peak weight velocity</t>
  </si>
  <si>
    <t>WA</t>
  </si>
  <si>
    <t>year; Age at peak weight velocity during puberty</t>
  </si>
  <si>
    <t xml:space="preserve">DIFF_BH_BW + THETA + WSV_WA </t>
  </si>
  <si>
    <t xml:space="preserve">lambda
</t>
  </si>
  <si>
    <t>logistic constant lambda (1/(kg-yr))</t>
  </si>
  <si>
    <t>log(K**2) / (2.0 * WA * WADULT)</t>
  </si>
  <si>
    <t xml:space="preserve">lOG(K**2) / (2.0 * WA * WADULT) </t>
  </si>
  <si>
    <t>Calculated value (kg)</t>
  </si>
  <si>
    <t xml:space="preserve">((2.19e-08 * MONTHS**3.0) - (1.22e-04 * MONTHS**2.0) + (0.120 * MONTHS) + 50.824) * MBW25/ MBWADULT </t>
  </si>
  <si>
    <t>BH curve modified from Huali et al to fit average BH for males in NHANES 2004-2005</t>
  </si>
  <si>
    <t xml:space="preserve">Mean values of S0, S1, θ, h1, hθ, C1, and D1 for males were estimated based on the median BH curve from NHANES 2004-2005 data.
</t>
  </si>
  <si>
    <t>C1</t>
  </si>
  <si>
    <t>D1</t>
  </si>
  <si>
    <t xml:space="preserve">Body Height Calculations </t>
  </si>
  <si>
    <t>BW</t>
  </si>
  <si>
    <t>BH</t>
  </si>
  <si>
    <t>Calculated BMI</t>
  </si>
  <si>
    <t>(3/Age)*EXP(-0.5*(LN(Age/41.92)/1.876)^2)</t>
  </si>
  <si>
    <t>Equation for QBRNC was developped based on yoon et al.2011</t>
  </si>
  <si>
    <t xml:space="preserve">MVFATADULT = MBW25 * ((2.9875 * exp(-0.129 * 25.0) + 0.67) * MBMI25 + 0.2635 * 25.0 - 4.843) / 100.0 </t>
  </si>
  <si>
    <t xml:space="preserve"> MVFAT = MBW * ((2.9875 * exp(-0.129 * YEARS) + 0.67) * MBMI + 0.2635 * YEARS - 4.843) / 100.0</t>
  </si>
  <si>
    <t>MVFAT = MBW * (-5.33798 * MBMI + 0.11149 * (MBMI**2.0) + 0.09795 * YEARS + 85.24521) * (MPERFAT25A / MPERFAT25B) / 100.0</t>
  </si>
  <si>
    <t>Hattis %fat</t>
  </si>
  <si>
    <t>Shifted Hattis %fat by %fat @ 8 yrs</t>
  </si>
  <si>
    <t>Shifted Hattis %fat by %fat @ 20 yrs</t>
  </si>
  <si>
    <t xml:space="preserve">New calculation </t>
  </si>
  <si>
    <t>Age (months)</t>
  </si>
  <si>
    <t>bw icrp</t>
  </si>
  <si>
    <t xml:space="preserve"> % body fat</t>
  </si>
  <si>
    <t>%fat</t>
  </si>
  <si>
    <t>%; Percent fat for an average person at age 20 using the equations for age &lt;= 20 years old</t>
  </si>
  <si>
    <t>%; Percent fat for an average person at age 20 using the equations for age &gt; 20 years old</t>
  </si>
  <si>
    <t>MPERFAT20A</t>
  </si>
  <si>
    <t>MPERFAT20B</t>
  </si>
  <si>
    <t>(2.9875 * exp(-0.129 * 20.0) + 0.67) * MBMI20 + 0.2635 * 20.0 - 4.843</t>
  </si>
  <si>
    <t xml:space="preserve"> -5.33798 * MBMI20 + 0.11149 * (MBMI20**2.0) + 0.09795 * 20.0 + 85.24521</t>
  </si>
  <si>
    <t>cm; Mean body height for one years old</t>
  </si>
  <si>
    <t>cm; Mean body height for one years old calculated from JPPS</t>
  </si>
  <si>
    <t>Equation HCT</t>
  </si>
  <si>
    <t>6 M</t>
  </si>
  <si>
    <t>1Y</t>
  </si>
  <si>
    <t>2Y</t>
  </si>
  <si>
    <t>5Y</t>
  </si>
  <si>
    <t>10Y</t>
  </si>
  <si>
    <t>15Y</t>
  </si>
  <si>
    <t>RESPR (Breathing rate) (L/h)</t>
  </si>
  <si>
    <t>RESPR at resting</t>
  </si>
  <si>
    <t>RESPR light excercice</t>
  </si>
  <si>
    <t>Eqn; LOG in asclx but LN in excel - this is the equation used in the CSL</t>
  </si>
  <si>
    <t>WBIRTH+ (MWCHILD * AGE) / (HALF + AGE) + (MWADULT / (1.0 + K * EXP(-L * MWADULT *AGE)))</t>
  </si>
  <si>
    <t>0-1</t>
  </si>
  <si>
    <t>1-2</t>
  </si>
  <si>
    <t>2-3</t>
  </si>
  <si>
    <t>3-4</t>
  </si>
  <si>
    <t>4-5</t>
  </si>
  <si>
    <t>5-6</t>
  </si>
  <si>
    <t>6-7</t>
  </si>
  <si>
    <t>7-8</t>
  </si>
  <si>
    <t>8-9</t>
  </si>
  <si>
    <t>9-10</t>
  </si>
  <si>
    <t>10-11</t>
  </si>
  <si>
    <t>11-12</t>
  </si>
  <si>
    <t>12-13</t>
  </si>
  <si>
    <t>13-14</t>
  </si>
  <si>
    <t>14-15</t>
  </si>
  <si>
    <t>15-16</t>
  </si>
  <si>
    <t>16-17</t>
  </si>
  <si>
    <t>17-18</t>
  </si>
  <si>
    <t>18-19</t>
  </si>
  <si>
    <t>19-20</t>
  </si>
  <si>
    <t>20-21</t>
  </si>
  <si>
    <t>21-22</t>
  </si>
  <si>
    <t>22-23</t>
  </si>
  <si>
    <t>23-24</t>
  </si>
  <si>
    <t>24-25</t>
  </si>
  <si>
    <t>25-26</t>
  </si>
  <si>
    <t>26-27</t>
  </si>
  <si>
    <t>27-28</t>
  </si>
  <si>
    <t>28-29</t>
  </si>
  <si>
    <t>29-30</t>
  </si>
  <si>
    <t>30-31</t>
  </si>
  <si>
    <t>31-32</t>
  </si>
  <si>
    <t>32-33</t>
  </si>
  <si>
    <t>33-34</t>
  </si>
  <si>
    <t>34-35</t>
  </si>
  <si>
    <t>35-36</t>
  </si>
  <si>
    <t>36-37</t>
  </si>
  <si>
    <t>37-38</t>
  </si>
  <si>
    <t>38-39</t>
  </si>
  <si>
    <t>39-40</t>
  </si>
  <si>
    <t>40-41</t>
  </si>
  <si>
    <t>41-42</t>
  </si>
  <si>
    <t>42-43</t>
  </si>
  <si>
    <t>43-44</t>
  </si>
  <si>
    <t>44-45</t>
  </si>
  <si>
    <t>45-46</t>
  </si>
  <si>
    <t>46-47</t>
  </si>
  <si>
    <t>47-48</t>
  </si>
  <si>
    <t>48-49</t>
  </si>
  <si>
    <t>49-50</t>
  </si>
  <si>
    <t>50-51</t>
  </si>
  <si>
    <t>51-52</t>
  </si>
  <si>
    <t>52-53</t>
  </si>
  <si>
    <t>53-54</t>
  </si>
  <si>
    <t>54-55</t>
  </si>
  <si>
    <t>55-56</t>
  </si>
  <si>
    <t>56-57</t>
  </si>
  <si>
    <t>57-58</t>
  </si>
  <si>
    <t>58-59</t>
  </si>
  <si>
    <t>59-60</t>
  </si>
  <si>
    <t>60-61</t>
  </si>
  <si>
    <t xml:space="preserve">H1 - 2.0 * (H1 - MHT) / (EXP(S0 * (year - THETA)) + EXP(S1 * (year - THETA)))  </t>
  </si>
  <si>
    <t xml:space="preserve">H1 * (1.0 - 1.0 / (1.0 + ((years + 0.75) / D1)^C1))  </t>
  </si>
  <si>
    <t>H1 * (1.0 - 1.0 / (1.0 + ((YEARS + 0.75) /D1)^C1)) * MBHT / MBHTJ</t>
  </si>
  <si>
    <t xml:space="preserve">177.0 - 2.0 * (177.0 - MHT) / (EXP(S0 * (YEARS - THETA)) + EXP(S1 * (YEARS - THETA))) </t>
  </si>
  <si>
    <t>Respiratory parameters</t>
  </si>
  <si>
    <t>Unit</t>
  </si>
  <si>
    <t>Eqn from fitting ICRP data</t>
  </si>
  <si>
    <t>DS (dead space)</t>
  </si>
  <si>
    <t>L</t>
  </si>
  <si>
    <t>QALV (L/h)</t>
  </si>
  <si>
    <t>TV (Tidal volume)</t>
  </si>
  <si>
    <t>RESPR (Breathing rate)</t>
  </si>
  <si>
    <t>L/hr</t>
  </si>
  <si>
    <t>m3/h = 1000L/h</t>
  </si>
  <si>
    <t>Calculated value (cm)</t>
  </si>
  <si>
    <t>Formula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</si>
</sst>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"/>
    <numFmt numFmtId="166" formatCode="0.0"/>
  </numFmts>
  <fonts count="29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sz val="10"/>
      <color rgb="FF000000"/>
      <name val="Times New Roman"/>
      <family val="1"/>
    </font>
    <font>
      <b/>
      <sz val="11"/>
      <color rgb="FFFF0000"/>
      <name val="Times New Roman"/>
      <family val="1"/>
    </font>
    <font>
      <b/>
      <sz val="11"/>
      <color theme="1"/>
      <name val="Times New Roman"/>
      <family val="1"/>
    </font>
    <font>
      <sz val="11"/>
      <name val="Times New Roman"/>
      <family val="1"/>
    </font>
    <font>
      <b/>
      <sz val="12"/>
      <color rgb="FFFF0000"/>
      <name val="Times New Roman"/>
      <family val="1"/>
    </font>
    <font>
      <b/>
      <sz val="12"/>
      <color rgb="FFC00000"/>
      <name val="Times New Roman"/>
      <family val="1"/>
    </font>
    <font>
      <b/>
      <sz val="12"/>
      <color theme="1"/>
      <name val="Times New Roman"/>
      <family val="1"/>
    </font>
    <font>
      <sz val="12"/>
      <color rgb="FFFF0000"/>
      <name val="Times New Roman"/>
      <family val="1"/>
    </font>
    <font>
      <b/>
      <sz val="12"/>
      <name val="Times New Roman"/>
      <family val="1"/>
    </font>
    <font>
      <sz val="18"/>
      <color rgb="FF292934"/>
      <name val="Arial"/>
      <family val="2"/>
    </font>
    <font>
      <sz val="11"/>
      <color theme="1"/>
      <name val="Calibri"/>
      <family val="2"/>
      <scheme val="minor"/>
    </font>
    <font>
      <sz val="12"/>
      <color theme="4" tint="-0.249977111117893"/>
      <name val="Times New Roman"/>
      <family val="1"/>
    </font>
    <font>
      <sz val="11"/>
      <color theme="4" tint="-0.249977111117893"/>
      <name val="Times New Roman"/>
      <family val="1"/>
    </font>
    <font>
      <sz val="12"/>
      <color rgb="FF00B0F0"/>
      <name val="Times New Roman"/>
      <family val="1"/>
    </font>
    <font>
      <sz val="12"/>
      <color rgb="FF0070C0"/>
      <name val="Times New Roman"/>
      <family val="1"/>
    </font>
    <font>
      <b/>
      <sz val="12"/>
      <color rgb="FF0070C0"/>
      <name val="Times New Roman"/>
      <family val="1"/>
    </font>
    <font>
      <b/>
      <u/>
      <sz val="12"/>
      <name val="Times New Roman"/>
      <family val="1"/>
    </font>
    <font>
      <b/>
      <sz val="12"/>
      <color rgb="FF00B0F0"/>
      <name val="Times New Roman"/>
      <family val="1"/>
    </font>
    <font>
      <b/>
      <sz val="12"/>
      <color rgb="FFFFFF00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color theme="10"/>
      <name val="Times New Roman"/>
      <family val="1"/>
    </font>
    <font>
      <sz val="12"/>
      <color theme="3"/>
      <name val="Times New Roman"/>
      <family val="1"/>
    </font>
    <font>
      <b/>
      <sz val="11"/>
      <name val="Times New Roman"/>
      <family val="1"/>
    </font>
    <font>
      <b/>
      <sz val="20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5" fillId="0" borderId="0"/>
    <xf numFmtId="0" fontId="15" fillId="0" borderId="0"/>
    <xf numFmtId="0" fontId="24" fillId="0" borderId="0" applyNumberFormat="0" applyFill="0" applyBorder="0" applyAlignment="0" applyProtection="0"/>
  </cellStyleXfs>
  <cellXfs count="335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/>
    <xf numFmtId="0" fontId="6" fillId="0" borderId="1" xfId="0" applyFont="1" applyFill="1" applyBorder="1" applyAlignment="1">
      <alignment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3" fillId="0" borderId="1" xfId="0" applyFont="1" applyBorder="1"/>
    <xf numFmtId="0" fontId="3" fillId="0" borderId="0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0" fillId="0" borderId="0" xfId="0" applyFont="1"/>
    <xf numFmtId="0" fontId="0" fillId="0" borderId="1" xfId="0" applyBorder="1"/>
    <xf numFmtId="2" fontId="3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164" fontId="3" fillId="0" borderId="0" xfId="0" applyNumberFormat="1" applyFont="1" applyAlignment="1">
      <alignment wrapText="1"/>
    </xf>
    <xf numFmtId="0" fontId="3" fillId="4" borderId="1" xfId="0" applyFont="1" applyFill="1" applyBorder="1"/>
    <xf numFmtId="164" fontId="3" fillId="4" borderId="1" xfId="0" applyNumberFormat="1" applyFont="1" applyFill="1" applyBorder="1" applyAlignment="1">
      <alignment wrapText="1"/>
    </xf>
    <xf numFmtId="0" fontId="1" fillId="0" borderId="1" xfId="0" applyFont="1" applyBorder="1"/>
    <xf numFmtId="2" fontId="3" fillId="0" borderId="1" xfId="0" applyNumberFormat="1" applyFont="1" applyBorder="1"/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2" fillId="0" borderId="0" xfId="0" applyFont="1" applyAlignment="1">
      <alignment wrapText="1"/>
    </xf>
    <xf numFmtId="2" fontId="0" fillId="0" borderId="0" xfId="0" applyNumberFormat="1" applyFill="1" applyBorder="1" applyAlignment="1">
      <alignment wrapText="1"/>
    </xf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3" fillId="0" borderId="1" xfId="0" applyFont="1" applyFill="1" applyBorder="1"/>
    <xf numFmtId="0" fontId="1" fillId="0" borderId="0" xfId="0" applyFont="1" applyFill="1" applyAlignment="1">
      <alignment wrapText="1"/>
    </xf>
    <xf numFmtId="0" fontId="9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164" fontId="3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164" fontId="19" fillId="0" borderId="1" xfId="0" applyNumberFormat="1" applyFont="1" applyFill="1" applyBorder="1" applyAlignment="1">
      <alignment wrapText="1"/>
    </xf>
    <xf numFmtId="0" fontId="10" fillId="0" borderId="0" xfId="0" applyFont="1" applyFill="1"/>
    <xf numFmtId="165" fontId="3" fillId="0" borderId="1" xfId="0" applyNumberFormat="1" applyFont="1" applyFill="1" applyBorder="1" applyAlignment="1">
      <alignment wrapText="1"/>
    </xf>
    <xf numFmtId="164" fontId="19" fillId="0" borderId="1" xfId="0" applyNumberFormat="1" applyFont="1" applyFill="1" applyBorder="1"/>
    <xf numFmtId="0" fontId="3" fillId="4" borderId="0" xfId="0" applyFont="1" applyFill="1"/>
    <xf numFmtId="0" fontId="14" fillId="0" borderId="0" xfId="0" applyFont="1" applyFill="1" applyAlignment="1">
      <alignment horizontal="left" vertical="center" readingOrder="1"/>
    </xf>
    <xf numFmtId="0" fontId="3" fillId="0" borderId="11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wrapText="1"/>
    </xf>
    <xf numFmtId="164" fontId="1" fillId="4" borderId="1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/>
    <xf numFmtId="2" fontId="3" fillId="0" borderId="1" xfId="0" applyNumberFormat="1" applyFont="1" applyFill="1" applyBorder="1"/>
    <xf numFmtId="165" fontId="4" fillId="0" borderId="1" xfId="0" applyNumberFormat="1" applyFont="1" applyFill="1" applyBorder="1" applyAlignment="1">
      <alignment wrapText="1"/>
    </xf>
    <xf numFmtId="165" fontId="18" fillId="0" borderId="1" xfId="0" applyNumberFormat="1" applyFont="1" applyFill="1" applyBorder="1"/>
    <xf numFmtId="0" fontId="18" fillId="0" borderId="0" xfId="0" applyFont="1" applyFill="1" applyAlignment="1">
      <alignment wrapText="1"/>
    </xf>
    <xf numFmtId="0" fontId="18" fillId="0" borderId="11" xfId="0" applyFont="1" applyFill="1" applyBorder="1" applyAlignment="1">
      <alignment horizontal="center" wrapText="1"/>
    </xf>
    <xf numFmtId="0" fontId="18" fillId="0" borderId="0" xfId="0" applyFont="1" applyFill="1"/>
    <xf numFmtId="0" fontId="1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2" fontId="17" fillId="0" borderId="1" xfId="0" applyNumberFormat="1" applyFont="1" applyFill="1" applyBorder="1" applyAlignment="1">
      <alignment wrapText="1"/>
    </xf>
    <xf numFmtId="2" fontId="3" fillId="4" borderId="1" xfId="0" applyNumberFormat="1" applyFont="1" applyFill="1" applyBorder="1" applyAlignment="1">
      <alignment wrapText="1"/>
    </xf>
    <xf numFmtId="2" fontId="16" fillId="0" borderId="1" xfId="0" applyNumberFormat="1" applyFont="1" applyBorder="1" applyAlignment="1">
      <alignment wrapText="1"/>
    </xf>
    <xf numFmtId="2" fontId="3" fillId="0" borderId="1" xfId="0" applyNumberFormat="1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wrapText="1"/>
    </xf>
    <xf numFmtId="165" fontId="19" fillId="0" borderId="1" xfId="0" applyNumberFormat="1" applyFont="1" applyFill="1" applyBorder="1"/>
    <xf numFmtId="1" fontId="3" fillId="4" borderId="1" xfId="0" applyNumberFormat="1" applyFont="1" applyFill="1" applyBorder="1" applyAlignment="1">
      <alignment wrapText="1"/>
    </xf>
    <xf numFmtId="1" fontId="3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12" fillId="0" borderId="0" xfId="0" applyFont="1" applyFill="1" applyBorder="1" applyAlignment="1">
      <alignment wrapText="1"/>
    </xf>
    <xf numFmtId="164" fontId="18" fillId="4" borderId="1" xfId="0" applyNumberFormat="1" applyFont="1" applyFill="1" applyBorder="1" applyAlignment="1">
      <alignment wrapText="1"/>
    </xf>
    <xf numFmtId="164" fontId="18" fillId="0" borderId="1" xfId="0" applyNumberFormat="1" applyFont="1" applyFill="1" applyBorder="1" applyAlignment="1">
      <alignment wrapText="1"/>
    </xf>
    <xf numFmtId="165" fontId="1" fillId="0" borderId="1" xfId="0" applyNumberFormat="1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center" wrapText="1"/>
    </xf>
    <xf numFmtId="0" fontId="0" fillId="0" borderId="8" xfId="0" applyBorder="1"/>
    <xf numFmtId="0" fontId="0" fillId="0" borderId="12" xfId="0" applyBorder="1"/>
    <xf numFmtId="1" fontId="0" fillId="0" borderId="12" xfId="0" applyNumberFormat="1" applyBorder="1"/>
    <xf numFmtId="0" fontId="3" fillId="0" borderId="2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wrapText="1"/>
    </xf>
    <xf numFmtId="1" fontId="3" fillId="3" borderId="1" xfId="0" applyNumberFormat="1" applyFont="1" applyFill="1" applyBorder="1" applyAlignment="1">
      <alignment wrapText="1"/>
    </xf>
    <xf numFmtId="1" fontId="11" fillId="3" borderId="1" xfId="0" applyNumberFormat="1" applyFont="1" applyFill="1" applyBorder="1" applyAlignment="1">
      <alignment wrapText="1"/>
    </xf>
    <xf numFmtId="0" fontId="25" fillId="0" borderId="1" xfId="3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2" fillId="0" borderId="0" xfId="0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wrapText="1"/>
    </xf>
    <xf numFmtId="0" fontId="2" fillId="0" borderId="0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2" fontId="2" fillId="0" borderId="1" xfId="0" applyNumberFormat="1" applyFont="1" applyFill="1" applyBorder="1" applyAlignment="1">
      <alignment horizontal="center" wrapText="1"/>
    </xf>
    <xf numFmtId="0" fontId="0" fillId="0" borderId="0" xfId="0" applyFill="1"/>
    <xf numFmtId="2" fontId="2" fillId="0" borderId="0" xfId="0" applyNumberFormat="1" applyFont="1" applyFill="1" applyBorder="1" applyAlignment="1">
      <alignment wrapText="1"/>
    </xf>
    <xf numFmtId="0" fontId="0" fillId="0" borderId="0" xfId="0" applyFill="1" applyAlignment="1">
      <alignment wrapText="1"/>
    </xf>
    <xf numFmtId="0" fontId="3" fillId="0" borderId="13" xfId="0" applyFont="1" applyBorder="1"/>
    <xf numFmtId="0" fontId="3" fillId="0" borderId="14" xfId="0" applyFont="1" applyBorder="1" applyAlignment="1">
      <alignment wrapText="1"/>
    </xf>
    <xf numFmtId="0" fontId="3" fillId="0" borderId="5" xfId="0" applyFont="1" applyBorder="1"/>
    <xf numFmtId="0" fontId="3" fillId="0" borderId="6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2" fontId="3" fillId="3" borderId="1" xfId="0" applyNumberFormat="1" applyFont="1" applyFill="1" applyBorder="1" applyAlignment="1">
      <alignment wrapText="1"/>
    </xf>
    <xf numFmtId="2" fontId="16" fillId="3" borderId="1" xfId="0" applyNumberFormat="1" applyFont="1" applyFill="1" applyBorder="1" applyAlignment="1">
      <alignment wrapText="1"/>
    </xf>
    <xf numFmtId="0" fontId="3" fillId="3" borderId="1" xfId="0" applyFont="1" applyFill="1" applyBorder="1"/>
    <xf numFmtId="2" fontId="3" fillId="3" borderId="1" xfId="0" applyNumberFormat="1" applyFont="1" applyFill="1" applyBorder="1"/>
    <xf numFmtId="164" fontId="19" fillId="3" borderId="1" xfId="0" applyNumberFormat="1" applyFont="1" applyFill="1" applyBorder="1"/>
    <xf numFmtId="164" fontId="19" fillId="3" borderId="1" xfId="0" applyNumberFormat="1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165" fontId="18" fillId="0" borderId="1" xfId="0" applyNumberFormat="1" applyFont="1" applyBorder="1"/>
    <xf numFmtId="165" fontId="18" fillId="0" borderId="1" xfId="0" applyNumberFormat="1" applyFont="1" applyBorder="1" applyAlignment="1">
      <alignment wrapText="1"/>
    </xf>
    <xf numFmtId="165" fontId="18" fillId="0" borderId="1" xfId="0" applyNumberFormat="1" applyFont="1" applyFill="1" applyBorder="1" applyAlignment="1">
      <alignment wrapText="1"/>
    </xf>
    <xf numFmtId="165" fontId="4" fillId="3" borderId="1" xfId="0" applyNumberFormat="1" applyFont="1" applyFill="1" applyBorder="1" applyAlignment="1">
      <alignment wrapText="1"/>
    </xf>
    <xf numFmtId="165" fontId="18" fillId="3" borderId="1" xfId="0" applyNumberFormat="1" applyFont="1" applyFill="1" applyBorder="1"/>
    <xf numFmtId="0" fontId="4" fillId="3" borderId="1" xfId="0" applyFont="1" applyFill="1" applyBorder="1" applyAlignment="1">
      <alignment wrapText="1"/>
    </xf>
    <xf numFmtId="165" fontId="3" fillId="3" borderId="1" xfId="0" applyNumberFormat="1" applyFont="1" applyFill="1" applyBorder="1"/>
    <xf numFmtId="0" fontId="1" fillId="3" borderId="1" xfId="0" applyFont="1" applyFill="1" applyBorder="1" applyAlignment="1">
      <alignment horizontal="center"/>
    </xf>
    <xf numFmtId="0" fontId="11" fillId="0" borderId="0" xfId="0" applyFont="1" applyFill="1" applyAlignment="1">
      <alignment wrapText="1"/>
    </xf>
    <xf numFmtId="165" fontId="11" fillId="3" borderId="1" xfId="0" applyNumberFormat="1" applyFont="1" applyFill="1" applyBorder="1" applyAlignment="1">
      <alignment wrapText="1"/>
    </xf>
    <xf numFmtId="164" fontId="11" fillId="3" borderId="1" xfId="0" applyNumberFormat="1" applyFont="1" applyFill="1" applyBorder="1" applyAlignment="1">
      <alignment wrapText="1"/>
    </xf>
    <xf numFmtId="2" fontId="11" fillId="3" borderId="1" xfId="0" applyNumberFormat="1" applyFont="1" applyFill="1" applyBorder="1" applyAlignment="1">
      <alignment wrapText="1"/>
    </xf>
    <xf numFmtId="165" fontId="19" fillId="3" borderId="1" xfId="0" applyNumberFormat="1" applyFont="1" applyFill="1" applyBorder="1"/>
    <xf numFmtId="165" fontId="3" fillId="3" borderId="1" xfId="0" applyNumberFormat="1" applyFont="1" applyFill="1" applyBorder="1" applyAlignment="1">
      <alignment wrapText="1"/>
    </xf>
    <xf numFmtId="0" fontId="3" fillId="3" borderId="1" xfId="0" applyFont="1" applyFill="1" applyBorder="1" applyAlignment="1">
      <alignment horizontal="center" wrapText="1"/>
    </xf>
    <xf numFmtId="2" fontId="19" fillId="3" borderId="1" xfId="0" applyNumberFormat="1" applyFont="1" applyFill="1" applyBorder="1" applyAlignment="1">
      <alignment wrapText="1"/>
    </xf>
    <xf numFmtId="0" fontId="3" fillId="0" borderId="1" xfId="0" applyFont="1" applyBorder="1" applyAlignment="1">
      <alignment horizontal="center" wrapText="1"/>
    </xf>
    <xf numFmtId="2" fontId="19" fillId="0" borderId="1" xfId="0" applyNumberFormat="1" applyFont="1" applyBorder="1" applyAlignment="1">
      <alignment wrapText="1"/>
    </xf>
    <xf numFmtId="2" fontId="20" fillId="3" borderId="1" xfId="0" applyNumberFormat="1" applyFont="1" applyFill="1" applyBorder="1" applyAlignment="1">
      <alignment wrapText="1"/>
    </xf>
    <xf numFmtId="2" fontId="19" fillId="0" borderId="1" xfId="0" applyNumberFormat="1" applyFont="1" applyFill="1" applyBorder="1" applyAlignment="1">
      <alignment wrapText="1"/>
    </xf>
    <xf numFmtId="166" fontId="3" fillId="3" borderId="1" xfId="0" applyNumberFormat="1" applyFont="1" applyFill="1" applyBorder="1" applyAlignment="1">
      <alignment wrapText="1"/>
    </xf>
    <xf numFmtId="164" fontId="13" fillId="3" borderId="1" xfId="0" applyNumberFormat="1" applyFont="1" applyFill="1" applyBorder="1" applyAlignment="1">
      <alignment wrapText="1"/>
    </xf>
    <xf numFmtId="164" fontId="18" fillId="3" borderId="1" xfId="0" applyNumberFormat="1" applyFont="1" applyFill="1" applyBorder="1" applyAlignment="1">
      <alignment wrapText="1"/>
    </xf>
    <xf numFmtId="2" fontId="13" fillId="3" borderId="1" xfId="0" applyNumberFormat="1" applyFont="1" applyFill="1" applyBorder="1" applyAlignment="1">
      <alignment wrapText="1"/>
    </xf>
    <xf numFmtId="164" fontId="22" fillId="3" borderId="1" xfId="0" applyNumberFormat="1" applyFont="1" applyFill="1" applyBorder="1" applyAlignment="1">
      <alignment wrapText="1"/>
    </xf>
    <xf numFmtId="165" fontId="1" fillId="3" borderId="1" xfId="0" applyNumberFormat="1" applyFont="1" applyFill="1" applyBorder="1" applyAlignment="1">
      <alignment wrapText="1"/>
    </xf>
    <xf numFmtId="2" fontId="1" fillId="3" borderId="1" xfId="0" applyNumberFormat="1" applyFont="1" applyFill="1" applyBorder="1" applyAlignment="1">
      <alignment wrapText="1"/>
    </xf>
    <xf numFmtId="2" fontId="1" fillId="4" borderId="1" xfId="0" applyNumberFormat="1" applyFont="1" applyFill="1" applyBorder="1" applyAlignment="1">
      <alignment wrapText="1"/>
    </xf>
    <xf numFmtId="2" fontId="1" fillId="0" borderId="1" xfId="0" applyNumberFormat="1" applyFont="1" applyFill="1" applyBorder="1" applyAlignment="1">
      <alignment wrapText="1"/>
    </xf>
    <xf numFmtId="2" fontId="8" fillId="2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0" fillId="0" borderId="0" xfId="0"/>
    <xf numFmtId="0" fontId="26" fillId="0" borderId="1" xfId="0" applyFont="1" applyFill="1" applyBorder="1"/>
    <xf numFmtId="0" fontId="26" fillId="3" borderId="1" xfId="0" applyFont="1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164" fontId="4" fillId="3" borderId="1" xfId="0" applyNumberFormat="1" applyFont="1" applyFill="1" applyBorder="1" applyAlignment="1">
      <alignment wrapText="1"/>
    </xf>
    <xf numFmtId="164" fontId="3" fillId="3" borderId="1" xfId="0" applyNumberFormat="1" applyFont="1" applyFill="1" applyBorder="1"/>
    <xf numFmtId="164" fontId="1" fillId="3" borderId="1" xfId="0" applyNumberFormat="1" applyFont="1" applyFill="1" applyBorder="1" applyAlignment="1">
      <alignment wrapText="1"/>
    </xf>
    <xf numFmtId="0" fontId="6" fillId="3" borderId="1" xfId="0" applyFont="1" applyFill="1" applyBorder="1" applyAlignment="1">
      <alignment wrapText="1"/>
    </xf>
    <xf numFmtId="2" fontId="2" fillId="3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wrapText="1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wrapText="1"/>
    </xf>
    <xf numFmtId="0" fontId="17" fillId="3" borderId="1" xfId="0" applyFont="1" applyFill="1" applyBorder="1" applyAlignment="1">
      <alignment wrapText="1"/>
    </xf>
    <xf numFmtId="2" fontId="17" fillId="3" borderId="1" xfId="0" applyNumberFormat="1" applyFont="1" applyFill="1" applyBorder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0" fontId="28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wrapText="1"/>
    </xf>
    <xf numFmtId="0" fontId="3" fillId="2" borderId="1" xfId="0" applyFont="1" applyFill="1" applyBorder="1"/>
    <xf numFmtId="0" fontId="13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vertical="center"/>
    </xf>
    <xf numFmtId="164" fontId="19" fillId="0" borderId="1" xfId="0" applyNumberFormat="1" applyFont="1" applyFill="1" applyBorder="1" applyAlignment="1">
      <alignment vertical="center" wrapText="1"/>
    </xf>
    <xf numFmtId="0" fontId="26" fillId="0" borderId="1" xfId="0" applyFont="1" applyFill="1" applyBorder="1" applyAlignment="1">
      <alignment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wrapText="1"/>
    </xf>
    <xf numFmtId="0" fontId="3" fillId="0" borderId="1" xfId="0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wrapText="1"/>
    </xf>
    <xf numFmtId="2" fontId="8" fillId="4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166" fontId="3" fillId="3" borderId="1" xfId="0" applyNumberFormat="1" applyFont="1" applyFill="1" applyBorder="1" applyAlignment="1">
      <alignment horizontal="center" vertical="center" wrapText="1"/>
    </xf>
    <xf numFmtId="1" fontId="3" fillId="3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1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3" borderId="15" xfId="0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wrapText="1"/>
    </xf>
    <xf numFmtId="2" fontId="2" fillId="0" borderId="1" xfId="0" applyNumberFormat="1" applyFont="1" applyFill="1" applyBorder="1"/>
    <xf numFmtId="49" fontId="2" fillId="0" borderId="1" xfId="0" applyNumberFormat="1" applyFont="1" applyFill="1" applyBorder="1"/>
    <xf numFmtId="0" fontId="3" fillId="0" borderId="19" xfId="0" applyFont="1" applyBorder="1"/>
    <xf numFmtId="0" fontId="3" fillId="0" borderId="0" xfId="0" applyFont="1" applyBorder="1"/>
    <xf numFmtId="0" fontId="3" fillId="0" borderId="10" xfId="0" applyFont="1" applyBorder="1"/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right"/>
    </xf>
    <xf numFmtId="0" fontId="3" fillId="0" borderId="22" xfId="0" applyFont="1" applyBorder="1"/>
    <xf numFmtId="0" fontId="3" fillId="5" borderId="1" xfId="0" applyFont="1" applyFill="1" applyBorder="1" applyAlignment="1">
      <alignment wrapText="1"/>
    </xf>
    <xf numFmtId="0" fontId="3" fillId="4" borderId="21" xfId="0" applyFont="1" applyFill="1" applyBorder="1" applyAlignment="1">
      <alignment horizontal="left"/>
    </xf>
    <xf numFmtId="0" fontId="3" fillId="4" borderId="1" xfId="0" applyFont="1" applyFill="1" applyBorder="1" applyAlignment="1">
      <alignment horizontal="left"/>
    </xf>
    <xf numFmtId="0" fontId="3" fillId="4" borderId="1" xfId="0" applyFont="1" applyFill="1" applyBorder="1" applyAlignment="1">
      <alignment horizontal="right"/>
    </xf>
    <xf numFmtId="0" fontId="3" fillId="5" borderId="1" xfId="0" applyFont="1" applyFill="1" applyBorder="1"/>
    <xf numFmtId="0" fontId="3" fillId="4" borderId="23" xfId="0" applyFont="1" applyFill="1" applyBorder="1" applyAlignment="1">
      <alignment horizontal="left"/>
    </xf>
    <xf numFmtId="0" fontId="3" fillId="4" borderId="24" xfId="0" applyFont="1" applyFill="1" applyBorder="1"/>
    <xf numFmtId="0" fontId="3" fillId="0" borderId="24" xfId="0" applyFont="1" applyBorder="1"/>
    <xf numFmtId="0" fontId="3" fillId="0" borderId="6" xfId="0" applyFont="1" applyBorder="1"/>
    <xf numFmtId="0" fontId="3" fillId="4" borderId="24" xfId="0" applyFont="1" applyFill="1" applyBorder="1" applyAlignment="1">
      <alignment horizontal="left"/>
    </xf>
    <xf numFmtId="0" fontId="3" fillId="0" borderId="25" xfId="0" applyFont="1" applyBorder="1"/>
    <xf numFmtId="0" fontId="11" fillId="3" borderId="1" xfId="0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vertical="center"/>
    </xf>
    <xf numFmtId="0" fontId="7" fillId="0" borderId="1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8" fillId="4" borderId="2" xfId="0" applyFont="1" applyFill="1" applyBorder="1" applyAlignment="1">
      <alignment horizontal="center" wrapText="1"/>
    </xf>
    <xf numFmtId="0" fontId="8" fillId="4" borderId="3" xfId="0" applyFont="1" applyFill="1" applyBorder="1" applyAlignment="1">
      <alignment horizontal="center" wrapText="1"/>
    </xf>
    <xf numFmtId="0" fontId="8" fillId="4" borderId="4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wrapText="1"/>
    </xf>
    <xf numFmtId="0" fontId="3" fillId="2" borderId="0" xfId="0" applyFont="1" applyFill="1" applyBorder="1"/>
    <xf numFmtId="164" fontId="4" fillId="0" borderId="1" xfId="0" applyNumberFormat="1" applyFont="1" applyFill="1" applyBorder="1" applyAlignment="1">
      <alignment wrapText="1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wrapText="1"/>
    </xf>
    <xf numFmtId="164" fontId="4" fillId="0" borderId="10" xfId="0" applyNumberFormat="1" applyFont="1" applyBorder="1" applyAlignment="1">
      <alignment wrapText="1"/>
    </xf>
    <xf numFmtId="2" fontId="3" fillId="0" borderId="10" xfId="0" applyNumberFormat="1" applyFont="1" applyBorder="1"/>
    <xf numFmtId="165" fontId="18" fillId="0" borderId="10" xfId="0" applyNumberFormat="1" applyFont="1" applyFill="1" applyBorder="1"/>
    <xf numFmtId="0" fontId="1" fillId="0" borderId="3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1" fillId="0" borderId="1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64" fontId="4" fillId="0" borderId="10" xfId="0" applyNumberFormat="1" applyFont="1" applyFill="1" applyBorder="1" applyAlignment="1">
      <alignment wrapText="1"/>
    </xf>
    <xf numFmtId="2" fontId="3" fillId="0" borderId="10" xfId="0" applyNumberFormat="1" applyFont="1" applyFill="1" applyBorder="1"/>
    <xf numFmtId="166" fontId="3" fillId="0" borderId="1" xfId="0" applyNumberFormat="1" applyFont="1" applyFill="1" applyBorder="1" applyAlignment="1">
      <alignment wrapText="1"/>
    </xf>
    <xf numFmtId="166" fontId="3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 wrapText="1"/>
    </xf>
    <xf numFmtId="0" fontId="3" fillId="3" borderId="16" xfId="0" applyFont="1" applyFill="1" applyBorder="1" applyAlignment="1">
      <alignment horizontal="center"/>
    </xf>
    <xf numFmtId="0" fontId="3" fillId="3" borderId="17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/>
    </xf>
    <xf numFmtId="0" fontId="3" fillId="4" borderId="20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 wrapText="1"/>
    </xf>
    <xf numFmtId="0" fontId="0" fillId="6" borderId="0" xfId="0" applyFill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wrapText="1"/>
    </xf>
    <xf numFmtId="0" fontId="8" fillId="4" borderId="3" xfId="0" applyFont="1" applyFill="1" applyBorder="1" applyAlignment="1">
      <alignment horizontal="center" wrapText="1"/>
    </xf>
    <xf numFmtId="0" fontId="8" fillId="4" borderId="4" xfId="0" applyFont="1" applyFill="1" applyBorder="1" applyAlignment="1">
      <alignment horizontal="center" wrapText="1"/>
    </xf>
    <xf numFmtId="0" fontId="23" fillId="5" borderId="1" xfId="0" applyFont="1" applyFill="1" applyBorder="1" applyAlignment="1">
      <alignment horizontal="center" vertical="center" wrapText="1"/>
    </xf>
    <xf numFmtId="0" fontId="23" fillId="5" borderId="2" xfId="0" applyFont="1" applyFill="1" applyBorder="1" applyAlignment="1">
      <alignment horizontal="center" vertical="center" wrapText="1"/>
    </xf>
    <xf numFmtId="0" fontId="23" fillId="5" borderId="3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27" fillId="0" borderId="1" xfId="0" applyFont="1" applyFill="1" applyBorder="1" applyAlignment="1">
      <alignment wrapText="1"/>
    </xf>
    <xf numFmtId="2" fontId="27" fillId="0" borderId="1" xfId="0" applyNumberFormat="1" applyFont="1" applyFill="1" applyBorder="1" applyAlignment="1">
      <alignment wrapText="1"/>
    </xf>
    <xf numFmtId="0" fontId="2" fillId="4" borderId="1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/>
    </xf>
    <xf numFmtId="0" fontId="2" fillId="4" borderId="1" xfId="0" applyFont="1" applyFill="1" applyBorder="1"/>
    <xf numFmtId="0" fontId="2" fillId="4" borderId="1" xfId="0" applyFont="1" applyFill="1" applyBorder="1" applyAlignment="1">
      <alignment wrapText="1"/>
    </xf>
    <xf numFmtId="0" fontId="3" fillId="4" borderId="1" xfId="0" applyFont="1" applyFill="1" applyBorder="1" applyAlignment="1">
      <alignment wrapText="1"/>
    </xf>
    <xf numFmtId="0" fontId="2" fillId="4" borderId="8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8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/>
    <xf numFmtId="0" fontId="11" fillId="4" borderId="1" xfId="0" applyFont="1" applyFill="1" applyBorder="1" applyAlignment="1">
      <alignment wrapText="1"/>
    </xf>
    <xf numFmtId="0" fontId="3" fillId="4" borderId="8" xfId="0" applyFont="1" applyFill="1" applyBorder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wrapText="1"/>
    </xf>
    <xf numFmtId="0" fontId="3" fillId="4" borderId="1" xfId="0" applyFont="1" applyFill="1" applyBorder="1" applyAlignment="1">
      <alignment vertical="center"/>
    </xf>
    <xf numFmtId="0" fontId="9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19" fillId="4" borderId="1" xfId="0" applyFont="1" applyFill="1" applyBorder="1" applyAlignment="1">
      <alignment vertical="center"/>
    </xf>
    <xf numFmtId="0" fontId="13" fillId="4" borderId="1" xfId="0" applyFont="1" applyFill="1" applyBorder="1"/>
    <xf numFmtId="0" fontId="13" fillId="4" borderId="1" xfId="0" applyFont="1" applyFill="1" applyBorder="1" applyAlignment="1">
      <alignment vertical="center"/>
    </xf>
    <xf numFmtId="0" fontId="13" fillId="4" borderId="1" xfId="0" applyFont="1" applyFill="1" applyBorder="1" applyAlignment="1">
      <alignment vertical="center" wrapText="1"/>
    </xf>
    <xf numFmtId="0" fontId="19" fillId="4" borderId="1" xfId="0" applyFont="1" applyFill="1" applyBorder="1" applyAlignment="1">
      <alignment vertical="center" wrapText="1"/>
    </xf>
    <xf numFmtId="0" fontId="26" fillId="4" borderId="1" xfId="0" applyFont="1" applyFill="1" applyBorder="1" applyAlignment="1">
      <alignment vertical="center"/>
    </xf>
    <xf numFmtId="0" fontId="7" fillId="4" borderId="8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/>
  </cellXfs>
  <cellStyles count="4">
    <cellStyle name="Hyperlink" xfId="3" builtinId="8"/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268378685403157E-2"/>
          <c:y val="0.17961997912565142"/>
          <c:w val="0.86591207955168137"/>
          <c:h val="0.70336396877293228"/>
        </c:manualLayout>
      </c:layout>
      <c:scatterChart>
        <c:scatterStyle val="smoothMarker"/>
        <c:varyColors val="0"/>
        <c:ser>
          <c:idx val="0"/>
          <c:order val="0"/>
          <c:tx>
            <c:v>Simulation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[1]BW!$J$18:$J$92</c:f>
              <c:numCache>
                <c:formatCode>General</c:formatCode>
                <c:ptCount val="7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</c:numCache>
            </c:numRef>
          </c:xVal>
          <c:yVal>
            <c:numRef>
              <c:f>[1]BW!$I$18:$I$92</c:f>
              <c:numCache>
                <c:formatCode>General</c:formatCode>
                <c:ptCount val="75"/>
                <c:pt idx="0">
                  <c:v>7.0759454639735768</c:v>
                </c:pt>
                <c:pt idx="1">
                  <c:v>10.85867141433374</c:v>
                </c:pt>
                <c:pt idx="2">
                  <c:v>13.94956492007711</c:v>
                </c:pt>
                <c:pt idx="3">
                  <c:v>16.643559692054048</c:v>
                </c:pt>
                <c:pt idx="4">
                  <c:v>19.148095016301134</c:v>
                </c:pt>
                <c:pt idx="5">
                  <c:v>21.626004253884261</c:v>
                </c:pt>
                <c:pt idx="6">
                  <c:v>24.216221732626416</c:v>
                </c:pt>
                <c:pt idx="7">
                  <c:v>27.041474891757151</c:v>
                </c:pt>
                <c:pt idx="8">
                  <c:v>30.206161864368255</c:v>
                </c:pt>
                <c:pt idx="9">
                  <c:v>33.78581460418048</c:v>
                </c:pt>
                <c:pt idx="10">
                  <c:v>37.81048562869546</c:v>
                </c:pt>
                <c:pt idx="11">
                  <c:v>42.24740349835097</c:v>
                </c:pt>
                <c:pt idx="12">
                  <c:v>46.991565555260678</c:v>
                </c:pt>
                <c:pt idx="13">
                  <c:v>51.873190336010381</c:v>
                </c:pt>
                <c:pt idx="14">
                  <c:v>56.685202392605028</c:v>
                </c:pt>
                <c:pt idx="15">
                  <c:v>61.22369096068644</c:v>
                </c:pt>
                <c:pt idx="16">
                  <c:v>65.326478474050418</c:v>
                </c:pt>
                <c:pt idx="17">
                  <c:v>68.896009114034428</c:v>
                </c:pt>
                <c:pt idx="18">
                  <c:v>71.901767938840806</c:v>
                </c:pt>
                <c:pt idx="19">
                  <c:v>74.367075023893932</c:v>
                </c:pt>
                <c:pt idx="20">
                  <c:v>76.349346757276535</c:v>
                </c:pt>
                <c:pt idx="21">
                  <c:v>77.921487060718604</c:v>
                </c:pt>
                <c:pt idx="22">
                  <c:v>79.158252102069042</c:v>
                </c:pt>
                <c:pt idx="23">
                  <c:v>80.128158633773054</c:v>
                </c:pt>
                <c:pt idx="24">
                  <c:v>80.889807236029981</c:v>
                </c:pt>
                <c:pt idx="25">
                  <c:v>81.491077087505403</c:v>
                </c:pt>
                <c:pt idx="26">
                  <c:v>82.397726316760995</c:v>
                </c:pt>
                <c:pt idx="27">
                  <c:v>83.009282804289427</c:v>
                </c:pt>
                <c:pt idx="28">
                  <c:v>83.590062432100808</c:v>
                </c:pt>
                <c:pt idx="29">
                  <c:v>84.140307073381678</c:v>
                </c:pt>
                <c:pt idx="30">
                  <c:v>84.660258601318617</c:v>
                </c:pt>
                <c:pt idx="31">
                  <c:v>85.150158889098122</c:v>
                </c:pt>
                <c:pt idx="32">
                  <c:v>85.610249809906733</c:v>
                </c:pt>
                <c:pt idx="33">
                  <c:v>86.040773236931045</c:v>
                </c:pt>
                <c:pt idx="34">
                  <c:v>86.441971043357569</c:v>
                </c:pt>
                <c:pt idx="35">
                  <c:v>86.814085102372843</c:v>
                </c:pt>
                <c:pt idx="36">
                  <c:v>87.157357287163421</c:v>
                </c:pt>
                <c:pt idx="37">
                  <c:v>87.472029470915842</c:v>
                </c:pt>
                <c:pt idx="38">
                  <c:v>87.75834352681666</c:v>
                </c:pt>
                <c:pt idx="39">
                  <c:v>88.016541328052398</c:v>
                </c:pt>
                <c:pt idx="40">
                  <c:v>88.246864747809639</c:v>
                </c:pt>
                <c:pt idx="41">
                  <c:v>88.449555659274893</c:v>
                </c:pt>
                <c:pt idx="42">
                  <c:v>88.624855935634713</c:v>
                </c:pt>
                <c:pt idx="43">
                  <c:v>88.773007450075653</c:v>
                </c:pt>
                <c:pt idx="44">
                  <c:v>88.894252075784237</c:v>
                </c:pt>
                <c:pt idx="45">
                  <c:v>88.988831685947019</c:v>
                </c:pt>
                <c:pt idx="46">
                  <c:v>89.056988153750552</c:v>
                </c:pt>
                <c:pt idx="47">
                  <c:v>89.098963352381389</c:v>
                </c:pt>
                <c:pt idx="48">
                  <c:v>89.114999155026041</c:v>
                </c:pt>
                <c:pt idx="49">
                  <c:v>89.105337434871075</c:v>
                </c:pt>
                <c:pt idx="50">
                  <c:v>89.070220065103044</c:v>
                </c:pt>
                <c:pt idx="51">
                  <c:v>89.009888918908459</c:v>
                </c:pt>
                <c:pt idx="52">
                  <c:v>88.924585869473873</c:v>
                </c:pt>
                <c:pt idx="53">
                  <c:v>88.814552789985854</c:v>
                </c:pt>
                <c:pt idx="54">
                  <c:v>88.680031553630954</c:v>
                </c:pt>
                <c:pt idx="55">
                  <c:v>88.521264033595671</c:v>
                </c:pt>
                <c:pt idx="56">
                  <c:v>88.338492103066571</c:v>
                </c:pt>
                <c:pt idx="57">
                  <c:v>88.131957635230222</c:v>
                </c:pt>
                <c:pt idx="58">
                  <c:v>87.901902503273121</c:v>
                </c:pt>
                <c:pt idx="59">
                  <c:v>87.648568580381848</c:v>
                </c:pt>
                <c:pt idx="60">
                  <c:v>87.372197739742944</c:v>
                </c:pt>
                <c:pt idx="61">
                  <c:v>87.073031854542947</c:v>
                </c:pt>
                <c:pt idx="62">
                  <c:v>86.751312797968396</c:v>
                </c:pt>
                <c:pt idx="63">
                  <c:v>86.407282443205858</c:v>
                </c:pt>
                <c:pt idx="64">
                  <c:v>86.04118266344183</c:v>
                </c:pt>
                <c:pt idx="65">
                  <c:v>85.653255331862908</c:v>
                </c:pt>
                <c:pt idx="66">
                  <c:v>85.243742321655589</c:v>
                </c:pt>
                <c:pt idx="67">
                  <c:v>84.812885506006467</c:v>
                </c:pt>
                <c:pt idx="68">
                  <c:v>84.360926758102053</c:v>
                </c:pt>
                <c:pt idx="69">
                  <c:v>83.888107951128887</c:v>
                </c:pt>
                <c:pt idx="70">
                  <c:v>83.394670958273522</c:v>
                </c:pt>
                <c:pt idx="71">
                  <c:v>82.88085765272254</c:v>
                </c:pt>
                <c:pt idx="72">
                  <c:v>82.346909907662436</c:v>
                </c:pt>
                <c:pt idx="73">
                  <c:v>81.793069596279736</c:v>
                </c:pt>
                <c:pt idx="74">
                  <c:v>81.219578591761049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249-431E-A61A-79A2365E141D}"/>
            </c:ext>
          </c:extLst>
        </c:ser>
        <c:ser>
          <c:idx val="1"/>
          <c:order val="1"/>
          <c:tx>
            <c:v>NHANES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[1]BW!$J$18:$J$92</c:f>
              <c:numCache>
                <c:formatCode>General</c:formatCode>
                <c:ptCount val="7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</c:numCache>
            </c:numRef>
          </c:xVal>
          <c:yVal>
            <c:numRef>
              <c:f>[1]BW!$K$18:$K$92</c:f>
              <c:numCache>
                <c:formatCode>General</c:formatCode>
                <c:ptCount val="75"/>
                <c:pt idx="0">
                  <c:v>8</c:v>
                </c:pt>
                <c:pt idx="1">
                  <c:v>11.5</c:v>
                </c:pt>
                <c:pt idx="2">
                  <c:v>14.15</c:v>
                </c:pt>
                <c:pt idx="3">
                  <c:v>15.7</c:v>
                </c:pt>
                <c:pt idx="4">
                  <c:v>17.8</c:v>
                </c:pt>
                <c:pt idx="5">
                  <c:v>20.8</c:v>
                </c:pt>
                <c:pt idx="6">
                  <c:v>23.8</c:v>
                </c:pt>
                <c:pt idx="7">
                  <c:v>26.2</c:v>
                </c:pt>
                <c:pt idx="8">
                  <c:v>29.8</c:v>
                </c:pt>
                <c:pt idx="9">
                  <c:v>33.700000000000003</c:v>
                </c:pt>
                <c:pt idx="10">
                  <c:v>38.6</c:v>
                </c:pt>
                <c:pt idx="11">
                  <c:v>44.2</c:v>
                </c:pt>
                <c:pt idx="12">
                  <c:v>47.7</c:v>
                </c:pt>
                <c:pt idx="13">
                  <c:v>54.4</c:v>
                </c:pt>
                <c:pt idx="14">
                  <c:v>60.05</c:v>
                </c:pt>
                <c:pt idx="15">
                  <c:v>66</c:v>
                </c:pt>
                <c:pt idx="16">
                  <c:v>70.099999999999994</c:v>
                </c:pt>
                <c:pt idx="17">
                  <c:v>71.2</c:v>
                </c:pt>
                <c:pt idx="18">
                  <c:v>74.3</c:v>
                </c:pt>
                <c:pt idx="19">
                  <c:v>74.900000000000006</c:v>
                </c:pt>
                <c:pt idx="20">
                  <c:v>79.400000000000006</c:v>
                </c:pt>
                <c:pt idx="21">
                  <c:v>76.95</c:v>
                </c:pt>
                <c:pt idx="22">
                  <c:v>72.900000000000006</c:v>
                </c:pt>
                <c:pt idx="23">
                  <c:v>77.150000000000006</c:v>
                </c:pt>
                <c:pt idx="24">
                  <c:v>82.35</c:v>
                </c:pt>
                <c:pt idx="25">
                  <c:v>76.3</c:v>
                </c:pt>
                <c:pt idx="26">
                  <c:v>82</c:v>
                </c:pt>
                <c:pt idx="27">
                  <c:v>82.85</c:v>
                </c:pt>
                <c:pt idx="28">
                  <c:v>80.849999999999994</c:v>
                </c:pt>
                <c:pt idx="29">
                  <c:v>86.3</c:v>
                </c:pt>
                <c:pt idx="30">
                  <c:v>82.85</c:v>
                </c:pt>
                <c:pt idx="31">
                  <c:v>82.5</c:v>
                </c:pt>
                <c:pt idx="32">
                  <c:v>86.5</c:v>
                </c:pt>
                <c:pt idx="33">
                  <c:v>85.8</c:v>
                </c:pt>
                <c:pt idx="34">
                  <c:v>86.05</c:v>
                </c:pt>
                <c:pt idx="35">
                  <c:v>88.3</c:v>
                </c:pt>
                <c:pt idx="36">
                  <c:v>87.3</c:v>
                </c:pt>
                <c:pt idx="37">
                  <c:v>86.1</c:v>
                </c:pt>
                <c:pt idx="38">
                  <c:v>89.7</c:v>
                </c:pt>
                <c:pt idx="39">
                  <c:v>82.5</c:v>
                </c:pt>
                <c:pt idx="40">
                  <c:v>83.8</c:v>
                </c:pt>
                <c:pt idx="41">
                  <c:v>88.4</c:v>
                </c:pt>
                <c:pt idx="42">
                  <c:v>85.8</c:v>
                </c:pt>
                <c:pt idx="43">
                  <c:v>94.8</c:v>
                </c:pt>
                <c:pt idx="44">
                  <c:v>86.5</c:v>
                </c:pt>
                <c:pt idx="45">
                  <c:v>91.6</c:v>
                </c:pt>
                <c:pt idx="46">
                  <c:v>87.2</c:v>
                </c:pt>
                <c:pt idx="47">
                  <c:v>86.9</c:v>
                </c:pt>
                <c:pt idx="48">
                  <c:v>83.3</c:v>
                </c:pt>
                <c:pt idx="49">
                  <c:v>82.05</c:v>
                </c:pt>
                <c:pt idx="50">
                  <c:v>84.05</c:v>
                </c:pt>
                <c:pt idx="51">
                  <c:v>84.1</c:v>
                </c:pt>
                <c:pt idx="52">
                  <c:v>82.7</c:v>
                </c:pt>
                <c:pt idx="53">
                  <c:v>82.5</c:v>
                </c:pt>
                <c:pt idx="54">
                  <c:v>90.9</c:v>
                </c:pt>
                <c:pt idx="55">
                  <c:v>86.8</c:v>
                </c:pt>
                <c:pt idx="56">
                  <c:v>85.55</c:v>
                </c:pt>
                <c:pt idx="57">
                  <c:v>90.1</c:v>
                </c:pt>
                <c:pt idx="58">
                  <c:v>90.7</c:v>
                </c:pt>
                <c:pt idx="59">
                  <c:v>93.15</c:v>
                </c:pt>
                <c:pt idx="60">
                  <c:v>85.3</c:v>
                </c:pt>
                <c:pt idx="61">
                  <c:v>84.85</c:v>
                </c:pt>
                <c:pt idx="62">
                  <c:v>88.2</c:v>
                </c:pt>
                <c:pt idx="63">
                  <c:v>84.05</c:v>
                </c:pt>
                <c:pt idx="64">
                  <c:v>90.25</c:v>
                </c:pt>
                <c:pt idx="65">
                  <c:v>88.9</c:v>
                </c:pt>
                <c:pt idx="66">
                  <c:v>88.85</c:v>
                </c:pt>
                <c:pt idx="67">
                  <c:v>89.4</c:v>
                </c:pt>
                <c:pt idx="68">
                  <c:v>76.45</c:v>
                </c:pt>
                <c:pt idx="69">
                  <c:v>80.75</c:v>
                </c:pt>
                <c:pt idx="70">
                  <c:v>82.7</c:v>
                </c:pt>
                <c:pt idx="71">
                  <c:v>83.8</c:v>
                </c:pt>
                <c:pt idx="72">
                  <c:v>84.8</c:v>
                </c:pt>
                <c:pt idx="73">
                  <c:v>86.8</c:v>
                </c:pt>
                <c:pt idx="74">
                  <c:v>82.8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249-431E-A61A-79A2365E14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4733904"/>
        <c:axId val="754734296"/>
      </c:scatterChart>
      <c:valAx>
        <c:axId val="754733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54734296"/>
        <c:crosses val="autoZero"/>
        <c:crossBetween val="midCat"/>
      </c:valAx>
      <c:valAx>
        <c:axId val="754734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BW (KG)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547339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7606414007823402"/>
          <c:y val="8.1815609477446302E-2"/>
          <c:w val="0.31664610294488799"/>
          <c:h val="4.044779101977410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RESPR at LIGHT EXERCISE</a:t>
            </a:r>
          </a:p>
        </c:rich>
      </c:tx>
      <c:layout>
        <c:manualLayout>
          <c:xMode val="edge"/>
          <c:yMode val="edge"/>
          <c:x val="0.20464589666762034"/>
          <c:y val="3.7438443975726918E-2"/>
        </c:manualLayout>
      </c:layout>
      <c:overlay val="0"/>
      <c:spPr>
        <a:noFill/>
        <a:ln>
          <a:solidFill>
            <a:srgbClr val="5B9BD5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Simulation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'Pulmonary parameters'!$W$18:$W$81</c:f>
              <c:numCache>
                <c:formatCode>General</c:formatCode>
                <c:ptCount val="64"/>
                <c:pt idx="0">
                  <c:v>0.25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8">
                  <c:v>5</c:v>
                </c:pt>
                <c:pt idx="9">
                  <c:v>6</c:v>
                </c:pt>
                <c:pt idx="10">
                  <c:v>7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</c:numCache>
            </c:numRef>
          </c:xVal>
          <c:yVal>
            <c:numRef>
              <c:f>'Pulmonary parameters'!$X$18:$X$81</c:f>
              <c:numCache>
                <c:formatCode>General</c:formatCode>
                <c:ptCount val="64"/>
                <c:pt idx="0">
                  <c:v>133.14942540349287</c:v>
                </c:pt>
                <c:pt idx="1">
                  <c:v>202.18669596648022</c:v>
                </c:pt>
                <c:pt idx="2">
                  <c:v>304.44123741177145</c:v>
                </c:pt>
                <c:pt idx="3">
                  <c:v>384.70328478731955</c:v>
                </c:pt>
                <c:pt idx="4">
                  <c:v>452.77869150514334</c:v>
                </c:pt>
                <c:pt idx="5">
                  <c:v>566.6835528178616</c:v>
                </c:pt>
                <c:pt idx="6">
                  <c:v>661.60199324177279</c:v>
                </c:pt>
                <c:pt idx="8">
                  <c:v>743.91912774517982</c:v>
                </c:pt>
                <c:pt idx="9">
                  <c:v>817.05475804580442</c:v>
                </c:pt>
                <c:pt idx="10">
                  <c:v>883.10730923983624</c:v>
                </c:pt>
                <c:pt idx="11">
                  <c:v>943.47934782917332</c:v>
                </c:pt>
                <c:pt idx="12">
                  <c:v>999.16547288773404</c:v>
                </c:pt>
                <c:pt idx="13">
                  <c:v>1050.9023500386527</c:v>
                </c:pt>
                <c:pt idx="14">
                  <c:v>1099.2541393078934</c:v>
                </c:pt>
                <c:pt idx="15">
                  <c:v>1144.6644883704507</c:v>
                </c:pt>
                <c:pt idx="16">
                  <c:v>1187.4898697830495</c:v>
                </c:pt>
                <c:pt idx="17">
                  <c:v>1228.0218722372811</c:v>
                </c:pt>
                <c:pt idx="18">
                  <c:v>1266.5026297080015</c:v>
                </c:pt>
                <c:pt idx="19">
                  <c:v>1303.1358146989628</c:v>
                </c:pt>
                <c:pt idx="20">
                  <c:v>1338.0946663014909</c:v>
                </c:pt>
                <c:pt idx="21">
                  <c:v>1371.5279786388382</c:v>
                </c:pt>
                <c:pt idx="22">
                  <c:v>1403.564651215753</c:v>
                </c:pt>
                <c:pt idx="23">
                  <c:v>1434.3172031446243</c:v>
                </c:pt>
                <c:pt idx="24">
                  <c:v>1463.8845265098403</c:v>
                </c:pt>
                <c:pt idx="25">
                  <c:v>1492.354071474824</c:v>
                </c:pt>
                <c:pt idx="26">
                  <c:v>1519.8036005132387</c:v>
                </c:pt>
                <c:pt idx="27">
                  <c:v>1546.3026114573781</c:v>
                </c:pt>
                <c:pt idx="28">
                  <c:v>1571.9135028385385</c:v>
                </c:pt>
                <c:pt idx="29">
                  <c:v>1596.6925364376846</c:v>
                </c:pt>
                <c:pt idx="30">
                  <c:v>1620.6906386234841</c:v>
                </c:pt>
                <c:pt idx="31">
                  <c:v>1643.9540723250384</c:v>
                </c:pt>
                <c:pt idx="32">
                  <c:v>1666.5250042972652</c:v>
                </c:pt>
                <c:pt idx="33">
                  <c:v>1688.441986960346</c:v>
                </c:pt>
                <c:pt idx="34">
                  <c:v>1709.7403700289772</c:v>
                </c:pt>
                <c:pt idx="35">
                  <c:v>1730.452654041035</c:v>
                </c:pt>
                <c:pt idx="36">
                  <c:v>1750.60879549945</c:v>
                </c:pt>
                <c:pt idx="37">
                  <c:v>1770.2364714768173</c:v>
                </c:pt>
                <c:pt idx="38">
                  <c:v>1789.3613100693944</c:v>
                </c:pt>
                <c:pt idx="39">
                  <c:v>1808.0070919304906</c:v>
                </c:pt>
                <c:pt idx="40">
                  <c:v>1826.1959271919516</c:v>
                </c:pt>
                <c:pt idx="41">
                  <c:v>1843.9484113436465</c:v>
                </c:pt>
                <c:pt idx="42">
                  <c:v>1861.2837630446043</c:v>
                </c:pt>
                <c:pt idx="43">
                  <c:v>1878.2199463552909</c:v>
                </c:pt>
                <c:pt idx="44">
                  <c:v>1894.7737794851657</c:v>
                </c:pt>
                <c:pt idx="45">
                  <c:v>1910.9610318250473</c:v>
                </c:pt>
                <c:pt idx="46">
                  <c:v>1926.7965107659384</c:v>
                </c:pt>
                <c:pt idx="47">
                  <c:v>1942.2941395838479</c:v>
                </c:pt>
                <c:pt idx="48">
                  <c:v>1957.467027485068</c:v>
                </c:pt>
                <c:pt idx="49">
                  <c:v>1972.327532751535</c:v>
                </c:pt>
                <c:pt idx="50">
                  <c:v>1986.8873197958183</c:v>
                </c:pt>
                <c:pt idx="51">
                  <c:v>2001.1574108254949</c:v>
                </c:pt>
                <c:pt idx="52">
                  <c:v>2015.1482327237611</c:v>
                </c:pt>
                <c:pt idx="53">
                  <c:v>2028.869659674144</c:v>
                </c:pt>
                <c:pt idx="54">
                  <c:v>2042.3310519897987</c:v>
                </c:pt>
                <c:pt idx="55">
                  <c:v>2055.5412915502698</c:v>
                </c:pt>
                <c:pt idx="56">
                  <c:v>2068.5088141990927</c:v>
                </c:pt>
                <c:pt idx="57">
                  <c:v>2081.2416394130373</c:v>
                </c:pt>
                <c:pt idx="58">
                  <c:v>2093.7473975169892</c:v>
                </c:pt>
                <c:pt idx="59">
                  <c:v>2106.0333546866214</c:v>
                </c:pt>
                <c:pt idx="60">
                  <c:v>2118.1064359533434</c:v>
                </c:pt>
                <c:pt idx="61">
                  <c:v>2129.9732464019348</c:v>
                </c:pt>
                <c:pt idx="62">
                  <c:v>2141.6400907302468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CC-472D-AB6E-098F02966EB9}"/>
            </c:ext>
          </c:extLst>
        </c:ser>
        <c:ser>
          <c:idx val="1"/>
          <c:order val="1"/>
          <c:tx>
            <c:v>Observed mean (IRCP, 2003)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'Pulmonary parameters'!$T$5:$T$10</c:f>
              <c:numCache>
                <c:formatCode>General</c:formatCode>
                <c:ptCount val="6"/>
                <c:pt idx="0">
                  <c:v>0.25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25</c:v>
                </c:pt>
              </c:numCache>
            </c:numRef>
          </c:xVal>
          <c:yVal>
            <c:numRef>
              <c:f>'Pulmonary parameters'!$W$5:$W$10</c:f>
              <c:numCache>
                <c:formatCode>General</c:formatCode>
                <c:ptCount val="6"/>
                <c:pt idx="0">
                  <c:v>190</c:v>
                </c:pt>
                <c:pt idx="1">
                  <c:v>350</c:v>
                </c:pt>
                <c:pt idx="2">
                  <c:v>570</c:v>
                </c:pt>
                <c:pt idx="3">
                  <c:v>1100</c:v>
                </c:pt>
                <c:pt idx="4">
                  <c:v>1400</c:v>
                </c:pt>
                <c:pt idx="5">
                  <c:v>1500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BCC-472D-AB6E-098F02966E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4035848"/>
        <c:axId val="724036240"/>
      </c:scatterChart>
      <c:valAx>
        <c:axId val="7240358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4036240"/>
        <c:crosses val="autoZero"/>
        <c:crossBetween val="midCat"/>
      </c:valAx>
      <c:valAx>
        <c:axId val="7240362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RESPR (L/h)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40358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VBRN (L)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990048118985126"/>
          <c:y val="0.16245370370370371"/>
          <c:w val="0.79965507436570427"/>
          <c:h val="0.62271617089530473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'Brain Vol'!$B$8:$B$71</c:f>
              <c:numCache>
                <c:formatCode>General</c:formatCode>
                <c:ptCount val="6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4.5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  <c:pt idx="63">
                  <c:v>60</c:v>
                </c:pt>
              </c:numCache>
            </c:numRef>
          </c:xVal>
          <c:yVal>
            <c:numRef>
              <c:f>'Brain Vol'!$D$8:$D$71</c:f>
              <c:numCache>
                <c:formatCode>0.00</c:formatCode>
                <c:ptCount val="64"/>
                <c:pt idx="0">
                  <c:v>0.65409309791332249</c:v>
                </c:pt>
                <c:pt idx="1">
                  <c:v>0.82600502512562801</c:v>
                </c:pt>
                <c:pt idx="2">
                  <c:v>0.93653250773993801</c:v>
                </c:pt>
                <c:pt idx="3">
                  <c:v>1.0135726795096323</c:v>
                </c:pt>
                <c:pt idx="4">
                  <c:v>1.1139112903225807</c:v>
                </c:pt>
                <c:pt idx="5">
                  <c:v>1.1763904034896402</c:v>
                </c:pt>
                <c:pt idx="6">
                  <c:v>1.1995515695067265</c:v>
                </c:pt>
                <c:pt idx="7">
                  <c:v>1.2190366972477065</c:v>
                </c:pt>
                <c:pt idx="8">
                  <c:v>1.2500000000000002</c:v>
                </c:pt>
                <c:pt idx="9">
                  <c:v>1.2735027855153205</c:v>
                </c:pt>
                <c:pt idx="10">
                  <c:v>1.2919515226848974</c:v>
                </c:pt>
                <c:pt idx="11">
                  <c:v>1.3068181818181817</c:v>
                </c:pt>
                <c:pt idx="12">
                  <c:v>1.3190537084398974</c:v>
                </c:pt>
                <c:pt idx="13">
                  <c:v>1.3243938280675973</c:v>
                </c:pt>
                <c:pt idx="14">
                  <c:v>1.329299812030075</c:v>
                </c:pt>
                <c:pt idx="15">
                  <c:v>1.3380052151238593</c:v>
                </c:pt>
                <c:pt idx="16">
                  <c:v>1.3454931285367826</c:v>
                </c:pt>
                <c:pt idx="17">
                  <c:v>1.3520022667170382</c:v>
                </c:pt>
                <c:pt idx="18">
                  <c:v>1.3577127659574468</c:v>
                </c:pt>
                <c:pt idx="19">
                  <c:v>1.3627631139325092</c:v>
                </c:pt>
                <c:pt idx="20">
                  <c:v>1.3672615287428933</c:v>
                </c:pt>
                <c:pt idx="21">
                  <c:v>1.3712938005390836</c:v>
                </c:pt>
                <c:pt idx="22">
                  <c:v>1.3749288154897497</c:v>
                </c:pt>
                <c:pt idx="23">
                  <c:v>1.3782225237449117</c:v>
                </c:pt>
                <c:pt idx="24">
                  <c:v>1.381220839813375</c:v>
                </c:pt>
                <c:pt idx="25">
                  <c:v>1.3839617960803769</c:v>
                </c:pt>
                <c:pt idx="26">
                  <c:v>1.3864771646051379</c:v>
                </c:pt>
                <c:pt idx="27">
                  <c:v>1.3887936943111723</c:v>
                </c:pt>
                <c:pt idx="28">
                  <c:v>1.3909340659340659</c:v>
                </c:pt>
                <c:pt idx="29">
                  <c:v>1.3929176370950669</c:v>
                </c:pt>
                <c:pt idx="30">
                  <c:v>1.3947610294117649</c:v>
                </c:pt>
                <c:pt idx="31">
                  <c:v>1.3964785953837051</c:v>
                </c:pt>
                <c:pt idx="32">
                  <c:v>1.3980827928271653</c:v>
                </c:pt>
                <c:pt idx="33">
                  <c:v>1.3995844875346262</c:v>
                </c:pt>
                <c:pt idx="34">
                  <c:v>1.4009931997136722</c:v>
                </c:pt>
                <c:pt idx="35">
                  <c:v>1.4023173060232597</c:v>
                </c:pt>
                <c:pt idx="36">
                  <c:v>1.4035642062689586</c:v>
                </c:pt>
                <c:pt idx="37">
                  <c:v>1.4047404617651873</c:v>
                </c:pt>
                <c:pt idx="38">
                  <c:v>1.4058519108280254</c:v>
                </c:pt>
                <c:pt idx="39">
                  <c:v>1.4069037656903765</c:v>
                </c:pt>
                <c:pt idx="40">
                  <c:v>1.4079006942348322</c:v>
                </c:pt>
                <c:pt idx="41">
                  <c:v>1.4088468892484189</c:v>
                </c:pt>
                <c:pt idx="42">
                  <c:v>1.4097461273666092</c:v>
                </c:pt>
                <c:pt idx="43">
                  <c:v>1.4106018194541636</c:v>
                </c:pt>
                <c:pt idx="44">
                  <c:v>1.4114170538398469</c:v>
                </c:pt>
                <c:pt idx="45">
                  <c:v>1.4121946335602724</c:v>
                </c:pt>
                <c:pt idx="46">
                  <c:v>1.4129371085594988</c:v>
                </c:pt>
                <c:pt idx="47">
                  <c:v>1.4136468036238354</c:v>
                </c:pt>
                <c:pt idx="48">
                  <c:v>1.4143258426966292</c:v>
                </c:pt>
                <c:pt idx="49">
                  <c:v>1.414976170108762</c:v>
                </c:pt>
                <c:pt idx="50">
                  <c:v>1.4155995691718524</c:v>
                </c:pt>
                <c:pt idx="51">
                  <c:v>1.4161976785086177</c:v>
                </c:pt>
                <c:pt idx="52">
                  <c:v>1.4167720064353022</c:v>
                </c:pt>
                <c:pt idx="53">
                  <c:v>1.4173239436619718</c:v>
                </c:pt>
                <c:pt idx="54">
                  <c:v>1.417854774535809</c:v>
                </c:pt>
                <c:pt idx="55">
                  <c:v>1.4183656870187615</c:v>
                </c:pt>
                <c:pt idx="56">
                  <c:v>1.4188577815626995</c:v>
                </c:pt>
                <c:pt idx="57">
                  <c:v>1.4193320790216368</c:v>
                </c:pt>
                <c:pt idx="58">
                  <c:v>1.4197895277207391</c:v>
                </c:pt>
                <c:pt idx="59">
                  <c:v>1.4202310097851307</c:v>
                </c:pt>
                <c:pt idx="60">
                  <c:v>1.4206573468173707</c:v>
                </c:pt>
                <c:pt idx="61">
                  <c:v>1.4210693050004872</c:v>
                </c:pt>
                <c:pt idx="62">
                  <c:v>1.4214675996932515</c:v>
                </c:pt>
                <c:pt idx="63">
                  <c:v>1.4218528995756718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CB4-47D2-BD57-D88EAB7CEF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553712"/>
        <c:axId val="560554496"/>
      </c:scatterChart>
      <c:valAx>
        <c:axId val="5605537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554496"/>
        <c:crosses val="autoZero"/>
        <c:crossBetween val="midCat"/>
      </c:valAx>
      <c:valAx>
        <c:axId val="5605544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Brain vol (L)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553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VBRNC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990048118985126"/>
          <c:y val="0.16245370370370371"/>
          <c:w val="0.79965507436570427"/>
          <c:h val="0.62271617089530473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'Brain Vol'!$B$8:$B$71</c:f>
              <c:numCache>
                <c:formatCode>General</c:formatCode>
                <c:ptCount val="6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4.5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  <c:pt idx="63">
                  <c:v>60</c:v>
                </c:pt>
              </c:numCache>
            </c:numRef>
          </c:xVal>
          <c:yVal>
            <c:numRef>
              <c:f>'Brain Vol'!$F$8:$F$71</c:f>
              <c:numCache>
                <c:formatCode>0.000</c:formatCode>
                <c:ptCount val="64"/>
                <c:pt idx="0">
                  <c:v>9.2438967908038572E-2</c:v>
                </c:pt>
                <c:pt idx="1">
                  <c:v>9.0993996344044023E-2</c:v>
                </c:pt>
                <c:pt idx="2">
                  <c:v>8.6247430464070379E-2</c:v>
                </c:pt>
                <c:pt idx="3">
                  <c:v>8.1284892302845482E-2</c:v>
                </c:pt>
                <c:pt idx="4">
                  <c:v>7.2653625195506194E-2</c:v>
                </c:pt>
                <c:pt idx="5">
                  <c:v>6.5688548786761072E-2</c:v>
                </c:pt>
                <c:pt idx="6">
                  <c:v>6.2646000476053912E-2</c:v>
                </c:pt>
                <c:pt idx="7">
                  <c:v>5.9811593825439137E-2</c:v>
                </c:pt>
                <c:pt idx="8">
                  <c:v>5.4587429560384801E-2</c:v>
                </c:pt>
                <c:pt idx="9">
                  <c:v>4.9760915550084106E-2</c:v>
                </c:pt>
                <c:pt idx="10">
                  <c:v>4.5211352839631569E-2</c:v>
                </c:pt>
                <c:pt idx="11">
                  <c:v>4.091355414364322E-2</c:v>
                </c:pt>
                <c:pt idx="12">
                  <c:v>3.6903904408416177E-2</c:v>
                </c:pt>
                <c:pt idx="13">
                  <c:v>3.5027157309571205E-2</c:v>
                </c:pt>
                <c:pt idx="14">
                  <c:v>3.3247225300335428E-2</c:v>
                </c:pt>
                <c:pt idx="15">
                  <c:v>3.000656870841335E-2</c:v>
                </c:pt>
                <c:pt idx="16">
                  <c:v>2.7221430604307338E-2</c:v>
                </c:pt>
                <c:pt idx="17">
                  <c:v>2.4898189273030974E-2</c:v>
                </c:pt>
                <c:pt idx="18">
                  <c:v>2.3012029923909248E-2</c:v>
                </c:pt>
                <c:pt idx="19">
                  <c:v>2.1515966781405785E-2</c:v>
                </c:pt>
                <c:pt idx="20">
                  <c:v>2.0351820427538983E-2</c:v>
                </c:pt>
                <c:pt idx="21">
                  <c:v>1.9459546189163651E-2</c:v>
                </c:pt>
                <c:pt idx="22">
                  <c:v>1.8783447826292207E-2</c:v>
                </c:pt>
                <c:pt idx="23">
                  <c:v>1.8275368014602892E-2</c:v>
                </c:pt>
                <c:pt idx="24">
                  <c:v>1.7895648325453251E-2</c:v>
                </c:pt>
                <c:pt idx="25">
                  <c:v>1.761274174267102E-2</c:v>
                </c:pt>
                <c:pt idx="26">
                  <c:v>1.7402171876934252E-2</c:v>
                </c:pt>
                <c:pt idx="27">
                  <c:v>1.7245287944763012E-2</c:v>
                </c:pt>
                <c:pt idx="28">
                  <c:v>1.7128062817915474E-2</c:v>
                </c:pt>
                <c:pt idx="29">
                  <c:v>1.7029351070274468E-2</c:v>
                </c:pt>
                <c:pt idx="30">
                  <c:v>1.6922611008590625E-2</c:v>
                </c:pt>
                <c:pt idx="31">
                  <c:v>1.6822199226790284E-2</c:v>
                </c:pt>
                <c:pt idx="32">
                  <c:v>1.6727970618613024E-2</c:v>
                </c:pt>
                <c:pt idx="33">
                  <c:v>1.6639779735084029E-2</c:v>
                </c:pt>
                <c:pt idx="34">
                  <c:v>1.6557483011314454E-2</c:v>
                </c:pt>
                <c:pt idx="35">
                  <c:v>1.6480940403550286E-2</c:v>
                </c:pt>
                <c:pt idx="36">
                  <c:v>1.641001658004115E-2</c:v>
                </c:pt>
                <c:pt idx="37">
                  <c:v>1.6344581773881199E-2</c:v>
                </c:pt>
                <c:pt idx="38">
                  <c:v>1.6284512379755318E-2</c:v>
                </c:pt>
                <c:pt idx="39">
                  <c:v>1.6229691356974465E-2</c:v>
                </c:pt>
                <c:pt idx="40">
                  <c:v>1.6180008486511289E-2</c:v>
                </c:pt>
                <c:pt idx="41">
                  <c:v>1.6135360518666878E-2</c:v>
                </c:pt>
                <c:pt idx="42">
                  <c:v>1.609565123958772E-2</c:v>
                </c:pt>
                <c:pt idx="43">
                  <c:v>1.6060791478434151E-2</c:v>
                </c:pt>
                <c:pt idx="44">
                  <c:v>1.6030699072083744E-2</c:v>
                </c:pt>
                <c:pt idx="45">
                  <c:v>1.6005298800471437E-2</c:v>
                </c:pt>
                <c:pt idx="46">
                  <c:v>1.5984522302750048E-2</c:v>
                </c:pt>
                <c:pt idx="47">
                  <c:v>1.5968307982198504E-2</c:v>
                </c:pt>
                <c:pt idx="48">
                  <c:v>1.5956600906056662E-2</c:v>
                </c:pt>
                <c:pt idx="49">
                  <c:v>1.5949352705110092E-2</c:v>
                </c:pt>
                <c:pt idx="50">
                  <c:v>1.594652147679743E-2</c:v>
                </c:pt>
                <c:pt idx="51">
                  <c:v>1.5948071694799268E-2</c:v>
                </c:pt>
                <c:pt idx="52">
                  <c:v>1.5953974127440058E-2</c:v>
                </c:pt>
                <c:pt idx="53">
                  <c:v>1.5964205766752847E-2</c:v>
                </c:pt>
                <c:pt idx="54">
                  <c:v>1.597874976969035E-2</c:v>
                </c:pt>
                <c:pt idx="55">
                  <c:v>1.5997595412691138E-2</c:v>
                </c:pt>
                <c:pt idx="56">
                  <c:v>1.6020738060607886E-2</c:v>
                </c:pt>
                <c:pt idx="57">
                  <c:v>1.6048179150861579E-2</c:v>
                </c:pt>
                <c:pt idx="58">
                  <c:v>1.6079926193589857E-2</c:v>
                </c:pt>
                <c:pt idx="59">
                  <c:v>1.6115992788501121E-2</c:v>
                </c:pt>
                <c:pt idx="60">
                  <c:v>1.6156398659121201E-2</c:v>
                </c:pt>
                <c:pt idx="61">
                  <c:v>1.6201169705122372E-2</c:v>
                </c:pt>
                <c:pt idx="62">
                  <c:v>1.6250338073449774E-2</c:v>
                </c:pt>
                <c:pt idx="63">
                  <c:v>1.6303942249006935E-2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CB4-47D2-BD57-D88EAB7CEF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555280"/>
        <c:axId val="560555672"/>
      </c:scatterChart>
      <c:valAx>
        <c:axId val="560555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555672"/>
        <c:crosses val="autoZero"/>
        <c:crossBetween val="midCat"/>
      </c:valAx>
      <c:valAx>
        <c:axId val="5605556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Brain</a:t>
                </a:r>
                <a:r>
                  <a:rPr lang="en-US" baseline="0"/>
                  <a:t> volume (</a:t>
                </a:r>
                <a:r>
                  <a:rPr lang="en-US"/>
                  <a:t>fraction of BW)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555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VFAT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VFAT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'Fat Vol '!$B$9:$B$72</c:f>
              <c:numCache>
                <c:formatCode>General</c:formatCode>
                <c:ptCount val="6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4.5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  <c:pt idx="63">
                  <c:v>60</c:v>
                </c:pt>
              </c:numCache>
            </c:numRef>
          </c:xVal>
          <c:yVal>
            <c:numRef>
              <c:f>'Fat Vol '!$F$9:$F$72</c:f>
              <c:numCache>
                <c:formatCode>0.00</c:formatCode>
                <c:ptCount val="64"/>
                <c:pt idx="0">
                  <c:v>2.6867900809372367</c:v>
                </c:pt>
                <c:pt idx="1">
                  <c:v>3.5824867043128239</c:v>
                </c:pt>
                <c:pt idx="2">
                  <c:v>4.4283266435761623</c:v>
                </c:pt>
                <c:pt idx="3">
                  <c:v>5.2095209179747268</c:v>
                </c:pt>
                <c:pt idx="4">
                  <c:v>6.5873936003014713</c:v>
                </c:pt>
                <c:pt idx="5">
                  <c:v>6.5519332374067245</c:v>
                </c:pt>
                <c:pt idx="6">
                  <c:v>6.5188030025341366</c:v>
                </c:pt>
                <c:pt idx="7">
                  <c:v>6.4969002958229121</c:v>
                </c:pt>
                <c:pt idx="8">
                  <c:v>6.5249972354425863</c:v>
                </c:pt>
                <c:pt idx="9">
                  <c:v>6.6911391322573452</c:v>
                </c:pt>
                <c:pt idx="10">
                  <c:v>7.0304274042577655</c:v>
                </c:pt>
                <c:pt idx="11">
                  <c:v>7.5675436528104765</c:v>
                </c:pt>
                <c:pt idx="12">
                  <c:v>8.3155403358110203</c:v>
                </c:pt>
                <c:pt idx="13">
                  <c:v>8.7672499497329532</c:v>
                </c:pt>
                <c:pt idx="14">
                  <c:v>9.2657636287149732</c:v>
                </c:pt>
                <c:pt idx="15">
                  <c:v>10.365286348686164</c:v>
                </c:pt>
                <c:pt idx="16">
                  <c:v>11.470403631271822</c:v>
                </c:pt>
                <c:pt idx="17">
                  <c:v>12.311694979988527</c:v>
                </c:pt>
                <c:pt idx="18">
                  <c:v>12.803190542333322</c:v>
                </c:pt>
                <c:pt idx="19">
                  <c:v>13.422479679772673</c:v>
                </c:pt>
                <c:pt idx="20">
                  <c:v>14.314416583687683</c:v>
                </c:pt>
                <c:pt idx="21">
                  <c:v>15.219259827352367</c:v>
                </c:pt>
                <c:pt idx="22">
                  <c:v>15.989084297515131</c:v>
                </c:pt>
                <c:pt idx="23">
                  <c:v>16.901012701953192</c:v>
                </c:pt>
                <c:pt idx="24">
                  <c:v>17.772822409548208</c:v>
                </c:pt>
                <c:pt idx="25">
                  <c:v>18.246991564773133</c:v>
                </c:pt>
                <c:pt idx="26">
                  <c:v>18.66216891499036</c:v>
                </c:pt>
                <c:pt idx="27">
                  <c:v>19.021465154081717</c:v>
                </c:pt>
                <c:pt idx="28">
                  <c:v>19.331630444138099</c:v>
                </c:pt>
                <c:pt idx="29">
                  <c:v>19.619488437154917</c:v>
                </c:pt>
                <c:pt idx="30">
                  <c:v>19.929945084984261</c:v>
                </c:pt>
                <c:pt idx="31">
                  <c:v>20.237587541934758</c:v>
                </c:pt>
                <c:pt idx="32">
                  <c:v>20.541396960438096</c:v>
                </c:pt>
                <c:pt idx="33">
                  <c:v>20.840387931020924</c:v>
                </c:pt>
                <c:pt idx="34">
                  <c:v>21.133612398330193</c:v>
                </c:pt>
                <c:pt idx="35">
                  <c:v>21.420163186179792</c:v>
                </c:pt>
                <c:pt idx="36">
                  <c:v>21.699177133152116</c:v>
                </c:pt>
                <c:pt idx="37">
                  <c:v>21.969837850950501</c:v>
                </c:pt>
                <c:pt idx="38">
                  <c:v>22.23137812018059</c:v>
                </c:pt>
                <c:pt idx="39">
                  <c:v>22.483081938627635</c:v>
                </c:pt>
                <c:pt idx="40">
                  <c:v>22.724286236961245</c:v>
                </c:pt>
                <c:pt idx="41">
                  <c:v>22.954382276538777</c:v>
                </c:pt>
                <c:pt idx="42">
                  <c:v>23.172816743684315</c:v>
                </c:pt>
                <c:pt idx="43">
                  <c:v>23.379092554524572</c:v>
                </c:pt>
                <c:pt idx="44">
                  <c:v>23.572769384166669</c:v>
                </c:pt>
                <c:pt idx="45">
                  <c:v>23.753463933707497</c:v>
                </c:pt>
                <c:pt idx="46">
                  <c:v>23.920849948273897</c:v>
                </c:pt>
                <c:pt idx="47">
                  <c:v>24.07465799900185</c:v>
                </c:pt>
                <c:pt idx="48">
                  <c:v>24.214675041577408</c:v>
                </c:pt>
                <c:pt idx="49">
                  <c:v>24.34074376367716</c:v>
                </c:pt>
                <c:pt idx="50">
                  <c:v>24.452761733364081</c:v>
                </c:pt>
                <c:pt idx="51">
                  <c:v>24.550680360215335</c:v>
                </c:pt>
                <c:pt idx="52">
                  <c:v>24.634503680682545</c:v>
                </c:pt>
                <c:pt idx="53">
                  <c:v>24.704286978909231</c:v>
                </c:pt>
                <c:pt idx="54">
                  <c:v>24.760135253960499</c:v>
                </c:pt>
                <c:pt idx="55">
                  <c:v>24.802201544148478</c:v>
                </c:pt>
                <c:pt idx="56">
                  <c:v>24.830685118872466</c:v>
                </c:pt>
                <c:pt idx="57">
                  <c:v>24.845829548127071</c:v>
                </c:pt>
                <c:pt idx="58">
                  <c:v>24.84792065957069</c:v>
                </c:pt>
                <c:pt idx="59">
                  <c:v>24.837284392787382</c:v>
                </c:pt>
                <c:pt idx="60">
                  <c:v>24.814284560118743</c:v>
                </c:pt>
                <c:pt idx="61">
                  <c:v>24.779320523187565</c:v>
                </c:pt>
                <c:pt idx="62">
                  <c:v>24.732824793984935</c:v>
                </c:pt>
                <c:pt idx="63">
                  <c:v>24.675260569141724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50-400C-A286-DBD7448053A0}"/>
            </c:ext>
          </c:extLst>
        </c:ser>
        <c:ser>
          <c:idx val="1"/>
          <c:order val="1"/>
          <c:tx>
            <c:v>NHANES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'Fat Vol '!$B$9:$B$72</c:f>
              <c:numCache>
                <c:formatCode>General</c:formatCode>
                <c:ptCount val="6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4.5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  <c:pt idx="63">
                  <c:v>60</c:v>
                </c:pt>
              </c:numCache>
            </c:numRef>
          </c:xVal>
          <c:yVal>
            <c:numRef>
              <c:f>'Fat Vol '!$J$9:$J$72</c:f>
              <c:numCache>
                <c:formatCode>General</c:formatCode>
                <c:ptCount val="64"/>
                <c:pt idx="10">
                  <c:v>7.1439552321490858</c:v>
                </c:pt>
                <c:pt idx="11">
                  <c:v>8.6879410233239973</c:v>
                </c:pt>
                <c:pt idx="12">
                  <c:v>10.079506538479437</c:v>
                </c:pt>
                <c:pt idx="14">
                  <c:v>10.995126510740208</c:v>
                </c:pt>
                <c:pt idx="15">
                  <c:v>11.548916308445307</c:v>
                </c:pt>
                <c:pt idx="16">
                  <c:v>12.20864573869966</c:v>
                </c:pt>
                <c:pt idx="17">
                  <c:v>12.054872742745619</c:v>
                </c:pt>
                <c:pt idx="18">
                  <c:v>12.596527837413484</c:v>
                </c:pt>
                <c:pt idx="19">
                  <c:v>13.427506330013758</c:v>
                </c:pt>
                <c:pt idx="20">
                  <c:v>13.503439078376037</c:v>
                </c:pt>
                <c:pt idx="21">
                  <c:v>15.291762296218808</c:v>
                </c:pt>
                <c:pt idx="22">
                  <c:v>15.225383341047699</c:v>
                </c:pt>
                <c:pt idx="23">
                  <c:v>17.269855123322003</c:v>
                </c:pt>
                <c:pt idx="24">
                  <c:v>19.488439631261251</c:v>
                </c:pt>
                <c:pt idx="25">
                  <c:v>17.601316527053722</c:v>
                </c:pt>
                <c:pt idx="26">
                  <c:v>17.846673798412354</c:v>
                </c:pt>
                <c:pt idx="27">
                  <c:v>20.938262189501931</c:v>
                </c:pt>
                <c:pt idx="28">
                  <c:v>20.383183682878375</c:v>
                </c:pt>
                <c:pt idx="29">
                  <c:v>20.775957836686061</c:v>
                </c:pt>
                <c:pt idx="30">
                  <c:v>20.604991580550511</c:v>
                </c:pt>
                <c:pt idx="31">
                  <c:v>20.338437992348542</c:v>
                </c:pt>
                <c:pt idx="32">
                  <c:v>22.231628173606914</c:v>
                </c:pt>
                <c:pt idx="33">
                  <c:v>21.28002179017259</c:v>
                </c:pt>
                <c:pt idx="34">
                  <c:v>23.35343619901299</c:v>
                </c:pt>
                <c:pt idx="35">
                  <c:v>24.079681613258717</c:v>
                </c:pt>
                <c:pt idx="36">
                  <c:v>22.922292945004308</c:v>
                </c:pt>
                <c:pt idx="37">
                  <c:v>23.076320899607147</c:v>
                </c:pt>
                <c:pt idx="38">
                  <c:v>24.776885484716349</c:v>
                </c:pt>
                <c:pt idx="39">
                  <c:v>24.70580397386593</c:v>
                </c:pt>
                <c:pt idx="40">
                  <c:v>26.017434287945925</c:v>
                </c:pt>
                <c:pt idx="41">
                  <c:v>23.181933162430486</c:v>
                </c:pt>
                <c:pt idx="42">
                  <c:v>22.947408580872828</c:v>
                </c:pt>
                <c:pt idx="43">
                  <c:v>23.977292602800887</c:v>
                </c:pt>
                <c:pt idx="44">
                  <c:v>24.916631797564946</c:v>
                </c:pt>
                <c:pt idx="45">
                  <c:v>24.08759372556035</c:v>
                </c:pt>
                <c:pt idx="46">
                  <c:v>26.429829272195821</c:v>
                </c:pt>
                <c:pt idx="47">
                  <c:v>25.319087425363705</c:v>
                </c:pt>
                <c:pt idx="48">
                  <c:v>25.793013352141909</c:v>
                </c:pt>
                <c:pt idx="49">
                  <c:v>25.90531724459137</c:v>
                </c:pt>
                <c:pt idx="50">
                  <c:v>24.856071585570778</c:v>
                </c:pt>
                <c:pt idx="51">
                  <c:v>24.153751997488278</c:v>
                </c:pt>
                <c:pt idx="52">
                  <c:v>23.977000255980194</c:v>
                </c:pt>
                <c:pt idx="53">
                  <c:v>24.503656127095343</c:v>
                </c:pt>
                <c:pt idx="54">
                  <c:v>26.087729623517717</c:v>
                </c:pt>
                <c:pt idx="55">
                  <c:v>24.780799819905887</c:v>
                </c:pt>
                <c:pt idx="56">
                  <c:v>24.443614659314026</c:v>
                </c:pt>
                <c:pt idx="57">
                  <c:v>25.294394509447823</c:v>
                </c:pt>
                <c:pt idx="58">
                  <c:v>25.605774434658223</c:v>
                </c:pt>
                <c:pt idx="59">
                  <c:v>24.146405486032631</c:v>
                </c:pt>
                <c:pt idx="60">
                  <c:v>25.588084117400804</c:v>
                </c:pt>
                <c:pt idx="61">
                  <c:v>27.805336150680848</c:v>
                </c:pt>
                <c:pt idx="62">
                  <c:v>25.454674828369487</c:v>
                </c:pt>
                <c:pt idx="63">
                  <c:v>23.982515480703814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550-400C-A286-DBD7448053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9755152"/>
        <c:axId val="539755808"/>
      </c:scatterChart>
      <c:valAx>
        <c:axId val="539755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755808"/>
        <c:crosses val="autoZero"/>
        <c:crossBetween val="midCat"/>
      </c:valAx>
      <c:valAx>
        <c:axId val="539755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VFAT (L)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7551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VFATC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VFATC (%fat)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'Fat Vol '!$B$9:$B$72</c:f>
              <c:numCache>
                <c:formatCode>General</c:formatCode>
                <c:ptCount val="6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4.5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  <c:pt idx="63">
                  <c:v>60</c:v>
                </c:pt>
              </c:numCache>
            </c:numRef>
          </c:xVal>
          <c:yVal>
            <c:numRef>
              <c:f>'Fat Vol '!$H$9:$H$72</c:f>
              <c:numCache>
                <c:formatCode>General</c:formatCode>
                <c:ptCount val="64"/>
                <c:pt idx="0">
                  <c:v>37.970757199505826</c:v>
                </c:pt>
                <c:pt idx="1">
                  <c:v>39.465229890731962</c:v>
                </c:pt>
                <c:pt idx="2">
                  <c:v>40.781477536290964</c:v>
                </c:pt>
                <c:pt idx="3">
                  <c:v>41.778488639992219</c:v>
                </c:pt>
                <c:pt idx="4">
                  <c:v>42.965542212340864</c:v>
                </c:pt>
                <c:pt idx="5">
                  <c:v>36.58538737108826</c:v>
                </c:pt>
                <c:pt idx="6">
                  <c:v>34.044133356266286</c:v>
                </c:pt>
                <c:pt idx="7">
                  <c:v>31.876805882503671</c:v>
                </c:pt>
                <c:pt idx="8">
                  <c:v>28.494626157714215</c:v>
                </c:pt>
                <c:pt idx="9">
                  <c:v>26.144992620443329</c:v>
                </c:pt>
                <c:pt idx="10">
                  <c:v>24.602713678200193</c:v>
                </c:pt>
                <c:pt idx="11">
                  <c:v>23.692286446678924</c:v>
                </c:pt>
                <c:pt idx="12">
                  <c:v>23.264852954323935</c:v>
                </c:pt>
                <c:pt idx="13">
                  <c:v>23.187350820692014</c:v>
                </c:pt>
                <c:pt idx="14">
                  <c:v>23.174676484236986</c:v>
                </c:pt>
                <c:pt idx="15">
                  <c:v>23.245550427502522</c:v>
                </c:pt>
                <c:pt idx="16">
                  <c:v>23.206420741191089</c:v>
                </c:pt>
                <c:pt idx="17">
                  <c:v>22.672958428385201</c:v>
                </c:pt>
                <c:pt idx="18">
                  <c:v>21.700274996966513</c:v>
                </c:pt>
                <c:pt idx="19">
                  <c:v>21.192063680143434</c:v>
                </c:pt>
                <c:pt idx="20">
                  <c:v>21.307147880043939</c:v>
                </c:pt>
                <c:pt idx="21">
                  <c:v>21.597114306126063</c:v>
                </c:pt>
                <c:pt idx="22">
                  <c:v>21.843322163961325</c:v>
                </c:pt>
                <c:pt idx="23">
                  <c:v>22.410911273486061</c:v>
                </c:pt>
                <c:pt idx="24">
                  <c:v>23.027177872220918</c:v>
                </c:pt>
                <c:pt idx="25">
                  <c:v>23.221706763961915</c:v>
                </c:pt>
                <c:pt idx="26">
                  <c:v>23.423557152312178</c:v>
                </c:pt>
                <c:pt idx="27">
                  <c:v>23.619825252455158</c:v>
                </c:pt>
                <c:pt idx="28">
                  <c:v>23.805109726575662</c:v>
                </c:pt>
                <c:pt idx="29">
                  <c:v>23.986138700367306</c:v>
                </c:pt>
                <c:pt idx="30">
                  <c:v>24.180967275663146</c:v>
                </c:pt>
                <c:pt idx="31">
                  <c:v>24.378513972603638</c:v>
                </c:pt>
                <c:pt idx="32">
                  <c:v>24.577649233821454</c:v>
                </c:pt>
                <c:pt idx="33">
                  <c:v>24.777315542896964</c:v>
                </c:pt>
                <c:pt idx="34">
                  <c:v>24.976525819295301</c:v>
                </c:pt>
                <c:pt idx="35">
                  <c:v>25.174361850162853</c:v>
                </c:pt>
                <c:pt idx="36">
                  <c:v>25.369972740672846</c:v>
                </c:pt>
                <c:pt idx="37">
                  <c:v>25.562573378326668</c:v>
                </c:pt>
                <c:pt idx="38">
                  <c:v>25.751442910076772</c:v>
                </c:pt>
                <c:pt idx="39">
                  <c:v>25.935923231994341</c:v>
                </c:pt>
                <c:pt idx="40">
                  <c:v>26.115417491414149</c:v>
                </c:pt>
                <c:pt idx="41">
                  <c:v>26.28938860154183</c:v>
                </c:pt>
                <c:pt idx="42">
                  <c:v>26.45735776851873</c:v>
                </c:pt>
                <c:pt idx="43">
                  <c:v>26.618903030943713</c:v>
                </c:pt>
                <c:pt idx="44">
                  <c:v>26.773657811852086</c:v>
                </c:pt>
                <c:pt idx="45">
                  <c:v>26.921309483150935</c:v>
                </c:pt>
                <c:pt idx="46">
                  <c:v>27.061597942511682</c:v>
                </c:pt>
                <c:pt idx="47">
                  <c:v>27.194314202719035</c:v>
                </c:pt>
                <c:pt idx="48">
                  <c:v>27.319298993476743</c:v>
                </c:pt>
                <c:pt idx="49">
                  <c:v>27.436441375670341</c:v>
                </c:pt>
                <c:pt idx="50">
                  <c:v>27.54567736808648</c:v>
                </c:pt>
                <c:pt idx="51">
                  <c:v>27.646988586588893</c:v>
                </c:pt>
                <c:pt idx="52">
                  <c:v>27.740400895751577</c:v>
                </c:pt>
                <c:pt idx="53">
                  <c:v>27.825983072948052</c:v>
                </c:pt>
                <c:pt idx="54">
                  <c:v>27.903845484898156</c:v>
                </c:pt>
                <c:pt idx="55">
                  <c:v>27.974138776670955</c:v>
                </c:pt>
                <c:pt idx="56">
                  <c:v>28.037052573144795</c:v>
                </c:pt>
                <c:pt idx="57">
                  <c:v>28.092814192923989</c:v>
                </c:pt>
                <c:pt idx="58">
                  <c:v>28.141687374712209</c:v>
                </c:pt>
                <c:pt idx="59">
                  <c:v>28.183971016142756</c:v>
                </c:pt>
                <c:pt idx="60">
                  <c:v>28.219997925065631</c:v>
                </c:pt>
                <c:pt idx="61">
                  <c:v>28.250133583291053</c:v>
                </c:pt>
                <c:pt idx="62">
                  <c:v>28.274774922790247</c:v>
                </c:pt>
                <c:pt idx="63">
                  <c:v>28.294349114352514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D2-45BD-9807-06396747B86A}"/>
            </c:ext>
          </c:extLst>
        </c:ser>
        <c:ser>
          <c:idx val="1"/>
          <c:order val="1"/>
          <c:tx>
            <c:v>NHANES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'Fat Vol '!$B$9:$B$72</c:f>
              <c:numCache>
                <c:formatCode>General</c:formatCode>
                <c:ptCount val="6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4.5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  <c:pt idx="63">
                  <c:v>60</c:v>
                </c:pt>
              </c:numCache>
            </c:numRef>
          </c:xVal>
          <c:yVal>
            <c:numRef>
              <c:f>'Fat Vol '!$I$9:$I$72</c:f>
              <c:numCache>
                <c:formatCode>0.00</c:formatCode>
                <c:ptCount val="64"/>
                <c:pt idx="10">
                  <c:v>25</c:v>
                </c:pt>
                <c:pt idx="11">
                  <c:v>27.2</c:v>
                </c:pt>
                <c:pt idx="12">
                  <c:v>28.2</c:v>
                </c:pt>
                <c:pt idx="14">
                  <c:v>27.5</c:v>
                </c:pt>
                <c:pt idx="15">
                  <c:v>25.9</c:v>
                </c:pt>
                <c:pt idx="16">
                  <c:v>24.7</c:v>
                </c:pt>
                <c:pt idx="17">
                  <c:v>22.2</c:v>
                </c:pt>
                <c:pt idx="18">
                  <c:v>21.35</c:v>
                </c:pt>
                <c:pt idx="19">
                  <c:v>21.2</c:v>
                </c:pt>
                <c:pt idx="20">
                  <c:v>20.100000000000001</c:v>
                </c:pt>
                <c:pt idx="21">
                  <c:v>21.7</c:v>
                </c:pt>
                <c:pt idx="22">
                  <c:v>20.8</c:v>
                </c:pt>
                <c:pt idx="23">
                  <c:v>22.9</c:v>
                </c:pt>
                <c:pt idx="24">
                  <c:v>25.25</c:v>
                </c:pt>
                <c:pt idx="25">
                  <c:v>22.4</c:v>
                </c:pt>
                <c:pt idx="26">
                  <c:v>22.4</c:v>
                </c:pt>
                <c:pt idx="27">
                  <c:v>26</c:v>
                </c:pt>
                <c:pt idx="28">
                  <c:v>25.1</c:v>
                </c:pt>
                <c:pt idx="29">
                  <c:v>25.4</c:v>
                </c:pt>
                <c:pt idx="30">
                  <c:v>25</c:v>
                </c:pt>
                <c:pt idx="31">
                  <c:v>24.5</c:v>
                </c:pt>
                <c:pt idx="32">
                  <c:v>26.6</c:v>
                </c:pt>
                <c:pt idx="33">
                  <c:v>25.3</c:v>
                </c:pt>
                <c:pt idx="34">
                  <c:v>27.6</c:v>
                </c:pt>
                <c:pt idx="35">
                  <c:v>28.3</c:v>
                </c:pt>
                <c:pt idx="36">
                  <c:v>26.8</c:v>
                </c:pt>
                <c:pt idx="37">
                  <c:v>26.85</c:v>
                </c:pt>
                <c:pt idx="38">
                  <c:v>28.7</c:v>
                </c:pt>
                <c:pt idx="39">
                  <c:v>28.5</c:v>
                </c:pt>
                <c:pt idx="40">
                  <c:v>29.9</c:v>
                </c:pt>
                <c:pt idx="41">
                  <c:v>26.55</c:v>
                </c:pt>
                <c:pt idx="42">
                  <c:v>26.2</c:v>
                </c:pt>
                <c:pt idx="43">
                  <c:v>27.3</c:v>
                </c:pt>
                <c:pt idx="44">
                  <c:v>28.3</c:v>
                </c:pt>
                <c:pt idx="45">
                  <c:v>27.3</c:v>
                </c:pt>
                <c:pt idx="46">
                  <c:v>29.9</c:v>
                </c:pt>
                <c:pt idx="47">
                  <c:v>28.6</c:v>
                </c:pt>
                <c:pt idx="48">
                  <c:v>29.1</c:v>
                </c:pt>
                <c:pt idx="49">
                  <c:v>29.2</c:v>
                </c:pt>
                <c:pt idx="50">
                  <c:v>28</c:v>
                </c:pt>
                <c:pt idx="51">
                  <c:v>27.2</c:v>
                </c:pt>
                <c:pt idx="52">
                  <c:v>27</c:v>
                </c:pt>
                <c:pt idx="53">
                  <c:v>27.6</c:v>
                </c:pt>
                <c:pt idx="54">
                  <c:v>29.4</c:v>
                </c:pt>
                <c:pt idx="55">
                  <c:v>27.95</c:v>
                </c:pt>
                <c:pt idx="56">
                  <c:v>27.6</c:v>
                </c:pt>
                <c:pt idx="57">
                  <c:v>28.6</c:v>
                </c:pt>
                <c:pt idx="58">
                  <c:v>29</c:v>
                </c:pt>
                <c:pt idx="59">
                  <c:v>27.4</c:v>
                </c:pt>
                <c:pt idx="60">
                  <c:v>29.1</c:v>
                </c:pt>
                <c:pt idx="61">
                  <c:v>31.7</c:v>
                </c:pt>
                <c:pt idx="62">
                  <c:v>29.1</c:v>
                </c:pt>
                <c:pt idx="63">
                  <c:v>27.5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CD2-45BD-9807-06396747B8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9755152"/>
        <c:axId val="539755808"/>
      </c:scatterChart>
      <c:valAx>
        <c:axId val="539755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755808"/>
        <c:crosses val="autoZero"/>
        <c:crossBetween val="midCat"/>
      </c:valAx>
      <c:valAx>
        <c:axId val="539755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VFATC(% fat)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7551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VLIV (L)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'Liver Vol'!$B$15:$B$78</c:f>
              <c:numCache>
                <c:formatCode>General</c:formatCode>
                <c:ptCount val="6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4.5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  <c:pt idx="63">
                  <c:v>60</c:v>
                </c:pt>
              </c:numCache>
            </c:numRef>
          </c:xVal>
          <c:yVal>
            <c:numRef>
              <c:f>'Liver Vol'!$E$15:$E$78</c:f>
              <c:numCache>
                <c:formatCode>0.000</c:formatCode>
                <c:ptCount val="64"/>
                <c:pt idx="0">
                  <c:v>0.23059132009394534</c:v>
                </c:pt>
                <c:pt idx="1">
                  <c:v>0.28004487135201822</c:v>
                </c:pt>
                <c:pt idx="2">
                  <c:v>0.3220452379566332</c:v>
                </c:pt>
                <c:pt idx="3">
                  <c:v>0.35873207532243589</c:v>
                </c:pt>
                <c:pt idx="4">
                  <c:v>0.42147697011138369</c:v>
                </c:pt>
                <c:pt idx="5">
                  <c:v>0.47577242862590485</c:v>
                </c:pt>
                <c:pt idx="6">
                  <c:v>0.50126687923182134</c:v>
                </c:pt>
                <c:pt idx="7">
                  <c:v>0.52627356726376739</c:v>
                </c:pt>
                <c:pt idx="8">
                  <c:v>0.57632652715466126</c:v>
                </c:pt>
                <c:pt idx="9">
                  <c:v>0.62854743884439268</c:v>
                </c:pt>
                <c:pt idx="10">
                  <c:v>0.68499919412842603</c:v>
                </c:pt>
                <c:pt idx="11">
                  <c:v>0.74714083113590701</c:v>
                </c:pt>
                <c:pt idx="12">
                  <c:v>0.81564163989502314</c:v>
                </c:pt>
                <c:pt idx="13">
                  <c:v>0.85221391579069583</c:v>
                </c:pt>
                <c:pt idx="14">
                  <c:v>0.89015931557335493</c:v>
                </c:pt>
                <c:pt idx="15">
                  <c:v>0.96921339792820604</c:v>
                </c:pt>
                <c:pt idx="16">
                  <c:v>1.050287223562629</c:v>
                </c:pt>
                <c:pt idx="17">
                  <c:v>1.130218973533881</c:v>
                </c:pt>
                <c:pt idx="18">
                  <c:v>1.2058030554581338</c:v>
                </c:pt>
                <c:pt idx="19">
                  <c:v>1.274399158749381</c:v>
                </c:pt>
                <c:pt idx="20">
                  <c:v>1.3343346418761344</c:v>
                </c:pt>
                <c:pt idx="21">
                  <c:v>1.3849986495366367</c:v>
                </c:pt>
                <c:pt idx="22">
                  <c:v>1.4266744549526464</c:v>
                </c:pt>
                <c:pt idx="23">
                  <c:v>1.4602410989834831</c:v>
                </c:pt>
                <c:pt idx="24">
                  <c:v>1.4868710209054801</c:v>
                </c:pt>
                <c:pt idx="25">
                  <c:v>1.5077968349909376</c:v>
                </c:pt>
                <c:pt idx="26">
                  <c:v>1.5316772703575803</c:v>
                </c:pt>
                <c:pt idx="27">
                  <c:v>1.5418009228000844</c:v>
                </c:pt>
                <c:pt idx="28">
                  <c:v>1.5497312162012427</c:v>
                </c:pt>
                <c:pt idx="29">
                  <c:v>1.5565925916686469</c:v>
                </c:pt>
                <c:pt idx="30">
                  <c:v>1.5638677046734573</c:v>
                </c:pt>
                <c:pt idx="31">
                  <c:v>1.5707595621587975</c:v>
                </c:pt>
                <c:pt idx="32">
                  <c:v>1.5772749382777105</c:v>
                </c:pt>
                <c:pt idx="33">
                  <c:v>1.5834202999028861</c:v>
                </c:pt>
                <c:pt idx="34">
                  <c:v>1.5892018250756448</c:v>
                </c:pt>
                <c:pt idx="35">
                  <c:v>1.5946254192155305</c:v>
                </c:pt>
                <c:pt idx="36">
                  <c:v>1.5996967298992484</c:v>
                </c:pt>
                <c:pt idx="37">
                  <c:v>1.6044211604727363</c:v>
                </c:pt>
                <c:pt idx="38">
                  <c:v>1.6088038826292406</c:v>
                </c:pt>
                <c:pt idx="39">
                  <c:v>1.6128498480491977</c:v>
                </c:pt>
                <c:pt idx="40">
                  <c:v>1.6165637991826181</c:v>
                </c:pt>
                <c:pt idx="41">
                  <c:v>1.6199502792452023</c:v>
                </c:pt>
                <c:pt idx="42">
                  <c:v>1.6230136414919933</c:v>
                </c:pt>
                <c:pt idx="43">
                  <c:v>1.6257580578258961</c:v>
                </c:pt>
                <c:pt idx="44">
                  <c:v>1.6281875267927768</c:v>
                </c:pt>
                <c:pt idx="45">
                  <c:v>1.6303058810097428</c:v>
                </c:pt>
                <c:pt idx="46">
                  <c:v>1.6321167940687553</c:v>
                </c:pt>
                <c:pt idx="47">
                  <c:v>1.6336237869536245</c:v>
                </c:pt>
                <c:pt idx="48">
                  <c:v>1.6348302340048675</c:v>
                </c:pt>
                <c:pt idx="49">
                  <c:v>1.6357393684636206</c:v>
                </c:pt>
                <c:pt idx="50">
                  <c:v>1.6363542876228592</c:v>
                </c:pt>
                <c:pt idx="51">
                  <c:v>1.6366779576115336</c:v>
                </c:pt>
                <c:pt idx="52">
                  <c:v>1.6367132178348034</c:v>
                </c:pt>
                <c:pt idx="53">
                  <c:v>1.6364627850914086</c:v>
                </c:pt>
                <c:pt idx="54">
                  <c:v>1.6359292573871624</c:v>
                </c:pt>
                <c:pt idx="55">
                  <c:v>1.6351151174618028</c:v>
                </c:pt>
                <c:pt idx="56">
                  <c:v>1.6340227360447277</c:v>
                </c:pt>
                <c:pt idx="57">
                  <c:v>1.632654374853622</c:v>
                </c:pt>
                <c:pt idx="58">
                  <c:v>1.6310121893485894</c:v>
                </c:pt>
                <c:pt idx="59">
                  <c:v>1.6290982312530764</c:v>
                </c:pt>
                <c:pt idx="60">
                  <c:v>1.6269144508516766</c:v>
                </c:pt>
                <c:pt idx="61">
                  <c:v>1.6244626990737543</c:v>
                </c:pt>
                <c:pt idx="62">
                  <c:v>1.621744729370789</c:v>
                </c:pt>
                <c:pt idx="63">
                  <c:v>1.6187621993943044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BE-4606-A355-FE5B50A525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0965848"/>
        <c:axId val="850966240"/>
      </c:scatterChart>
      <c:valAx>
        <c:axId val="8509658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0966240"/>
        <c:crosses val="autoZero"/>
        <c:crossBetween val="midCat"/>
      </c:valAx>
      <c:valAx>
        <c:axId val="8509662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VLIV (L)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0965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VLIV 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'Liver Vol'!$B$15:$B$78</c:f>
              <c:numCache>
                <c:formatCode>General</c:formatCode>
                <c:ptCount val="6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4.5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  <c:pt idx="63">
                  <c:v>60</c:v>
                </c:pt>
              </c:numCache>
            </c:numRef>
          </c:xVal>
          <c:yVal>
            <c:numRef>
              <c:f>'Liver Vol'!$G$15:$G$78</c:f>
              <c:numCache>
                <c:formatCode>0.0000</c:formatCode>
                <c:ptCount val="64"/>
                <c:pt idx="0">
                  <c:v>3.2588057733734285E-2</c:v>
                </c:pt>
                <c:pt idx="1">
                  <c:v>3.0850177934569078E-2</c:v>
                </c:pt>
                <c:pt idx="2">
                  <c:v>2.9657885911486812E-2</c:v>
                </c:pt>
                <c:pt idx="3">
                  <c:v>2.8769025347316839E-2</c:v>
                </c:pt>
                <c:pt idx="4">
                  <c:v>2.7490366675556516E-2</c:v>
                </c:pt>
                <c:pt idx="5">
                  <c:v>2.656669103766943E-2</c:v>
                </c:pt>
                <c:pt idx="6">
                  <c:v>2.6178420297428198E-2</c:v>
                </c:pt>
                <c:pt idx="7">
                  <c:v>2.5821421879516433E-2</c:v>
                </c:pt>
                <c:pt idx="8">
                  <c:v>2.5168146963869011E-2</c:v>
                </c:pt>
                <c:pt idx="9">
                  <c:v>2.4559896043651965E-2</c:v>
                </c:pt>
                <c:pt idx="10">
                  <c:v>2.3971286628652368E-2</c:v>
                </c:pt>
                <c:pt idx="11">
                  <c:v>2.3391308196428581E-2</c:v>
                </c:pt>
                <c:pt idx="12">
                  <c:v>2.2819663003571522E-2</c:v>
                </c:pt>
                <c:pt idx="13">
                  <c:v>2.2539089398627726E-2</c:v>
                </c:pt>
                <c:pt idx="14">
                  <c:v>2.22638467637052E-2</c:v>
                </c:pt>
                <c:pt idx="15">
                  <c:v>2.1735915592343405E-2</c:v>
                </c:pt>
                <c:pt idx="16">
                  <c:v>2.1248953386995423E-2</c:v>
                </c:pt>
                <c:pt idx="17">
                  <c:v>2.0813874810541932E-2</c:v>
                </c:pt>
                <c:pt idx="18">
                  <c:v>2.0437294757979355E-2</c:v>
                </c:pt>
                <c:pt idx="19">
                  <c:v>2.0120833683836509E-2</c:v>
                </c:pt>
                <c:pt idx="20">
                  <c:v>1.986170052387556E-2</c:v>
                </c:pt>
                <c:pt idx="21">
                  <c:v>1.9654026862800881E-2</c:v>
                </c:pt>
                <c:pt idx="22">
                  <c:v>1.9490365528604843E-2</c:v>
                </c:pt>
                <c:pt idx="23">
                  <c:v>1.936294249600479E-2</c:v>
                </c:pt>
                <c:pt idx="24">
                  <c:v>1.9264494227459929E-2</c:v>
                </c:pt>
                <c:pt idx="25">
                  <c:v>1.918870616972566E-2</c:v>
                </c:pt>
                <c:pt idx="26">
                  <c:v>1.9224630451340454E-2</c:v>
                </c:pt>
                <c:pt idx="27">
                  <c:v>1.9145248841568624E-2</c:v>
                </c:pt>
                <c:pt idx="28">
                  <c:v>1.9083502426230525E-2</c:v>
                </c:pt>
                <c:pt idx="29">
                  <c:v>1.9030387017136049E-2</c:v>
                </c:pt>
                <c:pt idx="30">
                  <c:v>1.8974379321630312E-2</c:v>
                </c:pt>
                <c:pt idx="31">
                  <c:v>1.8921614967367866E-2</c:v>
                </c:pt>
                <c:pt idx="32">
                  <c:v>1.8871993103949134E-2</c:v>
                </c:pt>
                <c:pt idx="33">
                  <c:v>1.8825419439205428E-2</c:v>
                </c:pt>
                <c:pt idx="34">
                  <c:v>1.8781805811489784E-2</c:v>
                </c:pt>
                <c:pt idx="35">
                  <c:v>1.8741069790121835E-2</c:v>
                </c:pt>
                <c:pt idx="36">
                  <c:v>1.8703134308665822E-2</c:v>
                </c:pt>
                <c:pt idx="37">
                  <c:v>1.8667927329536461E-2</c:v>
                </c:pt>
                <c:pt idx="38">
                  <c:v>1.8635381537336834E-2</c:v>
                </c:pt>
                <c:pt idx="39">
                  <c:v>1.8605434058339369E-2</c:v>
                </c:pt>
                <c:pt idx="40">
                  <c:v>1.8578026203742302E-2</c:v>
                </c:pt>
                <c:pt idx="41">
                  <c:v>1.8553103234575461E-2</c:v>
                </c:pt>
                <c:pt idx="42">
                  <c:v>1.8530614146354658E-2</c:v>
                </c:pt>
                <c:pt idx="43">
                  <c:v>1.8510511471784091E-2</c:v>
                </c:pt>
                <c:pt idx="44">
                  <c:v>1.8492751099985622E-2</c:v>
                </c:pt>
                <c:pt idx="45">
                  <c:v>1.8477292110891667E-2</c:v>
                </c:pt>
                <c:pt idx="46">
                  <c:v>1.8464096623580419E-2</c:v>
                </c:pt>
                <c:pt idx="47">
                  <c:v>1.8453129657457438E-2</c:v>
                </c:pt>
                <c:pt idx="48">
                  <c:v>1.8444359005300573E-2</c:v>
                </c:pt>
                <c:pt idx="49">
                  <c:v>1.843775511728582E-2</c:v>
                </c:pt>
                <c:pt idx="50">
                  <c:v>1.8433290995202103E-2</c:v>
                </c:pt>
                <c:pt idx="51">
                  <c:v>1.8430942096144341E-2</c:v>
                </c:pt>
                <c:pt idx="52">
                  <c:v>1.8430686245047602E-2</c:v>
                </c:pt>
                <c:pt idx="53">
                  <c:v>1.8432503555491614E-2</c:v>
                </c:pt>
                <c:pt idx="54">
                  <c:v>1.843637635826478E-2</c:v>
                </c:pt>
                <c:pt idx="55">
                  <c:v>1.8442289137232115E-2</c:v>
                </c:pt>
                <c:pt idx="56">
                  <c:v>1.8450228472101156E-2</c:v>
                </c:pt>
                <c:pt idx="57">
                  <c:v>1.8460182987725893E-2</c:v>
                </c:pt>
                <c:pt idx="58">
                  <c:v>1.8472143309630942E-2</c:v>
                </c:pt>
                <c:pt idx="59">
                  <c:v>1.8486102025477253E-2</c:v>
                </c:pt>
                <c:pt idx="60">
                  <c:v>1.8502053652226635E-2</c:v>
                </c:pt>
                <c:pt idx="61">
                  <c:v>1.8519994608796369E-2</c:v>
                </c:pt>
                <c:pt idx="62">
                  <c:v>1.8539923194026881E-2</c:v>
                </c:pt>
                <c:pt idx="63">
                  <c:v>1.8561839569815202E-2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BE-4606-A355-FE5B50A525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0967024"/>
        <c:axId val="850967416"/>
      </c:scatterChart>
      <c:valAx>
        <c:axId val="8509670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0967416"/>
        <c:crosses val="autoZero"/>
        <c:crossBetween val="midCat"/>
      </c:valAx>
      <c:valAx>
        <c:axId val="850967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0" i="0" baseline="0">
                    <a:effectLst/>
                  </a:rPr>
                  <a:t>VLIV C</a:t>
                </a:r>
                <a:endParaRPr lang="en-US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0967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MVGUT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'Gut vol'!$B$9:$B$72</c:f>
              <c:numCache>
                <c:formatCode>General</c:formatCode>
                <c:ptCount val="6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4.5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  <c:pt idx="63">
                  <c:v>60</c:v>
                </c:pt>
              </c:numCache>
            </c:numRef>
          </c:xVal>
          <c:yVal>
            <c:numRef>
              <c:f>'Gut vol'!$F$9:$F$72</c:f>
              <c:numCache>
                <c:formatCode>0.0000</c:formatCode>
                <c:ptCount val="64"/>
                <c:pt idx="0">
                  <c:v>9.2172263554919823E-2</c:v>
                </c:pt>
                <c:pt idx="1">
                  <c:v>0.11539690008080532</c:v>
                </c:pt>
                <c:pt idx="2">
                  <c:v>0.13503724018590912</c:v>
                </c:pt>
                <c:pt idx="3">
                  <c:v>0.15245716192160763</c:v>
                </c:pt>
                <c:pt idx="4">
                  <c:v>0.18363266144242235</c:v>
                </c:pt>
                <c:pt idx="5">
                  <c:v>0.23849014865231646</c:v>
                </c:pt>
                <c:pt idx="6">
                  <c:v>0.26521513228910698</c:v>
                </c:pt>
                <c:pt idx="7">
                  <c:v>0.29157192331503556</c:v>
                </c:pt>
                <c:pt idx="8">
                  <c:v>0.34385500077149461</c:v>
                </c:pt>
                <c:pt idx="9">
                  <c:v>0.3969271240752284</c:v>
                </c:pt>
                <c:pt idx="10">
                  <c:v>0.45245326401111019</c:v>
                </c:pt>
                <c:pt idx="11">
                  <c:v>0.51184173582702386</c:v>
                </c:pt>
                <c:pt idx="12">
                  <c:v>0.57597520368579913</c:v>
                </c:pt>
                <c:pt idx="13">
                  <c:v>0.60990794925821268</c:v>
                </c:pt>
                <c:pt idx="14">
                  <c:v>0.64504680643532875</c:v>
                </c:pt>
                <c:pt idx="15">
                  <c:v>0.7187276062812642</c:v>
                </c:pt>
                <c:pt idx="16">
                  <c:v>0.79710355011046941</c:v>
                </c:pt>
                <c:pt idx="17">
                  <c:v>0.88178020540969138</c:v>
                </c:pt>
                <c:pt idx="18">
                  <c:v>0.97013573671724451</c:v>
                </c:pt>
                <c:pt idx="19">
                  <c:v>1.0482111009242501</c:v>
                </c:pt>
                <c:pt idx="20">
                  <c:v>1.1102043196325924</c:v>
                </c:pt>
                <c:pt idx="21">
                  <c:v>1.1602435077758075</c:v>
                </c:pt>
                <c:pt idx="22">
                  <c:v>1.2014073555310363</c:v>
                </c:pt>
                <c:pt idx="23">
                  <c:v>1.2287772380177693</c:v>
                </c:pt>
                <c:pt idx="24">
                  <c:v>1.247591451207354</c:v>
                </c:pt>
                <c:pt idx="25">
                  <c:v>1.266936601551051</c:v>
                </c:pt>
                <c:pt idx="26">
                  <c:v>1.2812201213863608</c:v>
                </c:pt>
                <c:pt idx="27">
                  <c:v>1.2917165624548244</c:v>
                </c:pt>
                <c:pt idx="28" formatCode="0.00">
                  <c:v>1.2994017261728845</c:v>
                </c:pt>
                <c:pt idx="29">
                  <c:v>1.3056880442780432</c:v>
                </c:pt>
                <c:pt idx="30">
                  <c:v>1.3122904459815734</c:v>
                </c:pt>
                <c:pt idx="31">
                  <c:v>1.3183053466778165</c:v>
                </c:pt>
                <c:pt idx="32">
                  <c:v>1.3237592038523986</c:v>
                </c:pt>
                <c:pt idx="33">
                  <c:v>1.3286777727909496</c:v>
                </c:pt>
                <c:pt idx="34">
                  <c:v>1.3330860243425757</c:v>
                </c:pt>
                <c:pt idx="35">
                  <c:v>1.3370080708938747</c:v>
                </c:pt>
                <c:pt idx="36">
                  <c:v>1.3404671005213071</c:v>
                </c:pt>
                <c:pt idx="37">
                  <c:v>1.343485319065794</c:v>
                </c:pt>
                <c:pt idx="38">
                  <c:v>1.3460838998213065</c:v>
                </c:pt>
                <c:pt idx="39">
                  <c:v>1.3482829405210464</c:v>
                </c:pt>
                <c:pt idx="40">
                  <c:v>1.3501014273076415</c:v>
                </c:pt>
                <c:pt idx="41">
                  <c:v>1.3515572053792777</c:v>
                </c:pt>
                <c:pt idx="42">
                  <c:v>1.352666956009841</c:v>
                </c:pt>
                <c:pt idx="43">
                  <c:v>1.3534461796473598</c:v>
                </c:pt>
                <c:pt idx="44">
                  <c:v>1.3539091848012765</c:v>
                </c:pt>
                <c:pt idx="45">
                  <c:v>1.3540690824352464</c:v>
                </c:pt>
                <c:pt idx="46">
                  <c:v>1.3539377855882959</c:v>
                </c:pt>
                <c:pt idx="47">
                  <c:v>1.3535260139532608</c:v>
                </c:pt>
                <c:pt idx="48">
                  <c:v>1.3528433031474243</c:v>
                </c:pt>
                <c:pt idx="49">
                  <c:v>1.351898018416269</c:v>
                </c:pt>
                <c:pt idx="50">
                  <c:v>1.3506973725171623</c:v>
                </c:pt>
                <c:pt idx="51">
                  <c:v>1.3492474475356757</c:v>
                </c:pt>
                <c:pt idx="52">
                  <c:v>1.3475532203930149</c:v>
                </c:pt>
                <c:pt idx="53">
                  <c:v>1.3456185918088559</c:v>
                </c:pt>
                <c:pt idx="54">
                  <c:v>1.3434464184895236</c:v>
                </c:pt>
                <c:pt idx="55">
                  <c:v>1.3410385483171527</c:v>
                </c:pt>
                <c:pt idx="56">
                  <c:v>1.3383958583210498</c:v>
                </c:pt>
                <c:pt idx="57">
                  <c:v>1.3355182952180176</c:v>
                </c:pt>
                <c:pt idx="58">
                  <c:v>1.3324049183139215</c:v>
                </c:pt>
                <c:pt idx="59">
                  <c:v>1.3290539445641854</c:v>
                </c:pt>
                <c:pt idx="60">
                  <c:v>1.3254627955963272</c:v>
                </c:pt>
                <c:pt idx="61">
                  <c:v>1.3216281465029598</c:v>
                </c:pt>
                <c:pt idx="62">
                  <c:v>1.3175459762189596</c:v>
                </c:pt>
                <c:pt idx="63">
                  <c:v>1.3132116193017696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AB-42DA-9F56-26A814853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0968200"/>
        <c:axId val="850968592"/>
      </c:scatterChart>
      <c:valAx>
        <c:axId val="850968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0968592"/>
        <c:crosses val="autoZero"/>
        <c:crossBetween val="midCat"/>
      </c:valAx>
      <c:valAx>
        <c:axId val="850968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0968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MVGUTC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'Gut vol'!$B$9:$B$72</c:f>
              <c:numCache>
                <c:formatCode>General</c:formatCode>
                <c:ptCount val="6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4.5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  <c:pt idx="63">
                  <c:v>60</c:v>
                </c:pt>
              </c:numCache>
            </c:numRef>
          </c:xVal>
          <c:yVal>
            <c:numRef>
              <c:f>'Gut vol'!$G$9:$G$72</c:f>
              <c:numCache>
                <c:formatCode>0.0000</c:formatCode>
                <c:ptCount val="64"/>
                <c:pt idx="0">
                  <c:v>1.3026140988103776E-2</c:v>
                </c:pt>
                <c:pt idx="1">
                  <c:v>1.2712301722946287E-2</c:v>
                </c:pt>
                <c:pt idx="2">
                  <c:v>1.2435889717378898E-2</c:v>
                </c:pt>
                <c:pt idx="3">
                  <c:v>1.2226517385601635E-2</c:v>
                </c:pt>
                <c:pt idx="4">
                  <c:v>1.1977236135408421E-2</c:v>
                </c:pt>
                <c:pt idx="5">
                  <c:v>1.3317068652071466E-2</c:v>
                </c:pt>
                <c:pt idx="6">
                  <c:v>1.3850731995184083E-2</c:v>
                </c:pt>
                <c:pt idx="7">
                  <c:v>1.430587076467423E-2</c:v>
                </c:pt>
                <c:pt idx="8">
                  <c:v>1.5016128506880016E-2</c:v>
                </c:pt>
                <c:pt idx="9">
                  <c:v>1.5509551549706901E-2</c:v>
                </c:pt>
                <c:pt idx="10">
                  <c:v>1.5833430127577961E-2</c:v>
                </c:pt>
                <c:pt idx="11">
                  <c:v>1.6024619846197425E-2</c:v>
                </c:pt>
                <c:pt idx="12">
                  <c:v>1.6114380879591973E-2</c:v>
                </c:pt>
                <c:pt idx="13">
                  <c:v>1.6130656327654678E-2</c:v>
                </c:pt>
                <c:pt idx="14">
                  <c:v>1.6133317938310233E-2</c:v>
                </c:pt>
                <c:pt idx="15">
                  <c:v>1.6118434410224473E-2</c:v>
                </c:pt>
                <c:pt idx="16">
                  <c:v>1.6126651644349874E-2</c:v>
                </c:pt>
                <c:pt idx="17">
                  <c:v>1.6238678730039108E-2</c:v>
                </c:pt>
                <c:pt idx="18">
                  <c:v>1.6442942250637034E-2</c:v>
                </c:pt>
                <c:pt idx="19">
                  <c:v>1.654966662716988E-2</c:v>
                </c:pt>
                <c:pt idx="20">
                  <c:v>1.6525498945190776E-2</c:v>
                </c:pt>
                <c:pt idx="21">
                  <c:v>1.6464605995713526E-2</c:v>
                </c:pt>
                <c:pt idx="22">
                  <c:v>1.6412902345568123E-2</c:v>
                </c:pt>
                <c:pt idx="23">
                  <c:v>1.6293708632567929E-2</c:v>
                </c:pt>
                <c:pt idx="24">
                  <c:v>1.6164292646833608E-2</c:v>
                </c:pt>
                <c:pt idx="25">
                  <c:v>1.6123441579568E-2</c:v>
                </c:pt>
                <c:pt idx="26">
                  <c:v>1.6081052998014444E-2</c:v>
                </c:pt>
                <c:pt idx="27">
                  <c:v>1.6039836696984416E-2</c:v>
                </c:pt>
                <c:pt idx="28">
                  <c:v>1.6000926957419115E-2</c:v>
                </c:pt>
                <c:pt idx="29">
                  <c:v>1.5962910872922866E-2</c:v>
                </c:pt>
                <c:pt idx="30">
                  <c:v>1.5921996872110739E-2</c:v>
                </c:pt>
                <c:pt idx="31">
                  <c:v>1.5880512065753236E-2</c:v>
                </c:pt>
                <c:pt idx="32">
                  <c:v>1.5838693660897497E-2</c:v>
                </c:pt>
                <c:pt idx="33">
                  <c:v>1.5796763735991638E-2</c:v>
                </c:pt>
                <c:pt idx="34">
                  <c:v>1.5754929577947985E-2</c:v>
                </c:pt>
                <c:pt idx="35">
                  <c:v>1.5713384011465804E-2</c:v>
                </c:pt>
                <c:pt idx="36">
                  <c:v>1.5672305724458702E-2</c:v>
                </c:pt>
                <c:pt idx="37">
                  <c:v>1.5631859590551401E-2</c:v>
                </c:pt>
                <c:pt idx="38">
                  <c:v>1.5592196988883878E-2</c:v>
                </c:pt>
                <c:pt idx="39">
                  <c:v>1.5553456121281188E-2</c:v>
                </c:pt>
                <c:pt idx="40">
                  <c:v>1.551576232680303E-2</c:v>
                </c:pt>
                <c:pt idx="41">
                  <c:v>1.5479228393676216E-2</c:v>
                </c:pt>
                <c:pt idx="42">
                  <c:v>1.544395486861107E-2</c:v>
                </c:pt>
                <c:pt idx="43">
                  <c:v>1.5410030363501821E-2</c:v>
                </c:pt>
                <c:pt idx="44">
                  <c:v>1.5377531859511061E-2</c:v>
                </c:pt>
                <c:pt idx="45">
                  <c:v>1.5346525008538307E-2</c:v>
                </c:pt>
                <c:pt idx="46">
                  <c:v>1.5317064432072548E-2</c:v>
                </c:pt>
                <c:pt idx="47">
                  <c:v>1.5289194017429003E-2</c:v>
                </c:pt>
                <c:pt idx="48">
                  <c:v>1.5262947211369884E-2</c:v>
                </c:pt>
                <c:pt idx="49">
                  <c:v>1.5238347311109231E-2</c:v>
                </c:pt>
                <c:pt idx="50">
                  <c:v>1.5215407752701839E-2</c:v>
                </c:pt>
                <c:pt idx="51">
                  <c:v>1.5194132396816332E-2</c:v>
                </c:pt>
                <c:pt idx="52">
                  <c:v>1.5174515811892171E-2</c:v>
                </c:pt>
                <c:pt idx="53">
                  <c:v>1.5156543554680907E-2</c:v>
                </c:pt>
                <c:pt idx="54">
                  <c:v>1.5140192448171387E-2</c:v>
                </c:pt>
                <c:pt idx="55">
                  <c:v>1.5125430856899101E-2</c:v>
                </c:pt>
                <c:pt idx="56">
                  <c:v>1.5112218959639595E-2</c:v>
                </c:pt>
                <c:pt idx="57">
                  <c:v>1.5100509019485963E-2</c:v>
                </c:pt>
                <c:pt idx="58">
                  <c:v>1.5090245651310438E-2</c:v>
                </c:pt>
                <c:pt idx="59">
                  <c:v>1.5081366086610024E-2</c:v>
                </c:pt>
                <c:pt idx="60">
                  <c:v>1.5073800435736218E-2</c:v>
                </c:pt>
                <c:pt idx="61">
                  <c:v>1.5067471947508881E-2</c:v>
                </c:pt>
                <c:pt idx="62">
                  <c:v>1.506229726621405E-2</c:v>
                </c:pt>
                <c:pt idx="63">
                  <c:v>1.5058186685985972E-2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07-44FD-B415-A2A9D95F31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0969376"/>
        <c:axId val="850969768"/>
      </c:scatterChart>
      <c:valAx>
        <c:axId val="850969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0969768"/>
        <c:crosses val="autoZero"/>
        <c:crossBetween val="midCat"/>
      </c:valAx>
      <c:valAx>
        <c:axId val="850969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0969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VRapC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'Rap perf tissue Vol'!$B$9:$B$72</c:f>
              <c:numCache>
                <c:formatCode>General</c:formatCode>
                <c:ptCount val="6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4.5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  <c:pt idx="63">
                  <c:v>60</c:v>
                </c:pt>
              </c:numCache>
            </c:numRef>
          </c:xVal>
          <c:yVal>
            <c:numRef>
              <c:f>'Rap perf tissue Vol'!$F$9:$F$72</c:f>
              <c:numCache>
                <c:formatCode>0.0000</c:formatCode>
                <c:ptCount val="64"/>
                <c:pt idx="0">
                  <c:v>3.3815862005117409E-2</c:v>
                </c:pt>
                <c:pt idx="1">
                  <c:v>3.3001135272768566E-2</c:v>
                </c:pt>
                <c:pt idx="2">
                  <c:v>3.2283569706315615E-2</c:v>
                </c:pt>
                <c:pt idx="3">
                  <c:v>3.1740039133021848E-2</c:v>
                </c:pt>
                <c:pt idx="4">
                  <c:v>3.1092905007520263E-2</c:v>
                </c:pt>
                <c:pt idx="5">
                  <c:v>3.457111022077753E-2</c:v>
                </c:pt>
                <c:pt idx="6">
                  <c:v>3.5956500259497877E-2</c:v>
                </c:pt>
                <c:pt idx="7">
                  <c:v>3.7138040505094297E-2</c:v>
                </c:pt>
                <c:pt idx="8">
                  <c:v>3.8981869603860519E-2</c:v>
                </c:pt>
                <c:pt idx="9">
                  <c:v>4.026279582303912E-2</c:v>
                </c:pt>
                <c:pt idx="10">
                  <c:v>4.1103584611192387E-2</c:v>
                </c:pt>
                <c:pt idx="11">
                  <c:v>4.159991312072852E-2</c:v>
                </c:pt>
                <c:pt idx="12">
                  <c:v>4.183293276342076E-2</c:v>
                </c:pt>
                <c:pt idx="13">
                  <c:v>4.1875183826591549E-2</c:v>
                </c:pt>
                <c:pt idx="14">
                  <c:v>4.1882093367853375E-2</c:v>
                </c:pt>
                <c:pt idx="15">
                  <c:v>4.1843455728942734E-2</c:v>
                </c:pt>
                <c:pt idx="16">
                  <c:v>4.1864787668732271E-2</c:v>
                </c:pt>
                <c:pt idx="17">
                  <c:v>4.2155609983181526E-2</c:v>
                </c:pt>
                <c:pt idx="18">
                  <c:v>4.2685878082653742E-2</c:v>
                </c:pt>
                <c:pt idx="19">
                  <c:v>4.2962934564133012E-2</c:v>
                </c:pt>
                <c:pt idx="20">
                  <c:v>4.2900195261715256E-2</c:v>
                </c:pt>
                <c:pt idx="21">
                  <c:v>4.2742117164872313E-2</c:v>
                </c:pt>
                <c:pt idx="22">
                  <c:v>4.2607894489094841E-2</c:v>
                </c:pt>
                <c:pt idx="23">
                  <c:v>4.2298467610146342E-2</c:v>
                </c:pt>
                <c:pt idx="24">
                  <c:v>4.1962503711180044E-2</c:v>
                </c:pt>
                <c:pt idx="25">
                  <c:v>4.185645434055852E-2</c:v>
                </c:pt>
                <c:pt idx="26">
                  <c:v>4.1746413582845497E-2</c:v>
                </c:pt>
                <c:pt idx="27">
                  <c:v>4.1639416065371547E-2</c:v>
                </c:pt>
                <c:pt idx="28">
                  <c:v>4.1538406381460016E-2</c:v>
                </c:pt>
                <c:pt idx="29">
                  <c:v>4.1439716626107764E-2</c:v>
                </c:pt>
                <c:pt idx="30">
                  <c:v>4.1333503879999477E-2</c:v>
                </c:pt>
                <c:pt idx="31">
                  <c:v>4.1225809322695407E-2</c:v>
                </c:pt>
                <c:pt idx="32">
                  <c:v>4.111724874368991E-2</c:v>
                </c:pt>
                <c:pt idx="33">
                  <c:v>4.1008398658634294E-2</c:v>
                </c:pt>
                <c:pt idx="34">
                  <c:v>4.0899797184352972E-2</c:v>
                </c:pt>
                <c:pt idx="35">
                  <c:v>4.0791944893765225E-2</c:v>
                </c:pt>
                <c:pt idx="36">
                  <c:v>4.0685305660694789E-2</c:v>
                </c:pt>
                <c:pt idx="37">
                  <c:v>4.0580307497071436E-2</c:v>
                </c:pt>
                <c:pt idx="38">
                  <c:v>4.0477343383142551E-2</c:v>
                </c:pt>
                <c:pt idx="39">
                  <c:v>4.0376772090845968E-2</c:v>
                </c:pt>
                <c:pt idx="40">
                  <c:v>4.0278919000380671E-2</c:v>
                </c:pt>
                <c:pt idx="41">
                  <c:v>4.0184076909983456E-2</c:v>
                </c:pt>
                <c:pt idx="42">
                  <c:v>4.0092506838914341E-2</c:v>
                </c:pt>
                <c:pt idx="43">
                  <c:v>4.0004438823650727E-2</c:v>
                </c:pt>
                <c:pt idx="44">
                  <c:v>3.9920072707290713E-2</c:v>
                </c:pt>
                <c:pt idx="45">
                  <c:v>3.9839578922165442E-2</c:v>
                </c:pt>
                <c:pt idx="46">
                  <c:v>3.9763099265660337E-2</c:v>
                </c:pt>
                <c:pt idx="47">
                  <c:v>3.9690747669245692E-2</c:v>
                </c:pt>
                <c:pt idx="48">
                  <c:v>3.9622610960716217E-2</c:v>
                </c:pt>
                <c:pt idx="49">
                  <c:v>3.9558749619639566E-2</c:v>
                </c:pt>
                <c:pt idx="50">
                  <c:v>3.9499198526013975E-2</c:v>
                </c:pt>
                <c:pt idx="51">
                  <c:v>3.9443967702135201E-2</c:v>
                </c:pt>
                <c:pt idx="52">
                  <c:v>3.9393043047672077E-2</c:v>
                </c:pt>
                <c:pt idx="53">
                  <c:v>3.9346387067951634E-2</c:v>
                </c:pt>
                <c:pt idx="54">
                  <c:v>3.9303939595452926E-2</c:v>
                </c:pt>
                <c:pt idx="55">
                  <c:v>3.9265618504510068E-2</c:v>
                </c:pt>
                <c:pt idx="56">
                  <c:v>3.9231320419224391E-2</c:v>
                </c:pt>
                <c:pt idx="57">
                  <c:v>3.920092141458556E-2</c:v>
                </c:pt>
                <c:pt idx="58">
                  <c:v>3.9174277710801897E-2</c:v>
                </c:pt>
                <c:pt idx="59">
                  <c:v>3.9151226360839619E-2</c:v>
                </c:pt>
                <c:pt idx="60">
                  <c:v>3.9131585931171227E-2</c:v>
                </c:pt>
                <c:pt idx="61">
                  <c:v>3.9115157175733058E-2</c:v>
                </c:pt>
                <c:pt idx="62">
                  <c:v>3.9101723703091673E-2</c:v>
                </c:pt>
                <c:pt idx="63">
                  <c:v>3.9091052636819584E-2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8C-40B4-99F1-7CFDA6E3F8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0970552"/>
        <c:axId val="850970944"/>
      </c:scatterChart>
      <c:valAx>
        <c:axId val="8509705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0970944"/>
        <c:crosses val="autoZero"/>
        <c:crossBetween val="midCat"/>
      </c:valAx>
      <c:valAx>
        <c:axId val="850970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09705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356965508101889E-2"/>
          <c:y val="0.13704884256611066"/>
          <c:w val="0.86455153451815137"/>
          <c:h val="0.74587110187572769"/>
        </c:manualLayout>
      </c:layout>
      <c:scatterChart>
        <c:scatterStyle val="smoothMarker"/>
        <c:varyColors val="0"/>
        <c:ser>
          <c:idx val="0"/>
          <c:order val="0"/>
          <c:tx>
            <c:v>Simulation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[1]BH!$K$18:$K$57</c:f>
              <c:numCache>
                <c:formatCode>General</c:formatCode>
                <c:ptCount val="4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</c:numCache>
            </c:numRef>
          </c:xVal>
          <c:yVal>
            <c:numRef>
              <c:f>[1]BH!$J$18:$J$57</c:f>
              <c:numCache>
                <c:formatCode>General</c:formatCode>
                <c:ptCount val="40"/>
                <c:pt idx="0">
                  <c:v>75.85595032375501</c:v>
                </c:pt>
                <c:pt idx="1">
                  <c:v>86.712818483109899</c:v>
                </c:pt>
                <c:pt idx="2">
                  <c:v>92.035927660337563</c:v>
                </c:pt>
                <c:pt idx="3">
                  <c:v>99.239880298662698</c:v>
                </c:pt>
                <c:pt idx="4">
                  <c:v>109.05978314395435</c:v>
                </c:pt>
                <c:pt idx="5">
                  <c:v>117.6396781490017</c:v>
                </c:pt>
                <c:pt idx="6">
                  <c:v>125.13637560309959</c:v>
                </c:pt>
                <c:pt idx="7">
                  <c:v>131.68740857768131</c:v>
                </c:pt>
                <c:pt idx="8">
                  <c:v>137.41473886433778</c:v>
                </c:pt>
                <c:pt idx="9">
                  <c:v>142.43106557952416</c:v>
                </c:pt>
                <c:pt idx="10">
                  <c:v>146.85574368642318</c:v>
                </c:pt>
                <c:pt idx="11">
                  <c:v>150.86298897392746</c:v>
                </c:pt>
                <c:pt idx="12">
                  <c:v>154.82472431956916</c:v>
                </c:pt>
                <c:pt idx="13">
                  <c:v>159.5976491103111</c:v>
                </c:pt>
                <c:pt idx="14">
                  <c:v>166.12905811961821</c:v>
                </c:pt>
                <c:pt idx="15">
                  <c:v>172.51148063476495</c:v>
                </c:pt>
                <c:pt idx="16">
                  <c:v>175.72060584998343</c:v>
                </c:pt>
                <c:pt idx="17">
                  <c:v>176.69275912793012</c:v>
                </c:pt>
                <c:pt idx="18">
                  <c:v>176.93008368929898</c:v>
                </c:pt>
                <c:pt idx="19">
                  <c:v>176.98432002939441</c:v>
                </c:pt>
                <c:pt idx="20">
                  <c:v>176.99649676456491</c:v>
                </c:pt>
                <c:pt idx="21">
                  <c:v>176.99921806218606</c:v>
                </c:pt>
                <c:pt idx="22">
                  <c:v>176.99982551124972</c:v>
                </c:pt>
                <c:pt idx="23">
                  <c:v>176.99996106545146</c:v>
                </c:pt>
                <c:pt idx="24">
                  <c:v>176.99999131247975</c:v>
                </c:pt>
                <c:pt idx="25">
                  <c:v>176.99999806154946</c:v>
                </c:pt>
                <c:pt idx="26">
                  <c:v>176.99999956747305</c:v>
                </c:pt>
                <c:pt idx="27">
                  <c:v>176.99999990349019</c:v>
                </c:pt>
                <c:pt idx="28">
                  <c:v>176.99999997846575</c:v>
                </c:pt>
                <c:pt idx="29">
                  <c:v>176.99999999519505</c:v>
                </c:pt>
                <c:pt idx="30">
                  <c:v>176.99999999892788</c:v>
                </c:pt>
                <c:pt idx="31">
                  <c:v>176.99999999976077</c:v>
                </c:pt>
                <c:pt idx="32">
                  <c:v>176.99999999994662</c:v>
                </c:pt>
                <c:pt idx="33">
                  <c:v>176.99999999998809</c:v>
                </c:pt>
                <c:pt idx="34">
                  <c:v>176.99999999999733</c:v>
                </c:pt>
                <c:pt idx="35">
                  <c:v>176.9999999999994</c:v>
                </c:pt>
                <c:pt idx="36">
                  <c:v>176.99999999999986</c:v>
                </c:pt>
                <c:pt idx="37">
                  <c:v>176.99999999999997</c:v>
                </c:pt>
                <c:pt idx="38">
                  <c:v>177</c:v>
                </c:pt>
                <c:pt idx="39">
                  <c:v>177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AAB-4193-9DC6-839106128E1C}"/>
            </c:ext>
          </c:extLst>
        </c:ser>
        <c:ser>
          <c:idx val="1"/>
          <c:order val="1"/>
          <c:tx>
            <c:v>NHANES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[1]BH!$K$18:$K$57</c:f>
              <c:numCache>
                <c:formatCode>General</c:formatCode>
                <c:ptCount val="4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</c:numCache>
            </c:numRef>
          </c:xVal>
          <c:yVal>
            <c:numRef>
              <c:f>[1]BH!$L$18:$L$57</c:f>
              <c:numCache>
                <c:formatCode>General</c:formatCode>
                <c:ptCount val="40"/>
                <c:pt idx="2">
                  <c:v>91.9</c:v>
                </c:pt>
                <c:pt idx="3">
                  <c:v>98.75</c:v>
                </c:pt>
                <c:pt idx="4">
                  <c:v>107.3</c:v>
                </c:pt>
                <c:pt idx="5">
                  <c:v>114.4</c:v>
                </c:pt>
                <c:pt idx="6">
                  <c:v>120.8</c:v>
                </c:pt>
                <c:pt idx="7">
                  <c:v>126.4</c:v>
                </c:pt>
                <c:pt idx="8">
                  <c:v>131.25</c:v>
                </c:pt>
                <c:pt idx="9">
                  <c:v>136.80000000000001</c:v>
                </c:pt>
                <c:pt idx="10">
                  <c:v>143.1</c:v>
                </c:pt>
                <c:pt idx="11">
                  <c:v>148.69999999999999</c:v>
                </c:pt>
                <c:pt idx="12">
                  <c:v>154.9</c:v>
                </c:pt>
                <c:pt idx="13">
                  <c:v>161.1</c:v>
                </c:pt>
                <c:pt idx="14">
                  <c:v>167.45</c:v>
                </c:pt>
                <c:pt idx="15">
                  <c:v>173.25</c:v>
                </c:pt>
                <c:pt idx="16">
                  <c:v>175.6</c:v>
                </c:pt>
                <c:pt idx="17">
                  <c:v>173.9</c:v>
                </c:pt>
                <c:pt idx="18">
                  <c:v>174.4</c:v>
                </c:pt>
                <c:pt idx="19">
                  <c:v>177.05</c:v>
                </c:pt>
                <c:pt idx="20">
                  <c:v>175.95</c:v>
                </c:pt>
                <c:pt idx="21">
                  <c:v>175.05</c:v>
                </c:pt>
                <c:pt idx="22">
                  <c:v>173.55</c:v>
                </c:pt>
                <c:pt idx="23">
                  <c:v>174.5</c:v>
                </c:pt>
                <c:pt idx="24">
                  <c:v>177.9</c:v>
                </c:pt>
                <c:pt idx="25">
                  <c:v>174.95</c:v>
                </c:pt>
                <c:pt idx="26">
                  <c:v>176.2</c:v>
                </c:pt>
                <c:pt idx="27">
                  <c:v>177.65</c:v>
                </c:pt>
                <c:pt idx="28">
                  <c:v>177.2</c:v>
                </c:pt>
                <c:pt idx="29">
                  <c:v>175.6</c:v>
                </c:pt>
                <c:pt idx="30">
                  <c:v>171.75</c:v>
                </c:pt>
                <c:pt idx="31">
                  <c:v>175.9</c:v>
                </c:pt>
                <c:pt idx="32">
                  <c:v>174.8</c:v>
                </c:pt>
                <c:pt idx="33">
                  <c:v>174.8</c:v>
                </c:pt>
                <c:pt idx="34">
                  <c:v>176.7</c:v>
                </c:pt>
                <c:pt idx="35">
                  <c:v>176.3</c:v>
                </c:pt>
                <c:pt idx="36">
                  <c:v>176.05</c:v>
                </c:pt>
                <c:pt idx="37">
                  <c:v>175.9</c:v>
                </c:pt>
                <c:pt idx="38">
                  <c:v>176.8</c:v>
                </c:pt>
                <c:pt idx="39">
                  <c:v>174.4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AAB-4193-9DC6-839106128E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4735080"/>
        <c:axId val="754735472"/>
      </c:scatterChart>
      <c:valAx>
        <c:axId val="754735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Age (years)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54735472"/>
        <c:crosses val="autoZero"/>
        <c:crossBetween val="midCat"/>
      </c:valAx>
      <c:valAx>
        <c:axId val="754735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BH (cm)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547350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2497431775039642"/>
          <c:y val="5.366932510480199E-2"/>
          <c:w val="0.37543998307345694"/>
          <c:h val="4.51108762091696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VRap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'Rap perf tissue Vol'!$B$9:$B$72</c:f>
              <c:numCache>
                <c:formatCode>General</c:formatCode>
                <c:ptCount val="6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4.5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  <c:pt idx="63">
                  <c:v>60</c:v>
                </c:pt>
              </c:numCache>
            </c:numRef>
          </c:xVal>
          <c:yVal>
            <c:numRef>
              <c:f>'Rap perf tissue Vol'!$E$9:$E$72</c:f>
              <c:numCache>
                <c:formatCode>0.0000</c:formatCode>
                <c:ptCount val="64"/>
                <c:pt idx="0">
                  <c:v>0.23927919618857188</c:v>
                </c:pt>
                <c:pt idx="1">
                  <c:v>0.29957035260977061</c:v>
                </c:pt>
                <c:pt idx="2">
                  <c:v>0.3505566755226201</c:v>
                </c:pt>
                <c:pt idx="3">
                  <c:v>0.39577879234849345</c:v>
                </c:pt>
                <c:pt idx="4">
                  <c:v>0.47671038910452845</c:v>
                </c:pt>
                <c:pt idx="5">
                  <c:v>0.61912042590141358</c:v>
                </c:pt>
                <c:pt idx="6">
                  <c:v>0.68849848342252173</c:v>
                </c:pt>
                <c:pt idx="7">
                  <c:v>0.7569207129258323</c:v>
                </c:pt>
                <c:pt idx="8">
                  <c:v>0.89264758200280003</c:v>
                </c:pt>
                <c:pt idx="9">
                  <c:v>1.030422814099293</c:v>
                </c:pt>
                <c:pt idx="10">
                  <c:v>1.174568673372842</c:v>
                </c:pt>
                <c:pt idx="11">
                  <c:v>1.328741146206954</c:v>
                </c:pt>
                <c:pt idx="12">
                  <c:v>1.4952316287683345</c:v>
                </c:pt>
                <c:pt idx="13">
                  <c:v>1.5833210362743202</c:v>
                </c:pt>
                <c:pt idx="14">
                  <c:v>1.6745415095061136</c:v>
                </c:pt>
                <c:pt idx="15">
                  <c:v>1.865816865906162</c:v>
                </c:pt>
                <c:pt idx="16">
                  <c:v>2.0692808160867786</c:v>
                </c:pt>
                <c:pt idx="17">
                  <c:v>2.289101413243559</c:v>
                </c:pt>
                <c:pt idx="18">
                  <c:v>2.5184723725179667</c:v>
                </c:pt>
                <c:pt idx="19">
                  <c:v>2.7211560179993532</c:v>
                </c:pt>
                <c:pt idx="20">
                  <c:v>2.88209041376621</c:v>
                </c:pt>
                <c:pt idx="21">
                  <c:v>3.0119921461859964</c:v>
                </c:pt>
                <c:pt idx="22">
                  <c:v>3.1188534949585702</c:v>
                </c:pt>
                <c:pt idx="23">
                  <c:v>3.1899057098941292</c:v>
                </c:pt>
                <c:pt idx="24">
                  <c:v>3.2387474073342912</c:v>
                </c:pt>
                <c:pt idx="25">
                  <c:v>3.2889674176265284</c:v>
                </c:pt>
                <c:pt idx="26">
                  <c:v>3.3260474351189928</c:v>
                </c:pt>
                <c:pt idx="27">
                  <c:v>3.3532961961327241</c:v>
                </c:pt>
                <c:pt idx="28">
                  <c:v>3.3732468811448082</c:v>
                </c:pt>
                <c:pt idx="29">
                  <c:v>3.3895661629458003</c:v>
                </c:pt>
                <c:pt idx="30">
                  <c:v>3.4067059977681646</c:v>
                </c:pt>
                <c:pt idx="31">
                  <c:v>3.4223206799756118</c:v>
                </c:pt>
                <c:pt idx="32">
                  <c:v>3.4364788932008272</c:v>
                </c:pt>
                <c:pt idx="33">
                  <c:v>3.4492474981653052</c:v>
                </c:pt>
                <c:pt idx="34">
                  <c:v>3.4606913191933266</c:v>
                </c:pt>
                <c:pt idx="35">
                  <c:v>3.4708729520404988</c:v>
                </c:pt>
                <c:pt idx="36">
                  <c:v>3.4798525929533133</c:v>
                </c:pt>
                <c:pt idx="37">
                  <c:v>3.4876878882948015</c:v>
                </c:pt>
                <c:pt idx="38">
                  <c:v>3.4944338039361118</c:v>
                </c:pt>
                <c:pt idx="39">
                  <c:v>3.5001425135926363</c:v>
                </c:pt>
                <c:pt idx="40">
                  <c:v>3.5048633052906375</c:v>
                </c:pt>
                <c:pt idx="41">
                  <c:v>3.5086425051646049</c:v>
                </c:pt>
                <c:pt idx="42">
                  <c:v>3.5115234178015475</c:v>
                </c:pt>
                <c:pt idx="43">
                  <c:v>3.5135462823645462</c:v>
                </c:pt>
                <c:pt idx="44">
                  <c:v>3.5147482437441142</c:v>
                </c:pt>
                <c:pt idx="45">
                  <c:v>3.5151633380018996</c:v>
                </c:pt>
                <c:pt idx="46">
                  <c:v>3.5148224913872164</c:v>
                </c:pt>
                <c:pt idx="47">
                  <c:v>3.513753532222665</c:v>
                </c:pt>
                <c:pt idx="48">
                  <c:v>3.5119812149707137</c:v>
                </c:pt>
                <c:pt idx="49">
                  <c:v>3.5095272558086346</c:v>
                </c:pt>
                <c:pt idx="50">
                  <c:v>3.5064103790545533</c:v>
                </c:pt>
                <c:pt idx="51">
                  <c:v>3.5026463738026141</c:v>
                </c:pt>
                <c:pt idx="52">
                  <c:v>3.4982481601402671</c:v>
                </c:pt>
                <c:pt idx="53">
                  <c:v>3.4932258643357899</c:v>
                </c:pt>
                <c:pt idx="54">
                  <c:v>3.4875869023988035</c:v>
                </c:pt>
                <c:pt idx="55">
                  <c:v>3.4813360714313286</c:v>
                </c:pt>
                <c:pt idx="56">
                  <c:v>3.4744756482014454</c:v>
                </c:pt>
                <c:pt idx="57">
                  <c:v>3.4670054943859738</c:v>
                </c:pt>
                <c:pt idx="58">
                  <c:v>3.4589231679429404</c:v>
                </c:pt>
                <c:pt idx="59">
                  <c:v>3.4502240400886253</c:v>
                </c:pt>
                <c:pt idx="60">
                  <c:v>3.4409014173680657</c:v>
                </c:pt>
                <c:pt idx="61">
                  <c:v>3.4309466683216838</c:v>
                </c:pt>
                <c:pt idx="62">
                  <c:v>3.4203493542644194</c:v>
                </c:pt>
                <c:pt idx="63">
                  <c:v>3.409097363707394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1D-47D4-927F-AED0A979D5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6269648"/>
        <c:axId val="846270040"/>
      </c:scatterChart>
      <c:valAx>
        <c:axId val="846269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6270040"/>
        <c:crosses val="autoZero"/>
        <c:crossBetween val="midCat"/>
      </c:valAx>
      <c:valAx>
        <c:axId val="846270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6269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VPLAS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'Plasma Vol'!$B$9:$B$72</c:f>
              <c:numCache>
                <c:formatCode>General</c:formatCode>
                <c:ptCount val="6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4.5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  <c:pt idx="63">
                  <c:v>60</c:v>
                </c:pt>
              </c:numCache>
            </c:numRef>
          </c:xVal>
          <c:yVal>
            <c:numRef>
              <c:f>'Plasma Vol'!$E$9:$E$72</c:f>
              <c:numCache>
                <c:formatCode>0.00</c:formatCode>
                <c:ptCount val="64"/>
                <c:pt idx="0">
                  <c:v>0.41005450782742564</c:v>
                </c:pt>
                <c:pt idx="1">
                  <c:v>0.49949480219677278</c:v>
                </c:pt>
                <c:pt idx="2">
                  <c:v>0.57304615022922412</c:v>
                </c:pt>
                <c:pt idx="3">
                  <c:v>0.65151117925502189</c:v>
                </c:pt>
                <c:pt idx="4">
                  <c:v>0.74934737038406884</c:v>
                </c:pt>
                <c:pt idx="5">
                  <c:v>0.86192992699230819</c:v>
                </c:pt>
                <c:pt idx="6">
                  <c:v>0.91436241200619772</c:v>
                </c:pt>
                <c:pt idx="7">
                  <c:v>0.96508441035585968</c:v>
                </c:pt>
                <c:pt idx="8">
                  <c:v>1.0636432883192659</c:v>
                </c:pt>
                <c:pt idx="9">
                  <c:v>1.1616209880059951</c:v>
                </c:pt>
                <c:pt idx="10">
                  <c:v>1.262237407859905</c:v>
                </c:pt>
                <c:pt idx="11">
                  <c:v>1.3677459390289455</c:v>
                </c:pt>
                <c:pt idx="12">
                  <c:v>1.4791834058509583</c:v>
                </c:pt>
                <c:pt idx="13">
                  <c:v>1.5370799548805198</c:v>
                </c:pt>
                <c:pt idx="14">
                  <c:v>1.5962562620415239</c:v>
                </c:pt>
                <c:pt idx="15">
                  <c:v>1.7177953294070198</c:v>
                </c:pt>
                <c:pt idx="16">
                  <c:v>1.8435169225141625</c:v>
                </c:pt>
                <c:pt idx="17">
                  <c:v>1.9761646903894492</c:v>
                </c:pt>
                <c:pt idx="18">
                  <c:v>2.11184475937003</c:v>
                </c:pt>
                <c:pt idx="19">
                  <c:v>2.2256584354262818</c:v>
                </c:pt>
                <c:pt idx="20">
                  <c:v>2.307658532561208</c:v>
                </c:pt>
                <c:pt idx="21">
                  <c:v>2.3676419794437895</c:v>
                </c:pt>
                <c:pt idx="22">
                  <c:v>2.4127297890268222</c:v>
                </c:pt>
                <c:pt idx="23">
                  <c:v>2.4464144447407463</c:v>
                </c:pt>
                <c:pt idx="24">
                  <c:v>2.4710483966108212</c:v>
                </c:pt>
                <c:pt idx="25">
                  <c:v>2.4885988516426578</c:v>
                </c:pt>
                <c:pt idx="26">
                  <c:v>2.5007502769796854</c:v>
                </c:pt>
                <c:pt idx="27">
                  <c:v>2.5088994883484435</c:v>
                </c:pt>
                <c:pt idx="28">
                  <c:v>2.514164348224416</c:v>
                </c:pt>
                <c:pt idx="29">
                  <c:v>2.5183975261352698</c:v>
                </c:pt>
                <c:pt idx="30">
                  <c:v>2.5240203708931781</c:v>
                </c:pt>
                <c:pt idx="31">
                  <c:v>2.529704365599367</c:v>
                </c:pt>
                <c:pt idx="32">
                  <c:v>2.5354421157988116</c:v>
                </c:pt>
                <c:pt idx="33">
                  <c:v>2.5412242065042787</c:v>
                </c:pt>
                <c:pt idx="34">
                  <c:v>2.5470393274716634</c:v>
                </c:pt>
                <c:pt idx="35">
                  <c:v>2.5528743915598722</c:v>
                </c:pt>
                <c:pt idx="36">
                  <c:v>2.558714647719309</c:v>
                </c:pt>
                <c:pt idx="37">
                  <c:v>2.5645437892366938</c:v>
                </c:pt>
                <c:pt idx="38">
                  <c:v>2.5703440576325507</c:v>
                </c:pt>
                <c:pt idx="39">
                  <c:v>2.5760963425328933</c:v>
                </c:pt>
                <c:pt idx="40">
                  <c:v>2.5817802777990373</c:v>
                </c:pt>
                <c:pt idx="41">
                  <c:v>2.5873743341725368</c:v>
                </c:pt>
                <c:pt idx="42">
                  <c:v>2.592855908669855</c:v>
                </c:pt>
                <c:pt idx="43">
                  <c:v>2.5982014109412583</c:v>
                </c:pt>
                <c:pt idx="44">
                  <c:v>2.6033863467910452</c:v>
                </c:pt>
                <c:pt idx="45">
                  <c:v>2.6083853990400416</c:v>
                </c:pt>
                <c:pt idx="46">
                  <c:v>2.6131725058972228</c:v>
                </c:pt>
                <c:pt idx="47">
                  <c:v>2.6177209369943699</c:v>
                </c:pt>
                <c:pt idx="48">
                  <c:v>2.6220033672260596</c:v>
                </c:pt>
                <c:pt idx="49">
                  <c:v>2.6259919485270187</c:v>
                </c:pt>
                <c:pt idx="50">
                  <c:v>2.6296583797090798</c:v>
                </c:pt>
                <c:pt idx="51">
                  <c:v>2.6329739744718421</c:v>
                </c:pt>
                <c:pt idx="52">
                  <c:v>2.635909727693055</c:v>
                </c:pt>
                <c:pt idx="53">
                  <c:v>2.6384363800979749</c:v>
                </c:pt>
                <c:pt idx="54">
                  <c:v>2.6405244814004614</c:v>
                </c:pt>
                <c:pt idx="55">
                  <c:v>2.6421444520029671</c:v>
                </c:pt>
                <c:pt idx="56">
                  <c:v>2.6432666433371756</c:v>
                </c:pt>
                <c:pt idx="57">
                  <c:v>2.643861396922579</c:v>
                </c:pt>
                <c:pt idx="58">
                  <c:v>2.6438991022157889</c:v>
                </c:pt>
                <c:pt idx="59">
                  <c:v>2.6433502533196607</c:v>
                </c:pt>
                <c:pt idx="60">
                  <c:v>2.6421855046178324</c:v>
                </c:pt>
                <c:pt idx="61">
                  <c:v>2.6403757253970195</c:v>
                </c:pt>
                <c:pt idx="62">
                  <c:v>2.6378920535168588</c:v>
                </c:pt>
                <c:pt idx="63">
                  <c:v>2.6347059481842794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DCC-46F6-96F6-8E64B7220A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6270432"/>
        <c:axId val="846271216"/>
      </c:scatterChart>
      <c:valAx>
        <c:axId val="8462704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6271216"/>
        <c:crosses val="autoZero"/>
        <c:crossBetween val="midCat"/>
      </c:valAx>
      <c:valAx>
        <c:axId val="8462712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VPLAS (L)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6270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VPLASC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'Plasma Vol'!$B$9:$B$72</c:f>
              <c:numCache>
                <c:formatCode>General</c:formatCode>
                <c:ptCount val="6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4.5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  <c:pt idx="63">
                  <c:v>60</c:v>
                </c:pt>
              </c:numCache>
            </c:numRef>
          </c:xVal>
          <c:yVal>
            <c:numRef>
              <c:f>'Plasma Vol'!$G$9:$G$72</c:f>
              <c:numCache>
                <c:formatCode>0.0000</c:formatCode>
                <c:ptCount val="64"/>
                <c:pt idx="0">
                  <c:v>5.7950489938710457E-2</c:v>
                </c:pt>
                <c:pt idx="1">
                  <c:v>5.5025123119619566E-2</c:v>
                </c:pt>
                <c:pt idx="2">
                  <c:v>5.2773136635554482E-2</c:v>
                </c:pt>
                <c:pt idx="3">
                  <c:v>5.2248859021600182E-2</c:v>
                </c:pt>
                <c:pt idx="4">
                  <c:v>4.8875348927791232E-2</c:v>
                </c:pt>
                <c:pt idx="5">
                  <c:v>4.8129367505931255E-2</c:v>
                </c:pt>
                <c:pt idx="6">
                  <c:v>4.7752134675944725E-2</c:v>
                </c:pt>
                <c:pt idx="7">
                  <c:v>4.7351516890175152E-2</c:v>
                </c:pt>
                <c:pt idx="8">
                  <c:v>4.6449242462803179E-2</c:v>
                </c:pt>
                <c:pt idx="9">
                  <c:v>4.5389240245738115E-2</c:v>
                </c:pt>
                <c:pt idx="10">
                  <c:v>4.4171518677063135E-2</c:v>
                </c:pt>
                <c:pt idx="11">
                  <c:v>4.2821065936925078E-2</c:v>
                </c:pt>
                <c:pt idx="12">
                  <c:v>4.1383942642185839E-2</c:v>
                </c:pt>
                <c:pt idx="13">
                  <c:v>4.065221404387321E-2</c:v>
                </c:pt>
                <c:pt idx="14">
                  <c:v>3.9924094700740917E-2</c:v>
                </c:pt>
                <c:pt idx="15">
                  <c:v>3.8523873446989328E-2</c:v>
                </c:pt>
                <c:pt idx="16">
                  <c:v>3.7297230962940305E-2</c:v>
                </c:pt>
                <c:pt idx="17">
                  <c:v>3.6392633139197904E-2</c:v>
                </c:pt>
                <c:pt idx="18">
                  <c:v>3.5793899870274329E-2</c:v>
                </c:pt>
                <c:pt idx="19">
                  <c:v>3.5139777760200712E-2</c:v>
                </c:pt>
                <c:pt idx="20">
                  <c:v>3.4349721012003523E-2</c:v>
                </c:pt>
                <c:pt idx="21">
                  <c:v>3.3598371435994936E-2</c:v>
                </c:pt>
                <c:pt idx="22">
                  <c:v>3.296125850339645E-2</c:v>
                </c:pt>
                <c:pt idx="23">
                  <c:v>3.2439699339983009E-2</c:v>
                </c:pt>
                <c:pt idx="24">
                  <c:v>3.2015889006494679E-2</c:v>
                </c:pt>
                <c:pt idx="25">
                  <c:v>3.1670707240060408E-2</c:v>
                </c:pt>
                <c:pt idx="26">
                  <c:v>3.1387813122537279E-2</c:v>
                </c:pt>
                <c:pt idx="27">
                  <c:v>3.1154155061524344E-2</c:v>
                </c:pt>
                <c:pt idx="28">
                  <c:v>3.0959601857211694E-2</c:v>
                </c:pt>
                <c:pt idx="29">
                  <c:v>3.0789096544508184E-2</c:v>
                </c:pt>
                <c:pt idx="30">
                  <c:v>3.062389471291576E-2</c:v>
                </c:pt>
                <c:pt idx="31">
                  <c:v>3.0473213813421142E-2</c:v>
                </c:pt>
                <c:pt idx="32">
                  <c:v>3.0336401703729247E-2</c:v>
                </c:pt>
                <c:pt idx="33">
                  <c:v>3.0212832044302529E-2</c:v>
                </c:pt>
                <c:pt idx="34">
                  <c:v>3.0101902280739744E-2</c:v>
                </c:pt>
                <c:pt idx="35">
                  <c:v>3.0003031784840636E-2</c:v>
                </c:pt>
                <c:pt idx="36">
                  <c:v>2.9915660149445227E-2</c:v>
                </c:pt>
                <c:pt idx="37">
                  <c:v>2.9839245623498621E-2</c:v>
                </c:pt>
                <c:pt idx="38">
                  <c:v>2.9773263673337238E-2</c:v>
                </c:pt>
                <c:pt idx="39">
                  <c:v>2.9717205657363188E-2</c:v>
                </c:pt>
                <c:pt idx="40">
                  <c:v>2.9670577602633304E-2</c:v>
                </c:pt>
                <c:pt idx="41">
                  <c:v>2.9632899073149869E-2</c:v>
                </c:pt>
                <c:pt idx="42">
                  <c:v>2.9603702120758732E-2</c:v>
                </c:pt>
                <c:pt idx="43">
                  <c:v>2.9582530310536655E-2</c:v>
                </c:pt>
                <c:pt idx="44">
                  <c:v>2.9568937813411356E-2</c:v>
                </c:pt>
                <c:pt idx="45">
                  <c:v>2.9562488559507043E-2</c:v>
                </c:pt>
                <c:pt idx="46">
                  <c:v>2.9562755446371262E-2</c:v>
                </c:pt>
                <c:pt idx="47">
                  <c:v>2.9569319596819372E-2</c:v>
                </c:pt>
                <c:pt idx="48">
                  <c:v>2.9581769661644518E-2</c:v>
                </c:pt>
                <c:pt idx="49">
                  <c:v>2.959970116289478E-2</c:v>
                </c:pt>
                <c:pt idx="50">
                  <c:v>2.9622715873813914E-2</c:v>
                </c:pt>
                <c:pt idx="51">
                  <c:v>2.965042123189866E-2</c:v>
                </c:pt>
                <c:pt idx="52">
                  <c:v>2.9682429781833039E-2</c:v>
                </c:pt>
                <c:pt idx="53">
                  <c:v>2.9718358645337499E-2</c:v>
                </c:pt>
                <c:pt idx="54">
                  <c:v>2.9757829015212556E-2</c:v>
                </c:pt>
                <c:pt idx="55">
                  <c:v>2.9800465671072671E-2</c:v>
                </c:pt>
                <c:pt idx="56">
                  <c:v>2.9845896514453317E-2</c:v>
                </c:pt>
                <c:pt idx="57">
                  <c:v>2.9893752121143948E-2</c:v>
                </c:pt>
                <c:pt idx="58">
                  <c:v>2.9943665308743192E-2</c:v>
                </c:pt>
                <c:pt idx="59">
                  <c:v>2.9995270717562576E-2</c:v>
                </c:pt>
                <c:pt idx="60">
                  <c:v>3.004820440311615E-2</c:v>
                </c:pt>
                <c:pt idx="61">
                  <c:v>3.0102103438528659E-2</c:v>
                </c:pt>
                <c:pt idx="62">
                  <c:v>3.0156605525279725E-2</c:v>
                </c:pt>
                <c:pt idx="63">
                  <c:v>3.0211348610767734E-2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DCC-46F6-96F6-8E64B7220A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6272000"/>
        <c:axId val="846272392"/>
      </c:scatterChart>
      <c:valAx>
        <c:axId val="8462720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6272392"/>
        <c:crosses val="autoZero"/>
        <c:crossBetween val="midCat"/>
      </c:valAx>
      <c:valAx>
        <c:axId val="8462723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0" i="0" baseline="0">
                    <a:effectLst/>
                  </a:rPr>
                  <a:t>VPLASC</a:t>
                </a:r>
                <a:endParaRPr lang="en-US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6272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QCP (L/h)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QC!$B$10:$B$72</c:f>
              <c:numCache>
                <c:formatCode>General</c:formatCode>
                <c:ptCount val="6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4.5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</c:numCache>
            </c:numRef>
          </c:xVal>
          <c:yVal>
            <c:numRef>
              <c:f>QC!$G$10:$G$72</c:f>
              <c:numCache>
                <c:formatCode>0.00</c:formatCode>
                <c:ptCount val="63"/>
                <c:pt idx="0">
                  <c:v>53.831141676161266</c:v>
                </c:pt>
                <c:pt idx="1">
                  <c:v>63.380661538063698</c:v>
                </c:pt>
                <c:pt idx="2">
                  <c:v>71.012511472657152</c:v>
                </c:pt>
                <c:pt idx="3">
                  <c:v>79.306671182823663</c:v>
                </c:pt>
                <c:pt idx="4">
                  <c:v>88.871580679028682</c:v>
                </c:pt>
                <c:pt idx="5">
                  <c:v>99.601784270773265</c:v>
                </c:pt>
                <c:pt idx="6">
                  <c:v>104.49610825639985</c:v>
                </c:pt>
                <c:pt idx="7">
                  <c:v>109.17415101385284</c:v>
                </c:pt>
                <c:pt idx="8">
                  <c:v>118.11939252666471</c:v>
                </c:pt>
                <c:pt idx="9">
                  <c:v>126.84460048220875</c:v>
                </c:pt>
                <c:pt idx="10">
                  <c:v>135.65555680838523</c:v>
                </c:pt>
                <c:pt idx="11">
                  <c:v>144.75343942670185</c:v>
                </c:pt>
                <c:pt idx="12">
                  <c:v>154.2224206529134</c:v>
                </c:pt>
                <c:pt idx="13">
                  <c:v>159.0894451651003</c:v>
                </c:pt>
                <c:pt idx="14">
                  <c:v>164.02891270496642</c:v>
                </c:pt>
                <c:pt idx="15">
                  <c:v>174.06810970101117</c:v>
                </c:pt>
                <c:pt idx="16">
                  <c:v>184.31439944245017</c:v>
                </c:pt>
                <c:pt idx="17">
                  <c:v>194.99086929943499</c:v>
                </c:pt>
                <c:pt idx="18">
                  <c:v>205.77417499532027</c:v>
                </c:pt>
                <c:pt idx="19">
                  <c:v>214.68138649493855</c:v>
                </c:pt>
                <c:pt idx="20">
                  <c:v>220.98498338086458</c:v>
                </c:pt>
                <c:pt idx="21">
                  <c:v>225.51590370162751</c:v>
                </c:pt>
                <c:pt idx="22">
                  <c:v>228.86286112621855</c:v>
                </c:pt>
                <c:pt idx="23">
                  <c:v>231.31445125893075</c:v>
                </c:pt>
                <c:pt idx="24">
                  <c:v>233.0632589862274</c:v>
                </c:pt>
                <c:pt idx="25">
                  <c:v>234.26792592277934</c:v>
                </c:pt>
                <c:pt idx="26">
                  <c:v>235.06261378617052</c:v>
                </c:pt>
                <c:pt idx="27">
                  <c:v>235.55755499029567</c:v>
                </c:pt>
                <c:pt idx="28">
                  <c:v>235.84034830968122</c:v>
                </c:pt>
                <c:pt idx="29">
                  <c:v>236.05500987906257</c:v>
                </c:pt>
                <c:pt idx="30">
                  <c:v>236.38908054246249</c:v>
                </c:pt>
                <c:pt idx="31">
                  <c:v>236.7390436986289</c:v>
                </c:pt>
                <c:pt idx="32">
                  <c:v>237.10394747664529</c:v>
                </c:pt>
                <c:pt idx="33">
                  <c:v>237.48267236484853</c:v>
                </c:pt>
                <c:pt idx="34">
                  <c:v>237.87394193966907</c:v>
                </c:pt>
                <c:pt idx="35">
                  <c:v>238.27633294394644</c:v>
                </c:pt>
                <c:pt idx="36">
                  <c:v>238.68828484641506</c:v>
                </c:pt>
                <c:pt idx="37">
                  <c:v>239.10810894156009</c:v>
                </c:pt>
                <c:pt idx="38">
                  <c:v>239.53399702998493</c:v>
                </c:pt>
                <c:pt idx="39">
                  <c:v>239.96402971264283</c:v>
                </c:pt>
                <c:pt idx="40">
                  <c:v>240.3961843285241</c:v>
                </c:pt>
                <c:pt idx="41">
                  <c:v>240.82834256254671</c:v>
                </c:pt>
                <c:pt idx="42">
                  <c:v>241.25829774798879</c:v>
                </c:pt>
                <c:pt idx="43">
                  <c:v>241.683761885667</c:v>
                </c:pt>
                <c:pt idx="44">
                  <c:v>242.10237240017918</c:v>
                </c:pt>
                <c:pt idx="45">
                  <c:v>242.51169865182382</c:v>
                </c:pt>
                <c:pt idx="46">
                  <c:v>242.90924822130032</c:v>
                </c:pt>
                <c:pt idx="47">
                  <c:v>243.29247298292179</c:v>
                </c:pt>
                <c:pt idx="48">
                  <c:v>243.6587749808559</c:v>
                </c:pt>
                <c:pt idx="49">
                  <c:v>244.00551212180008</c:v>
                </c:pt>
                <c:pt idx="50">
                  <c:v>244.33000369651035</c:v>
                </c:pt>
                <c:pt idx="51">
                  <c:v>244.62953574170567</c:v>
                </c:pt>
                <c:pt idx="52">
                  <c:v>244.90136625306206</c:v>
                </c:pt>
                <c:pt idx="53">
                  <c:v>245.14273025928878</c:v>
                </c:pt>
                <c:pt idx="54">
                  <c:v>245.35084476661123</c:v>
                </c:pt>
                <c:pt idx="55">
                  <c:v>245.52291358240421</c:v>
                </c:pt>
                <c:pt idx="56">
                  <c:v>245.65613202617487</c:v>
                </c:pt>
                <c:pt idx="57">
                  <c:v>245.74769153561539</c:v>
                </c:pt>
                <c:pt idx="58">
                  <c:v>245.79478417501369</c:v>
                </c:pt>
                <c:pt idx="59">
                  <c:v>245.7946070529147</c:v>
                </c:pt>
                <c:pt idx="60">
                  <c:v>245.74436665557835</c:v>
                </c:pt>
                <c:pt idx="61">
                  <c:v>245.6412831024648</c:v>
                </c:pt>
                <c:pt idx="62">
                  <c:v>245.4825943296986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20-4D6F-A316-55E66B36C7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6274352"/>
        <c:axId val="846274744"/>
      </c:scatterChart>
      <c:valAx>
        <c:axId val="846274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6274744"/>
        <c:crosses val="autoZero"/>
        <c:crossBetween val="midCat"/>
      </c:valAx>
      <c:valAx>
        <c:axId val="8462747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QC (L/h)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62743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QBRN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'Brain flow'!$E$8:$E$70</c:f>
              <c:numCache>
                <c:formatCode>0.000</c:formatCode>
                <c:ptCount val="63"/>
                <c:pt idx="0" formatCode="General">
                  <c:v>0.01</c:v>
                </c:pt>
                <c:pt idx="1">
                  <c:v>0.5</c:v>
                </c:pt>
                <c:pt idx="2" formatCode="0">
                  <c:v>1</c:v>
                </c:pt>
                <c:pt idx="3" formatCode="0.0">
                  <c:v>1.5</c:v>
                </c:pt>
                <c:pt idx="4" formatCode="0.0">
                  <c:v>2</c:v>
                </c:pt>
                <c:pt idx="5" formatCode="0.0">
                  <c:v>3</c:v>
                </c:pt>
                <c:pt idx="6" formatCode="0.0">
                  <c:v>4</c:v>
                </c:pt>
                <c:pt idx="7" formatCode="0.0">
                  <c:v>4.5</c:v>
                </c:pt>
                <c:pt idx="8" formatCode="0.0">
                  <c:v>5</c:v>
                </c:pt>
                <c:pt idx="9" formatCode="0.0">
                  <c:v>6</c:v>
                </c:pt>
                <c:pt idx="10" formatCode="0.0">
                  <c:v>7</c:v>
                </c:pt>
                <c:pt idx="11" formatCode="0.0">
                  <c:v>8</c:v>
                </c:pt>
                <c:pt idx="12" formatCode="0.0">
                  <c:v>9</c:v>
                </c:pt>
                <c:pt idx="13" formatCode="0.0">
                  <c:v>10</c:v>
                </c:pt>
                <c:pt idx="14" formatCode="0.0">
                  <c:v>10.5</c:v>
                </c:pt>
                <c:pt idx="15" formatCode="0.0">
                  <c:v>11</c:v>
                </c:pt>
                <c:pt idx="16" formatCode="0">
                  <c:v>12</c:v>
                </c:pt>
                <c:pt idx="17" formatCode="0">
                  <c:v>13</c:v>
                </c:pt>
                <c:pt idx="18" formatCode="0">
                  <c:v>14</c:v>
                </c:pt>
                <c:pt idx="19" formatCode="0">
                  <c:v>15</c:v>
                </c:pt>
                <c:pt idx="20" formatCode="0">
                  <c:v>16</c:v>
                </c:pt>
                <c:pt idx="21" formatCode="0">
                  <c:v>17</c:v>
                </c:pt>
                <c:pt idx="22" formatCode="0">
                  <c:v>18</c:v>
                </c:pt>
                <c:pt idx="23" formatCode="0">
                  <c:v>19</c:v>
                </c:pt>
                <c:pt idx="24" formatCode="0">
                  <c:v>20</c:v>
                </c:pt>
                <c:pt idx="25" formatCode="0">
                  <c:v>21</c:v>
                </c:pt>
                <c:pt idx="26" formatCode="0">
                  <c:v>22</c:v>
                </c:pt>
                <c:pt idx="27" formatCode="0">
                  <c:v>23</c:v>
                </c:pt>
                <c:pt idx="28" formatCode="0">
                  <c:v>24</c:v>
                </c:pt>
                <c:pt idx="29" formatCode="0">
                  <c:v>25</c:v>
                </c:pt>
                <c:pt idx="30" formatCode="0">
                  <c:v>26</c:v>
                </c:pt>
                <c:pt idx="31" formatCode="0">
                  <c:v>27</c:v>
                </c:pt>
                <c:pt idx="32" formatCode="0">
                  <c:v>28</c:v>
                </c:pt>
                <c:pt idx="33" formatCode="0">
                  <c:v>29</c:v>
                </c:pt>
                <c:pt idx="34" formatCode="0">
                  <c:v>30</c:v>
                </c:pt>
                <c:pt idx="35" formatCode="0">
                  <c:v>31</c:v>
                </c:pt>
                <c:pt idx="36" formatCode="0">
                  <c:v>32</c:v>
                </c:pt>
                <c:pt idx="37" formatCode="0">
                  <c:v>33</c:v>
                </c:pt>
                <c:pt idx="38" formatCode="0">
                  <c:v>34</c:v>
                </c:pt>
                <c:pt idx="39" formatCode="0">
                  <c:v>35</c:v>
                </c:pt>
                <c:pt idx="40" formatCode="0">
                  <c:v>36</c:v>
                </c:pt>
                <c:pt idx="41" formatCode="0">
                  <c:v>37</c:v>
                </c:pt>
                <c:pt idx="42" formatCode="0">
                  <c:v>38</c:v>
                </c:pt>
                <c:pt idx="43" formatCode="0">
                  <c:v>39</c:v>
                </c:pt>
                <c:pt idx="44" formatCode="0">
                  <c:v>40</c:v>
                </c:pt>
                <c:pt idx="45" formatCode="0">
                  <c:v>41</c:v>
                </c:pt>
                <c:pt idx="46" formatCode="0">
                  <c:v>42</c:v>
                </c:pt>
                <c:pt idx="47" formatCode="0">
                  <c:v>43</c:v>
                </c:pt>
                <c:pt idx="48" formatCode="0">
                  <c:v>44</c:v>
                </c:pt>
                <c:pt idx="49" formatCode="0">
                  <c:v>45</c:v>
                </c:pt>
                <c:pt idx="50" formatCode="0">
                  <c:v>46</c:v>
                </c:pt>
                <c:pt idx="51" formatCode="0">
                  <c:v>47</c:v>
                </c:pt>
                <c:pt idx="52" formatCode="0">
                  <c:v>48</c:v>
                </c:pt>
                <c:pt idx="53" formatCode="0">
                  <c:v>49</c:v>
                </c:pt>
                <c:pt idx="54" formatCode="0">
                  <c:v>50</c:v>
                </c:pt>
                <c:pt idx="55" formatCode="0">
                  <c:v>51</c:v>
                </c:pt>
                <c:pt idx="56" formatCode="0">
                  <c:v>52</c:v>
                </c:pt>
                <c:pt idx="57" formatCode="0">
                  <c:v>53</c:v>
                </c:pt>
                <c:pt idx="58" formatCode="0">
                  <c:v>54</c:v>
                </c:pt>
                <c:pt idx="59" formatCode="0">
                  <c:v>55</c:v>
                </c:pt>
                <c:pt idx="60" formatCode="0">
                  <c:v>56</c:v>
                </c:pt>
                <c:pt idx="61" formatCode="0">
                  <c:v>57</c:v>
                </c:pt>
                <c:pt idx="62" formatCode="0">
                  <c:v>58</c:v>
                </c:pt>
              </c:numCache>
            </c:numRef>
          </c:xVal>
          <c:yVal>
            <c:numRef>
              <c:f>'Brain flow'!$H$8:$H$70</c:f>
              <c:numCache>
                <c:formatCode>General</c:formatCode>
                <c:ptCount val="63"/>
                <c:pt idx="0">
                  <c:v>12.416394607529751</c:v>
                </c:pt>
                <c:pt idx="1">
                  <c:v>19.902813391685825</c:v>
                </c:pt>
                <c:pt idx="2">
                  <c:v>26.181258151567338</c:v>
                </c:pt>
                <c:pt idx="3">
                  <c:v>29.380001724413859</c:v>
                </c:pt>
                <c:pt idx="4">
                  <c:v>31.930664265435148</c:v>
                </c:pt>
                <c:pt idx="5">
                  <c:v>33.087416532241107</c:v>
                </c:pt>
                <c:pt idx="6">
                  <c:v>34.098985669230728</c:v>
                </c:pt>
                <c:pt idx="7">
                  <c:v>34.333211467985222</c:v>
                </c:pt>
                <c:pt idx="8">
                  <c:v>34.45935813604143</c:v>
                </c:pt>
                <c:pt idx="9">
                  <c:v>34.523577335762582</c:v>
                </c:pt>
                <c:pt idx="10">
                  <c:v>34.48523081641612</c:v>
                </c:pt>
                <c:pt idx="11">
                  <c:v>34.450827850166554</c:v>
                </c:pt>
                <c:pt idx="12">
                  <c:v>34.471196517988695</c:v>
                </c:pt>
                <c:pt idx="13">
                  <c:v>34.556998459598361</c:v>
                </c:pt>
                <c:pt idx="14">
                  <c:v>34.619636389133447</c:v>
                </c:pt>
                <c:pt idx="15">
                  <c:v>34.69060442989533</c:v>
                </c:pt>
                <c:pt idx="16">
                  <c:v>34.843362080752307</c:v>
                </c:pt>
                <c:pt idx="17">
                  <c:v>35.007237487446403</c:v>
                </c:pt>
                <c:pt idx="18">
                  <c:v>35.220571323200872</c:v>
                </c:pt>
                <c:pt idx="19">
                  <c:v>35.420378041284401</c:v>
                </c:pt>
                <c:pt idx="20">
                  <c:v>35.282213229601361</c:v>
                </c:pt>
                <c:pt idx="21">
                  <c:v>34.735545443146506</c:v>
                </c:pt>
                <c:pt idx="22">
                  <c:v>33.957008094578825</c:v>
                </c:pt>
                <c:pt idx="23">
                  <c:v>33.060278767310372</c:v>
                </c:pt>
                <c:pt idx="24">
                  <c:v>32.099925499313287</c:v>
                </c:pt>
                <c:pt idx="25">
                  <c:v>31.109601014264051</c:v>
                </c:pt>
                <c:pt idx="26">
                  <c:v>30.113739747978631</c:v>
                </c:pt>
                <c:pt idx="27">
                  <c:v>29.130295701910711</c:v>
                </c:pt>
                <c:pt idx="28">
                  <c:v>28.171875205212014</c:v>
                </c:pt>
                <c:pt idx="29">
                  <c:v>27.246748608056457</c:v>
                </c:pt>
                <c:pt idx="30">
                  <c:v>27.271548562172299</c:v>
                </c:pt>
                <c:pt idx="31">
                  <c:v>27.310143906218485</c:v>
                </c:pt>
                <c:pt idx="32">
                  <c:v>27.350575317579985</c:v>
                </c:pt>
                <c:pt idx="33">
                  <c:v>27.392732826153061</c:v>
                </c:pt>
                <c:pt idx="34">
                  <c:v>27.436487094218073</c:v>
                </c:pt>
                <c:pt idx="35">
                  <c:v>27.481690655947546</c:v>
                </c:pt>
                <c:pt idx="36">
                  <c:v>27.528179081758772</c:v>
                </c:pt>
                <c:pt idx="37">
                  <c:v>27.575772082725827</c:v>
                </c:pt>
                <c:pt idx="38">
                  <c:v>27.624274561890253</c:v>
                </c:pt>
                <c:pt idx="39">
                  <c:v>27.673477617108102</c:v>
                </c:pt>
                <c:pt idx="40">
                  <c:v>27.723159499286471</c:v>
                </c:pt>
                <c:pt idx="41">
                  <c:v>27.773086529428348</c:v>
                </c:pt>
                <c:pt idx="42">
                  <c:v>27.82301397757583</c:v>
                </c:pt>
                <c:pt idx="43">
                  <c:v>27.872686906463674</c:v>
                </c:pt>
                <c:pt idx="44">
                  <c:v>27.921840982448327</c:v>
                </c:pt>
                <c:pt idx="45">
                  <c:v>27.970203256059907</c:v>
                </c:pt>
                <c:pt idx="46">
                  <c:v>28.017492914327349</c:v>
                </c:pt>
                <c:pt idx="47">
                  <c:v>28.063422006852875</c:v>
                </c:pt>
                <c:pt idx="48">
                  <c:v>28.107696147453158</c:v>
                </c:pt>
                <c:pt idx="49">
                  <c:v>28.150015193044261</c:v>
                </c:pt>
                <c:pt idx="50">
                  <c:v>28.190073901319135</c:v>
                </c:pt>
                <c:pt idx="51">
                  <c:v>28.227562568652488</c:v>
                </c:pt>
                <c:pt idx="52">
                  <c:v>28.262167649564159</c:v>
                </c:pt>
                <c:pt idx="53">
                  <c:v>28.29357235897886</c:v>
                </c:pt>
                <c:pt idx="54">
                  <c:v>28.321457258436595</c:v>
                </c:pt>
                <c:pt idx="55">
                  <c:v>28.345500827331172</c:v>
                </c:pt>
                <c:pt idx="56">
                  <c:v>28.365380020186844</c:v>
                </c:pt>
                <c:pt idx="57">
                  <c:v>28.380770810920453</c:v>
                </c:pt>
                <c:pt idx="58">
                  <c:v>28.391348724980887</c:v>
                </c:pt>
                <c:pt idx="59">
                  <c:v>28.396789360207944</c:v>
                </c:pt>
                <c:pt idx="60">
                  <c:v>28.396768897206858</c:v>
                </c:pt>
                <c:pt idx="61">
                  <c:v>28.390964599994767</c:v>
                </c:pt>
                <c:pt idx="62">
                  <c:v>28.379055307638982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05-4930-A3D0-E1BF9B5CA5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6276312"/>
        <c:axId val="846276704"/>
      </c:scatterChart>
      <c:valAx>
        <c:axId val="8462763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6276704"/>
        <c:crosses val="autoZero"/>
        <c:crossBetween val="midCat"/>
      </c:valAx>
      <c:valAx>
        <c:axId val="8462767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QBRN (L/h)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6276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QBRNC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'Brain flow'!$E$8:$E$70</c:f>
              <c:numCache>
                <c:formatCode>0.000</c:formatCode>
                <c:ptCount val="63"/>
                <c:pt idx="0" formatCode="General">
                  <c:v>0.01</c:v>
                </c:pt>
                <c:pt idx="1">
                  <c:v>0.5</c:v>
                </c:pt>
                <c:pt idx="2" formatCode="0">
                  <c:v>1</c:v>
                </c:pt>
                <c:pt idx="3" formatCode="0.0">
                  <c:v>1.5</c:v>
                </c:pt>
                <c:pt idx="4" formatCode="0.0">
                  <c:v>2</c:v>
                </c:pt>
                <c:pt idx="5" formatCode="0.0">
                  <c:v>3</c:v>
                </c:pt>
                <c:pt idx="6" formatCode="0.0">
                  <c:v>4</c:v>
                </c:pt>
                <c:pt idx="7" formatCode="0.0">
                  <c:v>4.5</c:v>
                </c:pt>
                <c:pt idx="8" formatCode="0.0">
                  <c:v>5</c:v>
                </c:pt>
                <c:pt idx="9" formatCode="0.0">
                  <c:v>6</c:v>
                </c:pt>
                <c:pt idx="10" formatCode="0.0">
                  <c:v>7</c:v>
                </c:pt>
                <c:pt idx="11" formatCode="0.0">
                  <c:v>8</c:v>
                </c:pt>
                <c:pt idx="12" formatCode="0.0">
                  <c:v>9</c:v>
                </c:pt>
                <c:pt idx="13" formatCode="0.0">
                  <c:v>10</c:v>
                </c:pt>
                <c:pt idx="14" formatCode="0.0">
                  <c:v>10.5</c:v>
                </c:pt>
                <c:pt idx="15" formatCode="0.0">
                  <c:v>11</c:v>
                </c:pt>
                <c:pt idx="16" formatCode="0">
                  <c:v>12</c:v>
                </c:pt>
                <c:pt idx="17" formatCode="0">
                  <c:v>13</c:v>
                </c:pt>
                <c:pt idx="18" formatCode="0">
                  <c:v>14</c:v>
                </c:pt>
                <c:pt idx="19" formatCode="0">
                  <c:v>15</c:v>
                </c:pt>
                <c:pt idx="20" formatCode="0">
                  <c:v>16</c:v>
                </c:pt>
                <c:pt idx="21" formatCode="0">
                  <c:v>17</c:v>
                </c:pt>
                <c:pt idx="22" formatCode="0">
                  <c:v>18</c:v>
                </c:pt>
                <c:pt idx="23" formatCode="0">
                  <c:v>19</c:v>
                </c:pt>
                <c:pt idx="24" formatCode="0">
                  <c:v>20</c:v>
                </c:pt>
                <c:pt idx="25" formatCode="0">
                  <c:v>21</c:v>
                </c:pt>
                <c:pt idx="26" formatCode="0">
                  <c:v>22</c:v>
                </c:pt>
                <c:pt idx="27" formatCode="0">
                  <c:v>23</c:v>
                </c:pt>
                <c:pt idx="28" formatCode="0">
                  <c:v>24</c:v>
                </c:pt>
                <c:pt idx="29" formatCode="0">
                  <c:v>25</c:v>
                </c:pt>
                <c:pt idx="30" formatCode="0">
                  <c:v>26</c:v>
                </c:pt>
                <c:pt idx="31" formatCode="0">
                  <c:v>27</c:v>
                </c:pt>
                <c:pt idx="32" formatCode="0">
                  <c:v>28</c:v>
                </c:pt>
                <c:pt idx="33" formatCode="0">
                  <c:v>29</c:v>
                </c:pt>
                <c:pt idx="34" formatCode="0">
                  <c:v>30</c:v>
                </c:pt>
                <c:pt idx="35" formatCode="0">
                  <c:v>31</c:v>
                </c:pt>
                <c:pt idx="36" formatCode="0">
                  <c:v>32</c:v>
                </c:pt>
                <c:pt idx="37" formatCode="0">
                  <c:v>33</c:v>
                </c:pt>
                <c:pt idx="38" formatCode="0">
                  <c:v>34</c:v>
                </c:pt>
                <c:pt idx="39" formatCode="0">
                  <c:v>35</c:v>
                </c:pt>
                <c:pt idx="40" formatCode="0">
                  <c:v>36</c:v>
                </c:pt>
                <c:pt idx="41" formatCode="0">
                  <c:v>37</c:v>
                </c:pt>
                <c:pt idx="42" formatCode="0">
                  <c:v>38</c:v>
                </c:pt>
                <c:pt idx="43" formatCode="0">
                  <c:v>39</c:v>
                </c:pt>
                <c:pt idx="44" formatCode="0">
                  <c:v>40</c:v>
                </c:pt>
                <c:pt idx="45" formatCode="0">
                  <c:v>41</c:v>
                </c:pt>
                <c:pt idx="46" formatCode="0">
                  <c:v>42</c:v>
                </c:pt>
                <c:pt idx="47" formatCode="0">
                  <c:v>43</c:v>
                </c:pt>
                <c:pt idx="48" formatCode="0">
                  <c:v>44</c:v>
                </c:pt>
                <c:pt idx="49" formatCode="0">
                  <c:v>45</c:v>
                </c:pt>
                <c:pt idx="50" formatCode="0">
                  <c:v>46</c:v>
                </c:pt>
                <c:pt idx="51" formatCode="0">
                  <c:v>47</c:v>
                </c:pt>
                <c:pt idx="52" formatCode="0">
                  <c:v>48</c:v>
                </c:pt>
                <c:pt idx="53" formatCode="0">
                  <c:v>49</c:v>
                </c:pt>
                <c:pt idx="54" formatCode="0">
                  <c:v>50</c:v>
                </c:pt>
                <c:pt idx="55" formatCode="0">
                  <c:v>51</c:v>
                </c:pt>
                <c:pt idx="56" formatCode="0">
                  <c:v>52</c:v>
                </c:pt>
                <c:pt idx="57" formatCode="0">
                  <c:v>53</c:v>
                </c:pt>
                <c:pt idx="58" formatCode="0">
                  <c:v>54</c:v>
                </c:pt>
                <c:pt idx="59" formatCode="0">
                  <c:v>55</c:v>
                </c:pt>
                <c:pt idx="60" formatCode="0">
                  <c:v>56</c:v>
                </c:pt>
                <c:pt idx="61" formatCode="0">
                  <c:v>57</c:v>
                </c:pt>
                <c:pt idx="62" formatCode="0">
                  <c:v>58</c:v>
                </c:pt>
              </c:numCache>
            </c:numRef>
          </c:xVal>
          <c:yVal>
            <c:numRef>
              <c:f>'Brain flow'!$F$8:$F$70</c:f>
              <c:numCache>
                <c:formatCode>General</c:formatCode>
                <c:ptCount val="63"/>
                <c:pt idx="0">
                  <c:v>0.3</c:v>
                </c:pt>
                <c:pt idx="1">
                  <c:v>0.36972675614828437</c:v>
                </c:pt>
                <c:pt idx="2">
                  <c:v>0.41307959740754679</c:v>
                </c:pt>
                <c:pt idx="3">
                  <c:v>0.41372993455845331</c:v>
                </c:pt>
                <c:pt idx="4">
                  <c:v>0.40262267712417527</c:v>
                </c:pt>
                <c:pt idx="5">
                  <c:v>0.37230593041594062</c:v>
                </c:pt>
                <c:pt idx="6">
                  <c:v>0.3423531608282302</c:v>
                </c:pt>
                <c:pt idx="7">
                  <c:v>0.32855971424067354</c:v>
                </c:pt>
                <c:pt idx="8">
                  <c:v>0.31563660276752659</c:v>
                </c:pt>
                <c:pt idx="9">
                  <c:v>0.29227696314107865</c:v>
                </c:pt>
                <c:pt idx="10">
                  <c:v>0.27186991551329792</c:v>
                </c:pt>
                <c:pt idx="11">
                  <c:v>0.25395810286510179</c:v>
                </c:pt>
                <c:pt idx="12">
                  <c:v>0.2381373227089621</c:v>
                </c:pt>
                <c:pt idx="13">
                  <c:v>0.22407246827859686</c:v>
                </c:pt>
                <c:pt idx="14">
                  <c:v>0.21761114543586335</c:v>
                </c:pt>
                <c:pt idx="15">
                  <c:v>0.21149079060404563</c:v>
                </c:pt>
                <c:pt idx="16">
                  <c:v>0.20017085346995009</c:v>
                </c:pt>
                <c:pt idx="17">
                  <c:v>0.18993218974395415</c:v>
                </c:pt>
                <c:pt idx="18">
                  <c:v>0.18062677216498224</c:v>
                </c:pt>
                <c:pt idx="19">
                  <c:v>0.17213228065227298</c:v>
                </c:pt>
                <c:pt idx="20">
                  <c:v>0.16434686679477539</c:v>
                </c:pt>
                <c:pt idx="21">
                  <c:v>0.15718509426172309</c:v>
                </c:pt>
                <c:pt idx="22">
                  <c:v>0.15057478225352211</c:v>
                </c:pt>
                <c:pt idx="23">
                  <c:v>0.14445453755416232</c:v>
                </c:pt>
                <c:pt idx="24">
                  <c:v>0.13877181181119116</c:v>
                </c:pt>
                <c:pt idx="25">
                  <c:v>0.13348136102440084</c:v>
                </c:pt>
                <c:pt idx="26">
                  <c:v>0.12854401484693592</c:v>
                </c:pt>
                <c:pt idx="27">
                  <c:v>0.12392568615105112</c:v>
                </c:pt>
                <c:pt idx="28">
                  <c:v>0.11959656826278664</c:v>
                </c:pt>
                <c:pt idx="29">
                  <c:v>0.11553047984935486</c:v>
                </c:pt>
                <c:pt idx="30">
                  <c:v>0.11553047984935486</c:v>
                </c:pt>
                <c:pt idx="31">
                  <c:v>0.11553047984935486</c:v>
                </c:pt>
                <c:pt idx="32">
                  <c:v>0.11553047984935486</c:v>
                </c:pt>
                <c:pt idx="33">
                  <c:v>0.11553047984935486</c:v>
                </c:pt>
                <c:pt idx="34">
                  <c:v>0.11553047984935486</c:v>
                </c:pt>
                <c:pt idx="35">
                  <c:v>0.11553047984935486</c:v>
                </c:pt>
                <c:pt idx="36">
                  <c:v>0.11553047984935486</c:v>
                </c:pt>
                <c:pt idx="37">
                  <c:v>0.11553047984935486</c:v>
                </c:pt>
                <c:pt idx="38">
                  <c:v>0.11553047984935486</c:v>
                </c:pt>
                <c:pt idx="39">
                  <c:v>0.11553047984935486</c:v>
                </c:pt>
                <c:pt idx="40">
                  <c:v>0.11553047984935486</c:v>
                </c:pt>
                <c:pt idx="41">
                  <c:v>0.11553047984935486</c:v>
                </c:pt>
                <c:pt idx="42">
                  <c:v>0.11553047984935486</c:v>
                </c:pt>
                <c:pt idx="43">
                  <c:v>0.11553047984935486</c:v>
                </c:pt>
                <c:pt idx="44">
                  <c:v>0.11553047984935486</c:v>
                </c:pt>
                <c:pt idx="45">
                  <c:v>0.11553047984935486</c:v>
                </c:pt>
                <c:pt idx="46">
                  <c:v>0.11553047984935486</c:v>
                </c:pt>
                <c:pt idx="47">
                  <c:v>0.11553047984935486</c:v>
                </c:pt>
                <c:pt idx="48">
                  <c:v>0.11553047984935486</c:v>
                </c:pt>
                <c:pt idx="49">
                  <c:v>0.11553047984935486</c:v>
                </c:pt>
                <c:pt idx="50">
                  <c:v>0.11553047984935486</c:v>
                </c:pt>
                <c:pt idx="51">
                  <c:v>0.11553047984935486</c:v>
                </c:pt>
                <c:pt idx="52">
                  <c:v>0.11553047984935486</c:v>
                </c:pt>
                <c:pt idx="53">
                  <c:v>0.11553047984935486</c:v>
                </c:pt>
                <c:pt idx="54">
                  <c:v>0.11553047984935486</c:v>
                </c:pt>
                <c:pt idx="55">
                  <c:v>0.11553047984935486</c:v>
                </c:pt>
                <c:pt idx="56">
                  <c:v>0.11553047984935486</c:v>
                </c:pt>
                <c:pt idx="57">
                  <c:v>0.11553047984935486</c:v>
                </c:pt>
                <c:pt idx="58">
                  <c:v>0.11553047984935486</c:v>
                </c:pt>
                <c:pt idx="59">
                  <c:v>0.11553047984935486</c:v>
                </c:pt>
                <c:pt idx="60">
                  <c:v>0.11553047984935486</c:v>
                </c:pt>
                <c:pt idx="61">
                  <c:v>0.11553047984935486</c:v>
                </c:pt>
                <c:pt idx="62">
                  <c:v>0.11553047984935486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6C-4703-9C8C-1C36B1384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4969768"/>
        <c:axId val="664970160"/>
      </c:scatterChart>
      <c:valAx>
        <c:axId val="6649697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4970160"/>
        <c:crosses val="autoZero"/>
        <c:crossBetween val="midCat"/>
      </c:valAx>
      <c:valAx>
        <c:axId val="6649701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QBRN C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4969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QFAT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'Fat flow'!$B$9:$B$71</c:f>
              <c:numCache>
                <c:formatCode>0</c:formatCode>
                <c:ptCount val="63"/>
                <c:pt idx="0" formatCode="0.0">
                  <c:v>0.5</c:v>
                </c:pt>
                <c:pt idx="1">
                  <c:v>1</c:v>
                </c:pt>
                <c:pt idx="2" formatCode="0.0">
                  <c:v>1.5</c:v>
                </c:pt>
                <c:pt idx="3" formatCode="0.0">
                  <c:v>2</c:v>
                </c:pt>
                <c:pt idx="4" formatCode="0.0">
                  <c:v>3</c:v>
                </c:pt>
                <c:pt idx="5" formatCode="0.0">
                  <c:v>4</c:v>
                </c:pt>
                <c:pt idx="6" formatCode="0.0">
                  <c:v>4.5</c:v>
                </c:pt>
                <c:pt idx="7" formatCode="0.0">
                  <c:v>5</c:v>
                </c:pt>
                <c:pt idx="8" formatCode="0.0">
                  <c:v>6</c:v>
                </c:pt>
                <c:pt idx="9" formatCode="0.0">
                  <c:v>7</c:v>
                </c:pt>
                <c:pt idx="10" formatCode="0.0">
                  <c:v>8</c:v>
                </c:pt>
                <c:pt idx="11" formatCode="0.0">
                  <c:v>9</c:v>
                </c:pt>
                <c:pt idx="12" formatCode="0.0">
                  <c:v>10</c:v>
                </c:pt>
                <c:pt idx="13" formatCode="0.0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</c:numCache>
            </c:numRef>
          </c:xVal>
          <c:yVal>
            <c:numRef>
              <c:f>'Fat flow'!$F$9:$F$71</c:f>
              <c:numCache>
                <c:formatCode>0.00</c:formatCode>
                <c:ptCount val="63"/>
                <c:pt idx="0">
                  <c:v>4.2941369965498302</c:v>
                </c:pt>
                <c:pt idx="1">
                  <c:v>5.2548999542570529</c:v>
                </c:pt>
                <c:pt idx="2">
                  <c:v>6.0840234063398579</c:v>
                </c:pt>
                <c:pt idx="3">
                  <c:v>6.9607413048050359</c:v>
                </c:pt>
                <c:pt idx="4">
                  <c:v>8.0218816200467717</c:v>
                </c:pt>
                <c:pt idx="5">
                  <c:v>7.6553988663819448</c:v>
                </c:pt>
                <c:pt idx="6">
                  <c:v>7.4736963123775526</c:v>
                </c:pt>
                <c:pt idx="7">
                  <c:v>7.3111832337305218</c:v>
                </c:pt>
                <c:pt idx="8">
                  <c:v>7.070941033663054</c:v>
                </c:pt>
                <c:pt idx="9">
                  <c:v>6.9671242511563678</c:v>
                </c:pt>
                <c:pt idx="10">
                  <c:v>7.011543745826728</c:v>
                </c:pt>
                <c:pt idx="11">
                  <c:v>7.204915863528166</c:v>
                </c:pt>
                <c:pt idx="12">
                  <c:v>7.5377351654410107</c:v>
                </c:pt>
                <c:pt idx="13">
                  <c:v>7.7497117162025768</c:v>
                </c:pt>
                <c:pt idx="14">
                  <c:v>7.9859600546192153</c:v>
                </c:pt>
                <c:pt idx="15">
                  <c:v>8.5006492056195295</c:v>
                </c:pt>
                <c:pt idx="16">
                  <c:v>8.9858771052971758</c:v>
                </c:pt>
                <c:pt idx="17">
                  <c:v>9.2878568771865169</c:v>
                </c:pt>
                <c:pt idx="18">
                  <c:v>9.3810003879671431</c:v>
                </c:pt>
                <c:pt idx="19">
                  <c:v>9.5578605326517305</c:v>
                </c:pt>
                <c:pt idx="20">
                  <c:v>9.8919321852208704</c:v>
                </c:pt>
                <c:pt idx="21">
                  <c:v>10.232127626246569</c:v>
                </c:pt>
                <c:pt idx="22">
                  <c:v>10.502363880138516</c:v>
                </c:pt>
                <c:pt idx="23">
                  <c:v>10.890688326552549</c:v>
                </c:pt>
                <c:pt idx="24">
                  <c:v>11.274767059149893</c:v>
                </c:pt>
                <c:pt idx="25">
                  <c:v>11.428783781471292</c:v>
                </c:pt>
                <c:pt idx="26">
                  <c:v>11.56723228653834</c:v>
                </c:pt>
                <c:pt idx="27">
                  <c:v>11.688714886063824</c:v>
                </c:pt>
                <c:pt idx="28">
                  <c:v>11.794549095516356</c:v>
                </c:pt>
                <c:pt idx="29">
                  <c:v>11.895059260243213</c:v>
                </c:pt>
                <c:pt idx="30">
                  <c:v>12.008648363280221</c:v>
                </c:pt>
                <c:pt idx="31">
                  <c:v>12.124676648461868</c:v>
                </c:pt>
                <c:pt idx="32">
                  <c:v>12.242558094612212</c:v>
                </c:pt>
                <c:pt idx="33">
                  <c:v>12.361729220912329</c:v>
                </c:pt>
                <c:pt idx="34">
                  <c:v>12.481648429818689</c:v>
                </c:pt>
                <c:pt idx="35">
                  <c:v>12.601795432480646</c:v>
                </c:pt>
                <c:pt idx="36">
                  <c:v>12.721670756452744</c:v>
                </c:pt>
                <c:pt idx="37">
                  <c:v>12.840795336494867</c:v>
                </c:pt>
                <c:pt idx="38">
                  <c:v>12.958710188109572</c:v>
                </c:pt>
                <c:pt idx="39">
                  <c:v>13.074976161905701</c:v>
                </c:pt>
                <c:pt idx="40">
                  <c:v>13.189173775383107</c:v>
                </c:pt>
                <c:pt idx="41">
                  <c:v>13.300903117420226</c:v>
                </c:pt>
                <c:pt idx="42">
                  <c:v>13.409783819626801</c:v>
                </c:pt>
                <c:pt idx="43">
                  <c:v>13.515455087790462</c:v>
                </c:pt>
                <c:pt idx="44">
                  <c:v>13.617575785882313</c:v>
                </c:pt>
                <c:pt idx="45">
                  <c:v>13.715824564475604</c:v>
                </c:pt>
                <c:pt idx="46">
                  <c:v>13.809900024963447</c:v>
                </c:pt>
                <c:pt idx="47">
                  <c:v>13.899520910617872</c:v>
                </c:pt>
                <c:pt idx="48">
                  <c:v>13.984426315307296</c:v>
                </c:pt>
                <c:pt idx="49">
                  <c:v>14.064375900567621</c:v>
                </c:pt>
                <c:pt idx="50">
                  <c:v>14.139150111696328</c:v>
                </c:pt>
                <c:pt idx="51">
                  <c:v>14.208550383599741</c:v>
                </c:pt>
                <c:pt idx="52">
                  <c:v>14.272399327263084</c:v>
                </c:pt>
                <c:pt idx="53">
                  <c:v>14.330540887922774</c:v>
                </c:pt>
                <c:pt idx="54">
                  <c:v>14.382840466295699</c:v>
                </c:pt>
                <c:pt idx="55">
                  <c:v>14.429184994552029</c:v>
                </c:pt>
                <c:pt idx="56">
                  <c:v>14.469482959103496</c:v>
                </c:pt>
                <c:pt idx="57">
                  <c:v>14.503664362710175</c:v>
                </c:pt>
                <c:pt idx="58">
                  <c:v>14.531680618882556</c:v>
                </c:pt>
                <c:pt idx="59">
                  <c:v>14.553504372066273</c:v>
                </c:pt>
                <c:pt idx="60">
                  <c:v>14.569129237640734</c:v>
                </c:pt>
                <c:pt idx="61">
                  <c:v>14.578569456335392</c:v>
                </c:pt>
                <c:pt idx="62">
                  <c:v>14.581859458266502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639-4628-82C4-F8DF50C667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4970944"/>
        <c:axId val="664971336"/>
      </c:scatterChart>
      <c:valAx>
        <c:axId val="6649709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4971336"/>
        <c:crosses val="autoZero"/>
        <c:crossBetween val="midCat"/>
      </c:valAx>
      <c:valAx>
        <c:axId val="6649713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QFAT (L/h)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4970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QFATC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'Fat flow'!$B$9:$B$71</c:f>
              <c:numCache>
                <c:formatCode>0</c:formatCode>
                <c:ptCount val="63"/>
                <c:pt idx="0" formatCode="0.0">
                  <c:v>0.5</c:v>
                </c:pt>
                <c:pt idx="1">
                  <c:v>1</c:v>
                </c:pt>
                <c:pt idx="2" formatCode="0.0">
                  <c:v>1.5</c:v>
                </c:pt>
                <c:pt idx="3" formatCode="0.0">
                  <c:v>2</c:v>
                </c:pt>
                <c:pt idx="4" formatCode="0.0">
                  <c:v>3</c:v>
                </c:pt>
                <c:pt idx="5" formatCode="0.0">
                  <c:v>4</c:v>
                </c:pt>
                <c:pt idx="6" formatCode="0.0">
                  <c:v>4.5</c:v>
                </c:pt>
                <c:pt idx="7" formatCode="0.0">
                  <c:v>5</c:v>
                </c:pt>
                <c:pt idx="8" formatCode="0.0">
                  <c:v>6</c:v>
                </c:pt>
                <c:pt idx="9" formatCode="0.0">
                  <c:v>7</c:v>
                </c:pt>
                <c:pt idx="10" formatCode="0.0">
                  <c:v>8</c:v>
                </c:pt>
                <c:pt idx="11" formatCode="0.0">
                  <c:v>9</c:v>
                </c:pt>
                <c:pt idx="12" formatCode="0.0">
                  <c:v>10</c:v>
                </c:pt>
                <c:pt idx="13" formatCode="0.0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</c:numCache>
            </c:numRef>
          </c:xVal>
          <c:yVal>
            <c:numRef>
              <c:f>'Fat flow'!$D$9:$D$71</c:f>
              <c:numCache>
                <c:formatCode>0.000</c:formatCode>
                <c:ptCount val="63"/>
                <c:pt idx="0">
                  <c:v>7.977049831828957E-2</c:v>
                </c:pt>
                <c:pt idx="1">
                  <c:v>8.2910146829268838E-2</c:v>
                </c:pt>
                <c:pt idx="2">
                  <c:v>8.567537297540119E-2</c:v>
                </c:pt>
                <c:pt idx="3">
                  <c:v>8.7769934117630719E-2</c:v>
                </c:pt>
                <c:pt idx="4">
                  <c:v>9.0263744143573243E-2</c:v>
                </c:pt>
                <c:pt idx="5">
                  <c:v>7.6860057502286264E-2</c:v>
                </c:pt>
                <c:pt idx="6">
                  <c:v>7.152128856358464E-2</c:v>
                </c:pt>
                <c:pt idx="7">
                  <c:v>6.6968079585091753E-2</c:v>
                </c:pt>
                <c:pt idx="8">
                  <c:v>5.9862659995197937E-2</c:v>
                </c:pt>
                <c:pt idx="9">
                  <c:v>5.4926455084964992E-2</c:v>
                </c:pt>
                <c:pt idx="10">
                  <c:v>5.1686373273529818E-2</c:v>
                </c:pt>
                <c:pt idx="11">
                  <c:v>4.9773711022434719E-2</c:v>
                </c:pt>
                <c:pt idx="12">
                  <c:v>4.8875741500680539E-2</c:v>
                </c:pt>
                <c:pt idx="13">
                  <c:v>4.8712921892210125E-2</c:v>
                </c:pt>
                <c:pt idx="14">
                  <c:v>4.8686295134951652E-2</c:v>
                </c:pt>
                <c:pt idx="15">
                  <c:v>4.8835189973744794E-2</c:v>
                </c:pt>
                <c:pt idx="16">
                  <c:v>4.8752984750401455E-2</c:v>
                </c:pt>
                <c:pt idx="17">
                  <c:v>4.7632265605851265E-2</c:v>
                </c:pt>
                <c:pt idx="18">
                  <c:v>4.5588813018837215E-2</c:v>
                </c:pt>
                <c:pt idx="19">
                  <c:v>4.4521142185175291E-2</c:v>
                </c:pt>
                <c:pt idx="20">
                  <c:v>4.4762915714378029E-2</c:v>
                </c:pt>
                <c:pt idx="21">
                  <c:v>4.5372088878416102E-2</c:v>
                </c:pt>
                <c:pt idx="22">
                  <c:v>4.5889332277229682E-2</c:v>
                </c:pt>
                <c:pt idx="23">
                  <c:v>4.7081746372869882E-2</c:v>
                </c:pt>
                <c:pt idx="24">
                  <c:v>4.8376424101304452E-2</c:v>
                </c:pt>
                <c:pt idx="25">
                  <c:v>4.8785098243617479E-2</c:v>
                </c:pt>
                <c:pt idx="26">
                  <c:v>4.9209153681328111E-2</c:v>
                </c:pt>
                <c:pt idx="27">
                  <c:v>4.9621481622804955E-2</c:v>
                </c:pt>
                <c:pt idx="28">
                  <c:v>5.0010734719696776E-2</c:v>
                </c:pt>
                <c:pt idx="29">
                  <c:v>5.0391047689847285E-2</c:v>
                </c:pt>
                <c:pt idx="30">
                  <c:v>5.0800351419460391E-2</c:v>
                </c:pt>
                <c:pt idx="31">
                  <c:v>5.1215365488663116E-2</c:v>
                </c:pt>
                <c:pt idx="32">
                  <c:v>5.163371687777616E-2</c:v>
                </c:pt>
                <c:pt idx="33">
                  <c:v>5.2053183913649083E-2</c:v>
                </c:pt>
                <c:pt idx="34">
                  <c:v>5.2471692897679202E-2</c:v>
                </c:pt>
                <c:pt idx="35">
                  <c:v>5.2887314811266496E-2</c:v>
                </c:pt>
                <c:pt idx="36">
                  <c:v>5.3298262060237078E-2</c:v>
                </c:pt>
                <c:pt idx="37">
                  <c:v>5.3702885248585443E-2</c:v>
                </c:pt>
                <c:pt idx="38">
                  <c:v>5.4099669979152887E-2</c:v>
                </c:pt>
                <c:pt idx="39">
                  <c:v>5.4487233680660385E-2</c:v>
                </c:pt>
                <c:pt idx="40">
                  <c:v>5.4864322460954101E-2</c:v>
                </c:pt>
                <c:pt idx="41">
                  <c:v>5.5229807986432428E-2</c:v>
                </c:pt>
                <c:pt idx="42">
                  <c:v>5.5582684387644403E-2</c:v>
                </c:pt>
                <c:pt idx="43">
                  <c:v>5.5922065191058225E-2</c:v>
                </c:pt>
                <c:pt idx="44">
                  <c:v>5.6247180277000187E-2</c:v>
                </c:pt>
                <c:pt idx="45">
                  <c:v>5.6557372863762473E-2</c:v>
                </c:pt>
                <c:pt idx="46">
                  <c:v>5.6852096517881694E-2</c:v>
                </c:pt>
                <c:pt idx="47">
                  <c:v>5.7130912190586206E-2</c:v>
                </c:pt>
                <c:pt idx="48">
                  <c:v>5.7393485280413326E-2</c:v>
                </c:pt>
                <c:pt idx="49">
                  <c:v>5.763958272199652E-2</c:v>
                </c:pt>
                <c:pt idx="50">
                  <c:v>5.7869070101022026E-2</c:v>
                </c:pt>
                <c:pt idx="51">
                  <c:v>5.8081908795354825E-2</c:v>
                </c:pt>
                <c:pt idx="52">
                  <c:v>5.8278153142335247E-2</c:v>
                </c:pt>
                <c:pt idx="53">
                  <c:v>5.8457947632243816E-2</c:v>
                </c:pt>
                <c:pt idx="54">
                  <c:v>5.8621524127937301E-2</c:v>
                </c:pt>
                <c:pt idx="55">
                  <c:v>5.8769199110653272E-2</c:v>
                </c:pt>
                <c:pt idx="56">
                  <c:v>5.8901370951984867E-2</c:v>
                </c:pt>
                <c:pt idx="57">
                  <c:v>5.9018517212025196E-2</c:v>
                </c:pt>
                <c:pt idx="58">
                  <c:v>5.9121191963681125E-2</c:v>
                </c:pt>
                <c:pt idx="59">
                  <c:v>5.9210023143157056E-2</c:v>
                </c:pt>
                <c:pt idx="60">
                  <c:v>5.9285709926608476E-2</c:v>
                </c:pt>
                <c:pt idx="61">
                  <c:v>5.9349020132964406E-2</c:v>
                </c:pt>
                <c:pt idx="62">
                  <c:v>5.94007876529207E-2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D0D-4F1D-A835-3D0F05BE14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4972120"/>
        <c:axId val="664972512"/>
      </c:scatterChart>
      <c:valAx>
        <c:axId val="6649721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4972512"/>
        <c:crosses val="autoZero"/>
        <c:crossBetween val="midCat"/>
      </c:valAx>
      <c:valAx>
        <c:axId val="6649725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QFATC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4972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QGUT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'GUT flow '!$B$9:$B$71</c:f>
              <c:numCache>
                <c:formatCode>0</c:formatCode>
                <c:ptCount val="63"/>
                <c:pt idx="0" formatCode="0.0">
                  <c:v>0.5</c:v>
                </c:pt>
                <c:pt idx="1">
                  <c:v>1</c:v>
                </c:pt>
                <c:pt idx="2" formatCode="0.0">
                  <c:v>1.5</c:v>
                </c:pt>
                <c:pt idx="3" formatCode="0.0">
                  <c:v>2</c:v>
                </c:pt>
                <c:pt idx="4" formatCode="0.0">
                  <c:v>3</c:v>
                </c:pt>
                <c:pt idx="5" formatCode="0.0">
                  <c:v>4</c:v>
                </c:pt>
                <c:pt idx="6" formatCode="0.0">
                  <c:v>4.5</c:v>
                </c:pt>
                <c:pt idx="7" formatCode="0.0">
                  <c:v>5</c:v>
                </c:pt>
                <c:pt idx="8" formatCode="0.0">
                  <c:v>6</c:v>
                </c:pt>
                <c:pt idx="9" formatCode="0.0">
                  <c:v>7</c:v>
                </c:pt>
                <c:pt idx="10" formatCode="0.0">
                  <c:v>8</c:v>
                </c:pt>
                <c:pt idx="11" formatCode="0.0">
                  <c:v>9</c:v>
                </c:pt>
                <c:pt idx="12" formatCode="0.0">
                  <c:v>10</c:v>
                </c:pt>
                <c:pt idx="13" formatCode="0.0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</c:numCache>
            </c:numRef>
          </c:xVal>
          <c:yVal>
            <c:numRef>
              <c:f>'GUT flow '!$F$9:$F$71</c:f>
              <c:numCache>
                <c:formatCode>0.000</c:formatCode>
                <c:ptCount val="63"/>
                <c:pt idx="0">
                  <c:v>6.57386288460249</c:v>
                </c:pt>
                <c:pt idx="1">
                  <c:v>7.5535696206731489</c:v>
                </c:pt>
                <c:pt idx="2">
                  <c:v>8.2790977615131371</c:v>
                </c:pt>
                <c:pt idx="3">
                  <c:v>9.0904161938529899</c:v>
                </c:pt>
                <c:pt idx="4">
                  <c:v>9.9790866329974417</c:v>
                </c:pt>
                <c:pt idx="5">
                  <c:v>12.435035615650307</c:v>
                </c:pt>
                <c:pt idx="6">
                  <c:v>13.568883656241908</c:v>
                </c:pt>
                <c:pt idx="7">
                  <c:v>14.642168392942562</c:v>
                </c:pt>
                <c:pt idx="8">
                  <c:v>16.628399787515626</c:v>
                </c:pt>
                <c:pt idx="9">
                  <c:v>18.443464406069936</c:v>
                </c:pt>
                <c:pt idx="10">
                  <c:v>20.136494813842969</c:v>
                </c:pt>
                <c:pt idx="11">
                  <c:v>21.746426608523091</c:v>
                </c:pt>
                <c:pt idx="12">
                  <c:v>23.298738999128418</c:v>
                </c:pt>
                <c:pt idx="13">
                  <c:v>24.058285924832784</c:v>
                </c:pt>
                <c:pt idx="14">
                  <c:v>24.809349372605226</c:v>
                </c:pt>
                <c:pt idx="15">
                  <c:v>26.303488210570379</c:v>
                </c:pt>
                <c:pt idx="16">
                  <c:v>27.866007307930765</c:v>
                </c:pt>
                <c:pt idx="17">
                  <c:v>29.684944517292848</c:v>
                </c:pt>
                <c:pt idx="18">
                  <c:v>31.720620713629973</c:v>
                </c:pt>
                <c:pt idx="19">
                  <c:v>33.308487914529778</c:v>
                </c:pt>
                <c:pt idx="20">
                  <c:v>34.236441654032618</c:v>
                </c:pt>
                <c:pt idx="21">
                  <c:v>34.809660939511595</c:v>
                </c:pt>
                <c:pt idx="22">
                  <c:v>35.215348033049466</c:v>
                </c:pt>
                <c:pt idx="23">
                  <c:v>35.334096293581432</c:v>
                </c:pt>
                <c:pt idx="24">
                  <c:v>35.318463032607674</c:v>
                </c:pt>
                <c:pt idx="25">
                  <c:v>35.411298914835903</c:v>
                </c:pt>
                <c:pt idx="26">
                  <c:v>35.438009532630076</c:v>
                </c:pt>
                <c:pt idx="27">
                  <c:v>35.421606701111898</c:v>
                </c:pt>
                <c:pt idx="28">
                  <c:v>35.378101752332732</c:v>
                </c:pt>
                <c:pt idx="29">
                  <c:v>35.326172660685017</c:v>
                </c:pt>
                <c:pt idx="30">
                  <c:v>35.28549563435832</c:v>
                </c:pt>
                <c:pt idx="31">
                  <c:v>35.245661623977739</c:v>
                </c:pt>
                <c:pt idx="32">
                  <c:v>35.207032405051073</c:v>
                </c:pt>
                <c:pt idx="33">
                  <c:v>35.169915625682087</c:v>
                </c:pt>
                <c:pt idx="34">
                  <c:v>35.134567534578501</c:v>
                </c:pt>
                <c:pt idx="35">
                  <c:v>35.101195503676038</c:v>
                </c:pt>
                <c:pt idx="36">
                  <c:v>35.069960371497189</c:v>
                </c:pt>
                <c:pt idx="37">
                  <c:v>35.040978618156892</c:v>
                </c:pt>
                <c:pt idx="38">
                  <c:v>35.014324380246101</c:v>
                </c:pt>
                <c:pt idx="39">
                  <c:v>34.990031313950674</c:v>
                </c:pt>
                <c:pt idx="40">
                  <c:v>34.968094315422292</c:v>
                </c:pt>
                <c:pt idx="41">
                  <c:v>34.948471108088953</c:v>
                </c:pt>
                <c:pt idx="42">
                  <c:v>34.931083707167531</c:v>
                </c:pt>
                <c:pt idx="43">
                  <c:v>34.915819772095055</c:v>
                </c:pt>
                <c:pt idx="44">
                  <c:v>34.902533857940313</c:v>
                </c:pt>
                <c:pt idx="45">
                  <c:v>34.891048577093621</c:v>
                </c:pt>
                <c:pt idx="46">
                  <c:v>34.881155682674631</c:v>
                </c:pt>
                <c:pt idx="47">
                  <c:v>34.872617085149955</c:v>
                </c:pt>
                <c:pt idx="48">
                  <c:v>34.865165813623655</c:v>
                </c:pt>
                <c:pt idx="49">
                  <c:v>34.858506933159966</c:v>
                </c:pt>
                <c:pt idx="50">
                  <c:v>34.852318429327049</c:v>
                </c:pt>
                <c:pt idx="51">
                  <c:v>34.846252070917394</c:v>
                </c:pt>
                <c:pt idx="52">
                  <c:v>34.83993426151018</c:v>
                </c:pt>
                <c:pt idx="53">
                  <c:v>34.832966890202847</c:v>
                </c:pt>
                <c:pt idx="54">
                  <c:v>34.824928191449224</c:v>
                </c:pt>
                <c:pt idx="55">
                  <c:v>34.815373623516258</c:v>
                </c:pt>
                <c:pt idx="56">
                  <c:v>34.803836774603319</c:v>
                </c:pt>
                <c:pt idx="57">
                  <c:v>34.789830305169502</c:v>
                </c:pt>
                <c:pt idx="58">
                  <c:v>34.772846934485514</c:v>
                </c:pt>
                <c:pt idx="59">
                  <c:v>34.752360478869981</c:v>
                </c:pt>
                <c:pt idx="60">
                  <c:v>34.727826948492911</c:v>
                </c:pt>
                <c:pt idx="61">
                  <c:v>34.698685709029462</c:v>
                </c:pt>
                <c:pt idx="62">
                  <c:v>34.664360713831421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639-4628-82C4-F8DF50C667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4973296"/>
        <c:axId val="664973688"/>
      </c:scatterChart>
      <c:valAx>
        <c:axId val="6649732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4973688"/>
        <c:crosses val="autoZero"/>
        <c:crossBetween val="midCat"/>
      </c:valAx>
      <c:valAx>
        <c:axId val="6649736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QGUT (L/h)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4973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QGUTC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'GUT flow '!$B$9:$B$71</c:f>
              <c:numCache>
                <c:formatCode>0</c:formatCode>
                <c:ptCount val="63"/>
                <c:pt idx="0" formatCode="0.0">
                  <c:v>0.5</c:v>
                </c:pt>
                <c:pt idx="1">
                  <c:v>1</c:v>
                </c:pt>
                <c:pt idx="2" formatCode="0.0">
                  <c:v>1.5</c:v>
                </c:pt>
                <c:pt idx="3" formatCode="0.0">
                  <c:v>2</c:v>
                </c:pt>
                <c:pt idx="4" formatCode="0.0">
                  <c:v>3</c:v>
                </c:pt>
                <c:pt idx="5" formatCode="0.0">
                  <c:v>4</c:v>
                </c:pt>
                <c:pt idx="6" formatCode="0.0">
                  <c:v>4.5</c:v>
                </c:pt>
                <c:pt idx="7" formatCode="0.0">
                  <c:v>5</c:v>
                </c:pt>
                <c:pt idx="8" formatCode="0.0">
                  <c:v>6</c:v>
                </c:pt>
                <c:pt idx="9" formatCode="0.0">
                  <c:v>7</c:v>
                </c:pt>
                <c:pt idx="10" formatCode="0.0">
                  <c:v>8</c:v>
                </c:pt>
                <c:pt idx="11" formatCode="0.0">
                  <c:v>9</c:v>
                </c:pt>
                <c:pt idx="12" formatCode="0.0">
                  <c:v>10</c:v>
                </c:pt>
                <c:pt idx="13" formatCode="0.0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</c:numCache>
            </c:numRef>
          </c:xVal>
          <c:yVal>
            <c:numRef>
              <c:f>'GUT flow '!$D$9:$D$71</c:f>
              <c:numCache>
                <c:formatCode>0.000</c:formatCode>
                <c:ptCount val="63"/>
                <c:pt idx="0">
                  <c:v>0.12212007176347289</c:v>
                </c:pt>
                <c:pt idx="1">
                  <c:v>0.11917782865262143</c:v>
                </c:pt>
                <c:pt idx="2">
                  <c:v>0.11658646610042715</c:v>
                </c:pt>
                <c:pt idx="3">
                  <c:v>0.11462360049001533</c:v>
                </c:pt>
                <c:pt idx="4">
                  <c:v>0.11228658876945394</c:v>
                </c:pt>
                <c:pt idx="5">
                  <c:v>0.12484751861316999</c:v>
                </c:pt>
                <c:pt idx="6">
                  <c:v>0.12985061245485077</c:v>
                </c:pt>
                <c:pt idx="7">
                  <c:v>0.1341175384188209</c:v>
                </c:pt>
                <c:pt idx="8">
                  <c:v>0.14077620475200014</c:v>
                </c:pt>
                <c:pt idx="9">
                  <c:v>0.14540204577850219</c:v>
                </c:pt>
                <c:pt idx="10">
                  <c:v>0.14843840744604336</c:v>
                </c:pt>
                <c:pt idx="11">
                  <c:v>0.15023081105810085</c:v>
                </c:pt>
                <c:pt idx="12">
                  <c:v>0.15107232074617474</c:v>
                </c:pt>
                <c:pt idx="13">
                  <c:v>0.15122490307176259</c:v>
                </c:pt>
                <c:pt idx="14">
                  <c:v>0.15124985567165841</c:v>
                </c:pt>
                <c:pt idx="15">
                  <c:v>0.15111032259585444</c:v>
                </c:pt>
                <c:pt idx="16">
                  <c:v>0.15118735916578005</c:v>
                </c:pt>
                <c:pt idx="17">
                  <c:v>0.15223761309411663</c:v>
                </c:pt>
                <c:pt idx="18">
                  <c:v>0.1541525835997222</c:v>
                </c:pt>
                <c:pt idx="19">
                  <c:v>0.15515312462971761</c:v>
                </c:pt>
                <c:pt idx="20">
                  <c:v>0.15492655261116353</c:v>
                </c:pt>
                <c:pt idx="21">
                  <c:v>0.1543556812098143</c:v>
                </c:pt>
                <c:pt idx="22">
                  <c:v>0.15387095948970111</c:v>
                </c:pt>
                <c:pt idx="23">
                  <c:v>0.15275351843032431</c:v>
                </c:pt>
                <c:pt idx="24">
                  <c:v>0.15154024356406506</c:v>
                </c:pt>
                <c:pt idx="25">
                  <c:v>0.15115726480844999</c:v>
                </c:pt>
                <c:pt idx="26">
                  <c:v>0.1507598718563854</c:v>
                </c:pt>
                <c:pt idx="27">
                  <c:v>0.15037346903422891</c:v>
                </c:pt>
                <c:pt idx="28">
                  <c:v>0.15000869022580418</c:v>
                </c:pt>
                <c:pt idx="29">
                  <c:v>0.14965228943365186</c:v>
                </c:pt>
                <c:pt idx="30">
                  <c:v>0.14926872067603816</c:v>
                </c:pt>
                <c:pt idx="31">
                  <c:v>0.14887980061643658</c:v>
                </c:pt>
                <c:pt idx="32">
                  <c:v>0.14848775307091402</c:v>
                </c:pt>
                <c:pt idx="33">
                  <c:v>0.14809466002492161</c:v>
                </c:pt>
                <c:pt idx="34">
                  <c:v>0.14770246479326235</c:v>
                </c:pt>
                <c:pt idx="35">
                  <c:v>0.14731297510749192</c:v>
                </c:pt>
                <c:pt idx="36">
                  <c:v>0.14692786616680034</c:v>
                </c:pt>
                <c:pt idx="37">
                  <c:v>0.14654868366141938</c:v>
                </c:pt>
                <c:pt idx="38">
                  <c:v>0.14617684677078635</c:v>
                </c:pt>
                <c:pt idx="39">
                  <c:v>0.14581365113701114</c:v>
                </c:pt>
                <c:pt idx="40">
                  <c:v>0.14546027181377841</c:v>
                </c:pt>
                <c:pt idx="41">
                  <c:v>0.14511776619071451</c:v>
                </c:pt>
                <c:pt idx="42">
                  <c:v>0.14478707689322876</c:v>
                </c:pt>
                <c:pt idx="43">
                  <c:v>0.14446903465782956</c:v>
                </c:pt>
                <c:pt idx="44">
                  <c:v>0.1441643611829162</c:v>
                </c:pt>
                <c:pt idx="45">
                  <c:v>0.14387367195504661</c:v>
                </c:pt>
                <c:pt idx="46">
                  <c:v>0.14359747905068013</c:v>
                </c:pt>
                <c:pt idx="47">
                  <c:v>0.14333619391339689</c:v>
                </c:pt>
                <c:pt idx="48">
                  <c:v>0.14309013010659266</c:v>
                </c:pt>
                <c:pt idx="49">
                  <c:v>0.14285950604164904</c:v>
                </c:pt>
                <c:pt idx="50">
                  <c:v>0.14264444768157972</c:v>
                </c:pt>
                <c:pt idx="51">
                  <c:v>0.14244499122015311</c:v>
                </c:pt>
                <c:pt idx="52">
                  <c:v>0.1422610857364891</c:v>
                </c:pt>
                <c:pt idx="53">
                  <c:v>0.14209259582513351</c:v>
                </c:pt>
                <c:pt idx="54">
                  <c:v>0.14193930420160675</c:v>
                </c:pt>
                <c:pt idx="55">
                  <c:v>0.14180091428342906</c:v>
                </c:pt>
                <c:pt idx="56">
                  <c:v>0.14167705274662121</c:v>
                </c:pt>
                <c:pt idx="57">
                  <c:v>0.14156727205768088</c:v>
                </c:pt>
                <c:pt idx="58">
                  <c:v>0.14147105298103535</c:v>
                </c:pt>
                <c:pt idx="59">
                  <c:v>0.14138780706196896</c:v>
                </c:pt>
                <c:pt idx="60">
                  <c:v>0.14131687908502702</c:v>
                </c:pt>
                <c:pt idx="61">
                  <c:v>0.14125754950789576</c:v>
                </c:pt>
                <c:pt idx="62">
                  <c:v>0.1412090368707567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639-4628-82C4-F8DF50C667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4974472"/>
        <c:axId val="664974864"/>
      </c:scatterChart>
      <c:valAx>
        <c:axId val="6649744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4974864"/>
        <c:crosses val="autoZero"/>
        <c:crossBetween val="midCat"/>
      </c:valAx>
      <c:valAx>
        <c:axId val="664974864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QGUTC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4974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Mean Body surface area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BSA!$B$6:$B$69</c:f>
              <c:numCache>
                <c:formatCode>General</c:formatCode>
                <c:ptCount val="6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4.5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  <c:pt idx="63">
                  <c:v>60</c:v>
                </c:pt>
              </c:numCache>
            </c:numRef>
          </c:xVal>
          <c:yVal>
            <c:numRef>
              <c:f>BSA!$E$6:$E$69</c:f>
              <c:numCache>
                <c:formatCode>0.00</c:formatCode>
                <c:ptCount val="64"/>
                <c:pt idx="0">
                  <c:v>0.39990447720200034</c:v>
                </c:pt>
                <c:pt idx="1">
                  <c:v>0.47084660528982764</c:v>
                </c:pt>
                <c:pt idx="2">
                  <c:v>0.52754261550150172</c:v>
                </c:pt>
                <c:pt idx="3">
                  <c:v>0.57480035840260446</c:v>
                </c:pt>
                <c:pt idx="4">
                  <c:v>0.65137460787092616</c:v>
                </c:pt>
                <c:pt idx="5">
                  <c:v>0.73795757412230645</c:v>
                </c:pt>
                <c:pt idx="6">
                  <c:v>0.77830629432603848</c:v>
                </c:pt>
                <c:pt idx="7">
                  <c:v>0.81736276459690071</c:v>
                </c:pt>
                <c:pt idx="8">
                  <c:v>0.89326491904118244</c:v>
                </c:pt>
                <c:pt idx="9">
                  <c:v>0.96856232013624655</c:v>
                </c:pt>
                <c:pt idx="10">
                  <c:v>1.0454940884648107</c:v>
                </c:pt>
                <c:pt idx="11">
                  <c:v>1.1255710043346401</c:v>
                </c:pt>
                <c:pt idx="12">
                  <c:v>1.2094366325862813</c:v>
                </c:pt>
                <c:pt idx="13">
                  <c:v>1.2527363672269212</c:v>
                </c:pt>
                <c:pt idx="14">
                  <c:v>1.2968192705159698</c:v>
                </c:pt>
                <c:pt idx="15">
                  <c:v>1.3868647123592963</c:v>
                </c:pt>
                <c:pt idx="16">
                  <c:v>1.4793236410029076</c:v>
                </c:pt>
                <c:pt idx="17">
                  <c:v>1.5759468555569693</c:v>
                </c:pt>
                <c:pt idx="18">
                  <c:v>1.6740838758918732</c:v>
                </c:pt>
                <c:pt idx="19">
                  <c:v>1.7574263379100081</c:v>
                </c:pt>
                <c:pt idx="20">
                  <c:v>1.8196219260392295</c:v>
                </c:pt>
                <c:pt idx="21">
                  <c:v>1.8671219307859706</c:v>
                </c:pt>
                <c:pt idx="22">
                  <c:v>1.9045475744059872</c:v>
                </c:pt>
                <c:pt idx="23">
                  <c:v>1.9341352717001874</c:v>
                </c:pt>
                <c:pt idx="24">
                  <c:v>1.9573792543965429</c:v>
                </c:pt>
                <c:pt idx="25">
                  <c:v>1.9755305890001138</c:v>
                </c:pt>
                <c:pt idx="26">
                  <c:v>1.9896665748206297</c:v>
                </c:pt>
                <c:pt idx="27">
                  <c:v>2.0006874593674868</c:v>
                </c:pt>
                <c:pt idx="28">
                  <c:v>2.0093205933567493</c:v>
                </c:pt>
                <c:pt idx="29">
                  <c:v>2.0167900740889615</c:v>
                </c:pt>
                <c:pt idx="30">
                  <c:v>2.0247099608044241</c:v>
                </c:pt>
                <c:pt idx="31">
                  <c:v>2.032212625093889</c:v>
                </c:pt>
                <c:pt idx="32">
                  <c:v>2.0393054414853733</c:v>
                </c:pt>
                <c:pt idx="33">
                  <c:v>2.0459954499931121</c:v>
                </c:pt>
                <c:pt idx="34">
                  <c:v>2.0522893762016219</c:v>
                </c:pt>
                <c:pt idx="35">
                  <c:v>2.058193648911907</c:v>
                </c:pt>
                <c:pt idx="36">
                  <c:v>2.0637144162302161</c:v>
                </c:pt>
                <c:pt idx="37">
                  <c:v>2.0688575603865131</c:v>
                </c:pt>
                <c:pt idx="38">
                  <c:v>2.0736287114273169</c:v>
                </c:pt>
                <c:pt idx="39">
                  <c:v>2.07803325988719</c:v>
                </c:pt>
                <c:pt idx="40">
                  <c:v>2.0820763685267405</c:v>
                </c:pt>
                <c:pt idx="41">
                  <c:v>2.0857629832146642</c:v>
                </c:pt>
                <c:pt idx="42">
                  <c:v>2.089097843023298</c:v>
                </c:pt>
                <c:pt idx="43">
                  <c:v>2.0920854896000871</c:v>
                </c:pt>
                <c:pt idx="44">
                  <c:v>2.09473027587127</c:v>
                </c:pt>
                <c:pt idx="45">
                  <c:v>2.097036374128507</c:v>
                </c:pt>
                <c:pt idx="46">
                  <c:v>2.0990077835443399</c:v>
                </c:pt>
                <c:pt idx="47">
                  <c:v>2.1006483371579097</c:v>
                </c:pt>
                <c:pt idx="48">
                  <c:v>2.1019617083684641</c:v>
                </c:pt>
                <c:pt idx="49">
                  <c:v>2.1029514169706109</c:v>
                </c:pt>
                <c:pt idx="50">
                  <c:v>2.1036208347620757</c:v>
                </c:pt>
                <c:pt idx="51">
                  <c:v>2.1039731907518453</c:v>
                </c:pt>
                <c:pt idx="52">
                  <c:v>2.1040115759939266</c:v>
                </c:pt>
                <c:pt idx="53">
                  <c:v>2.1037389480696294</c:v>
                </c:pt>
                <c:pt idx="54">
                  <c:v>2.1031581352390387</c:v>
                </c:pt>
                <c:pt idx="55">
                  <c:v>2.1022718402804421</c:v>
                </c:pt>
                <c:pt idx="56">
                  <c:v>2.1010826440346118</c:v>
                </c:pt>
                <c:pt idx="57">
                  <c:v>2.0995930086691916</c:v>
                </c:pt>
                <c:pt idx="58">
                  <c:v>2.097805280676921</c:v>
                </c:pt>
                <c:pt idx="59">
                  <c:v>2.0957216936199803</c:v>
                </c:pt>
                <c:pt idx="60">
                  <c:v>2.0933443706314439</c:v>
                </c:pt>
                <c:pt idx="61">
                  <c:v>2.0906753266835714</c:v>
                </c:pt>
                <c:pt idx="62">
                  <c:v>2.0877164706315328</c:v>
                </c:pt>
                <c:pt idx="63">
                  <c:v>2.0844696070400519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43D-4D11-9CB5-5CC5EAB814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6720072"/>
        <c:axId val="656720464"/>
      </c:scatterChart>
      <c:valAx>
        <c:axId val="6567200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6720464"/>
        <c:crosses val="autoZero"/>
        <c:crossBetween val="midCat"/>
      </c:valAx>
      <c:valAx>
        <c:axId val="6567204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Mean Body surface</a:t>
                </a:r>
                <a:r>
                  <a:rPr lang="en-US" baseline="0"/>
                  <a:t> area (m^2)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3.0665069829434604E-2"/>
              <c:y val="0.182293920205846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6720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QRAPC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'Rap perf tissues flow'!$B$11:$B$74</c:f>
              <c:numCache>
                <c:formatCode>0</c:formatCode>
                <c:ptCount val="64"/>
                <c:pt idx="0" formatCode="0.0">
                  <c:v>0.5</c:v>
                </c:pt>
                <c:pt idx="1">
                  <c:v>1</c:v>
                </c:pt>
                <c:pt idx="2" formatCode="0.0">
                  <c:v>1.5</c:v>
                </c:pt>
                <c:pt idx="3" formatCode="0.0">
                  <c:v>2</c:v>
                </c:pt>
                <c:pt idx="4" formatCode="0.0">
                  <c:v>3</c:v>
                </c:pt>
                <c:pt idx="5" formatCode="0.0">
                  <c:v>4</c:v>
                </c:pt>
                <c:pt idx="6" formatCode="0.0">
                  <c:v>4.5</c:v>
                </c:pt>
                <c:pt idx="7" formatCode="0.0">
                  <c:v>5</c:v>
                </c:pt>
                <c:pt idx="8" formatCode="0.0">
                  <c:v>6</c:v>
                </c:pt>
                <c:pt idx="9" formatCode="0.0">
                  <c:v>7</c:v>
                </c:pt>
                <c:pt idx="10" formatCode="0.0">
                  <c:v>8</c:v>
                </c:pt>
                <c:pt idx="11" formatCode="0.0">
                  <c:v>9</c:v>
                </c:pt>
                <c:pt idx="12" formatCode="0.0">
                  <c:v>10</c:v>
                </c:pt>
                <c:pt idx="13" formatCode="0.0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  <c:pt idx="63">
                  <c:v>60</c:v>
                </c:pt>
              </c:numCache>
            </c:numRef>
          </c:xVal>
          <c:yVal>
            <c:numRef>
              <c:f>'Rap perf tissues flow'!$D$11:$D$74</c:f>
              <c:numCache>
                <c:formatCode>0.000</c:formatCode>
                <c:ptCount val="64"/>
                <c:pt idx="0">
                  <c:v>0.1731050078833391</c:v>
                </c:pt>
                <c:pt idx="1">
                  <c:v>0.16893438294393431</c:v>
                </c:pt>
                <c:pt idx="2">
                  <c:v>0.16526113063947279</c:v>
                </c:pt>
                <c:pt idx="3">
                  <c:v>0.16247877175237371</c:v>
                </c:pt>
                <c:pt idx="4">
                  <c:v>0.15916606134802036</c:v>
                </c:pt>
                <c:pt idx="5">
                  <c:v>0.176971159463504</c:v>
                </c:pt>
                <c:pt idx="6">
                  <c:v>0.18406303704266769</c:v>
                </c:pt>
                <c:pt idx="7">
                  <c:v>0.19011139782369699</c:v>
                </c:pt>
                <c:pt idx="8">
                  <c:v>0.19955004678166693</c:v>
                </c:pt>
                <c:pt idx="9">
                  <c:v>0.20610716909412882</c:v>
                </c:pt>
                <c:pt idx="10">
                  <c:v>0.21041120693824675</c:v>
                </c:pt>
                <c:pt idx="11">
                  <c:v>0.21295193621325312</c:v>
                </c:pt>
                <c:pt idx="12">
                  <c:v>0.21414477486036815</c:v>
                </c:pt>
                <c:pt idx="13">
                  <c:v>0.21436106006469482</c:v>
                </c:pt>
                <c:pt idx="14">
                  <c:v>0.21439643033543987</c:v>
                </c:pt>
                <c:pt idx="15">
                  <c:v>0.21419864242196876</c:v>
                </c:pt>
                <c:pt idx="16">
                  <c:v>0.21430784163755803</c:v>
                </c:pt>
                <c:pt idx="17">
                  <c:v>0.21579657491390544</c:v>
                </c:pt>
                <c:pt idx="18">
                  <c:v>0.21851104256596557</c:v>
                </c:pt>
                <c:pt idx="19">
                  <c:v>0.21992930788782372</c:v>
                </c:pt>
                <c:pt idx="20">
                  <c:v>0.21960814241116139</c:v>
                </c:pt>
                <c:pt idx="21">
                  <c:v>0.21879893310589399</c:v>
                </c:pt>
                <c:pt idx="22">
                  <c:v>0.21811184083703308</c:v>
                </c:pt>
                <c:pt idx="23">
                  <c:v>0.21652786990908246</c:v>
                </c:pt>
                <c:pt idx="24">
                  <c:v>0.21480805471199305</c:v>
                </c:pt>
                <c:pt idx="25">
                  <c:v>0.21426518293381144</c:v>
                </c:pt>
                <c:pt idx="26">
                  <c:v>0.2137018790550424</c:v>
                </c:pt>
                <c:pt idx="27">
                  <c:v>0.21315415366797336</c:v>
                </c:pt>
                <c:pt idx="28">
                  <c:v>0.2126370802860453</c:v>
                </c:pt>
                <c:pt idx="29">
                  <c:v>0.21213188272888497</c:v>
                </c:pt>
                <c:pt idx="30">
                  <c:v>0.21158817462380683</c:v>
                </c:pt>
                <c:pt idx="31">
                  <c:v>0.21103688105665505</c:v>
                </c:pt>
                <c:pt idx="32">
                  <c:v>0.21048115428317452</c:v>
                </c:pt>
                <c:pt idx="33">
                  <c:v>0.20992394551443744</c:v>
                </c:pt>
                <c:pt idx="34">
                  <c:v>0.20936800939609257</c:v>
                </c:pt>
                <c:pt idx="35">
                  <c:v>0.20881590838475053</c:v>
                </c:pt>
                <c:pt idx="36">
                  <c:v>0.20827001707260426</c:v>
                </c:pt>
                <c:pt idx="37">
                  <c:v>0.20773252647310375</c:v>
                </c:pt>
                <c:pt idx="38">
                  <c:v>0.20720544827084877</c:v>
                </c:pt>
                <c:pt idx="39">
                  <c:v>0.20669061903647337</c:v>
                </c:pt>
                <c:pt idx="40">
                  <c:v>0.20618970440671056</c:v>
                </c:pt>
                <c:pt idx="41">
                  <c:v>0.2057042032296772</c:v>
                </c:pt>
                <c:pt idx="42">
                  <c:v>0.20523545167539484</c:v>
                </c:pt>
                <c:pt idx="43">
                  <c:v>0.20478462731154537</c:v>
                </c:pt>
                <c:pt idx="44">
                  <c:v>0.20435275314446436</c:v>
                </c:pt>
                <c:pt idx="45">
                  <c:v>0.2039407016253707</c:v>
                </c:pt>
                <c:pt idx="46">
                  <c:v>0.20354919862183268</c:v>
                </c:pt>
                <c:pt idx="47">
                  <c:v>0.20317882735447196</c:v>
                </c:pt>
                <c:pt idx="48">
                  <c:v>0.20283003229890442</c:v>
                </c:pt>
                <c:pt idx="49">
                  <c:v>0.20250312305291682</c:v>
                </c:pt>
                <c:pt idx="50">
                  <c:v>0.20219827816888106</c:v>
                </c:pt>
                <c:pt idx="51">
                  <c:v>0.20191554895140637</c:v>
                </c:pt>
                <c:pt idx="52">
                  <c:v>0.2016548632202261</c:v>
                </c:pt>
                <c:pt idx="53">
                  <c:v>0.20141602903832384</c:v>
                </c:pt>
                <c:pt idx="54">
                  <c:v>0.20119873840529473</c:v>
                </c:pt>
                <c:pt idx="55">
                  <c:v>0.20100257091594437</c:v>
                </c:pt>
                <c:pt idx="56">
                  <c:v>0.20082699738412485</c:v>
                </c:pt>
                <c:pt idx="57">
                  <c:v>0.20067138343180702</c:v>
                </c:pt>
                <c:pt idx="58">
                  <c:v>0.20053499304339065</c:v>
                </c:pt>
                <c:pt idx="59">
                  <c:v>0.20041699208525041</c:v>
                </c:pt>
                <c:pt idx="60">
                  <c:v>0.20031645179051935</c:v>
                </c:pt>
                <c:pt idx="61">
                  <c:v>0.2002323522091097</c:v>
                </c:pt>
                <c:pt idx="62">
                  <c:v>0.20016358562296926</c:v>
                </c:pt>
                <c:pt idx="63">
                  <c:v>0.20010895992657643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685-4F63-BA9E-DC02A5E843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4975648"/>
        <c:axId val="664976040"/>
      </c:scatterChart>
      <c:valAx>
        <c:axId val="664975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(years)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4976040"/>
        <c:crosses val="autoZero"/>
        <c:crossBetween val="midCat"/>
      </c:valAx>
      <c:valAx>
        <c:axId val="664976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QRapC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4975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QRAP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'Rap perf tissues flow'!$B$11:$B$74</c:f>
              <c:numCache>
                <c:formatCode>0</c:formatCode>
                <c:ptCount val="64"/>
                <c:pt idx="0" formatCode="0.0">
                  <c:v>0.5</c:v>
                </c:pt>
                <c:pt idx="1">
                  <c:v>1</c:v>
                </c:pt>
                <c:pt idx="2" formatCode="0.0">
                  <c:v>1.5</c:v>
                </c:pt>
                <c:pt idx="3" formatCode="0.0">
                  <c:v>2</c:v>
                </c:pt>
                <c:pt idx="4" formatCode="0.0">
                  <c:v>3</c:v>
                </c:pt>
                <c:pt idx="5" formatCode="0.0">
                  <c:v>4</c:v>
                </c:pt>
                <c:pt idx="6" formatCode="0.0">
                  <c:v>4.5</c:v>
                </c:pt>
                <c:pt idx="7" formatCode="0.0">
                  <c:v>5</c:v>
                </c:pt>
                <c:pt idx="8" formatCode="0.0">
                  <c:v>6</c:v>
                </c:pt>
                <c:pt idx="9" formatCode="0.0">
                  <c:v>7</c:v>
                </c:pt>
                <c:pt idx="10" formatCode="0.0">
                  <c:v>8</c:v>
                </c:pt>
                <c:pt idx="11" formatCode="0.0">
                  <c:v>9</c:v>
                </c:pt>
                <c:pt idx="12" formatCode="0.0">
                  <c:v>10</c:v>
                </c:pt>
                <c:pt idx="13" formatCode="0.0">
                  <c:v>10.5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  <c:pt idx="63">
                  <c:v>60</c:v>
                </c:pt>
              </c:numCache>
            </c:numRef>
          </c:xVal>
          <c:yVal>
            <c:numRef>
              <c:f>'Rap perf tissues flow'!$F$11:$F$74</c:f>
              <c:numCache>
                <c:formatCode>0.000</c:formatCode>
                <c:ptCount val="64"/>
                <c:pt idx="0">
                  <c:v>9.3184402042210408</c:v>
                </c:pt>
                <c:pt idx="1">
                  <c:v>10.707172947511141</c:v>
                </c:pt>
                <c:pt idx="2">
                  <c:v>11.735607935519853</c:v>
                </c:pt>
                <c:pt idx="3">
                  <c:v>12.88565052555456</c:v>
                </c:pt>
                <c:pt idx="4">
                  <c:v>14.145339462453821</c:v>
                </c:pt>
                <c:pt idx="5">
                  <c:v>17.62664324703254</c:v>
                </c:pt>
                <c:pt idx="6">
                  <c:v>19.233871044812339</c:v>
                </c:pt>
                <c:pt idx="7">
                  <c:v>20.755250455458949</c:v>
                </c:pt>
                <c:pt idx="8">
                  <c:v>23.570730304518023</c:v>
                </c:pt>
                <c:pt idx="9">
                  <c:v>26.143581520263812</c:v>
                </c:pt>
                <c:pt idx="10">
                  <c:v>28.543449435932231</c:v>
                </c:pt>
                <c:pt idx="11">
                  <c:v>30.825525199444009</c:v>
                </c:pt>
                <c:pt idx="12">
                  <c:v>33.025925549139131</c:v>
                </c:pt>
                <c:pt idx="13">
                  <c:v>34.102582110695039</c:v>
                </c:pt>
                <c:pt idx="14">
                  <c:v>35.167213355748281</c:v>
                </c:pt>
                <c:pt idx="15">
                  <c:v>37.285152786914921</c:v>
                </c:pt>
                <c:pt idx="16">
                  <c:v>39.500021127234227</c:v>
                </c:pt>
                <c:pt idx="17">
                  <c:v>42.078361734303066</c:v>
                </c:pt>
                <c:pt idx="18">
                  <c:v>44.963929511378872</c:v>
                </c:pt>
                <c:pt idx="19">
                  <c:v>47.214728748230222</c:v>
                </c:pt>
                <c:pt idx="20">
                  <c:v>48.53010170103304</c:v>
                </c:pt>
                <c:pt idx="21">
                  <c:v>49.342639128327626</c:v>
                </c:pt>
                <c:pt idx="22">
                  <c:v>49.917699939469784</c:v>
                </c:pt>
                <c:pt idx="23">
                  <c:v>50.086025410284549</c:v>
                </c:pt>
                <c:pt idx="24">
                  <c:v>50.063865287668939</c:v>
                </c:pt>
                <c:pt idx="25">
                  <c:v>50.1954600033689</c:v>
                </c:pt>
                <c:pt idx="26">
                  <c:v>50.233322261694354</c:v>
                </c:pt>
                <c:pt idx="27">
                  <c:v>50.210071274053568</c:v>
                </c:pt>
                <c:pt idx="28">
                  <c:v>50.148403078214571</c:v>
                </c:pt>
                <c:pt idx="29">
                  <c:v>50.074793673231085</c:v>
                </c:pt>
                <c:pt idx="30">
                  <c:v>50.017134052979692</c:v>
                </c:pt>
                <c:pt idx="31">
                  <c:v>49.960669406493814</c:v>
                </c:pt>
                <c:pt idx="32">
                  <c:v>49.905912549981487</c:v>
                </c:pt>
                <c:pt idx="33">
                  <c:v>49.85329957414146</c:v>
                </c:pt>
                <c:pt idx="34">
                  <c:v>49.803193711110211</c:v>
                </c:pt>
                <c:pt idx="35">
                  <c:v>49.755888910277434</c:v>
                </c:pt>
                <c:pt idx="36">
                  <c:v>49.71161315999349</c:v>
                </c:pt>
                <c:pt idx="37">
                  <c:v>49.670531570636406</c:v>
                </c:pt>
                <c:pt idx="38">
                  <c:v>49.632749230706189</c:v>
                </c:pt>
                <c:pt idx="39">
                  <c:v>49.598313847792838</c:v>
                </c:pt>
                <c:pt idx="40">
                  <c:v>49.567218187199487</c:v>
                </c:pt>
                <c:pt idx="41">
                  <c:v>49.53940232195243</c:v>
                </c:pt>
                <c:pt idx="42">
                  <c:v>49.514755708745369</c:v>
                </c:pt>
                <c:pt idx="43">
                  <c:v>49.493119105008589</c:v>
                </c:pt>
                <c:pt idx="44">
                  <c:v>49.474286342782996</c:v>
                </c:pt>
                <c:pt idx="45">
                  <c:v>49.458005975413414</c:v>
                </c:pt>
                <c:pt idx="46">
                  <c:v>49.443982813277515</c:v>
                </c:pt>
                <c:pt idx="47">
                  <c:v>49.431879364839602</c:v>
                </c:pt>
                <c:pt idx="48">
                  <c:v>49.421317199278484</c:v>
                </c:pt>
                <c:pt idx="49">
                  <c:v>49.41187824679087</c:v>
                </c:pt>
                <c:pt idx="50">
                  <c:v>49.403106052430736</c:v>
                </c:pt>
                <c:pt idx="51">
                  <c:v>49.394506999014183</c:v>
                </c:pt>
                <c:pt idx="52">
                  <c:v>49.385551514207727</c:v>
                </c:pt>
                <c:pt idx="53">
                  <c:v>49.375675276438898</c:v>
                </c:pt>
                <c:pt idx="54">
                  <c:v>49.364280433715486</c:v>
                </c:pt>
                <c:pt idx="55">
                  <c:v>49.350736848836483</c:v>
                </c:pt>
                <c:pt idx="56">
                  <c:v>49.334383383814853</c:v>
                </c:pt>
                <c:pt idx="57">
                  <c:v>49.31452923562491</c:v>
                </c:pt>
                <c:pt idx="58">
                  <c:v>49.290455334638075</c:v>
                </c:pt>
                <c:pt idx="59">
                  <c:v>49.261415816321239</c:v>
                </c:pt>
                <c:pt idx="60">
                  <c:v>49.226639575953868</c:v>
                </c:pt>
                <c:pt idx="61">
                  <c:v>49.185331915270361</c:v>
                </c:pt>
                <c:pt idx="62">
                  <c:v>49.136676289061256</c:v>
                </c:pt>
                <c:pt idx="63">
                  <c:v>49.079836158875523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3F-4557-845B-CEB206D889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6499320"/>
        <c:axId val="846499712"/>
      </c:scatterChart>
      <c:valAx>
        <c:axId val="846499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(years)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6499712"/>
        <c:crosses val="autoZero"/>
        <c:crossBetween val="midCat"/>
      </c:valAx>
      <c:valAx>
        <c:axId val="846499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QRap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6499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QLIV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'Liver flow'!$B$10:$B$72</c:f>
              <c:numCache>
                <c:formatCode>0.0</c:formatCode>
                <c:ptCount val="6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4.5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10.5</c:v>
                </c:pt>
                <c:pt idx="14" formatCode="0">
                  <c:v>11</c:v>
                </c:pt>
                <c:pt idx="15" formatCode="0">
                  <c:v>12</c:v>
                </c:pt>
                <c:pt idx="16" formatCode="0">
                  <c:v>13</c:v>
                </c:pt>
                <c:pt idx="17" formatCode="0">
                  <c:v>14</c:v>
                </c:pt>
                <c:pt idx="18" formatCode="0">
                  <c:v>15</c:v>
                </c:pt>
                <c:pt idx="19" formatCode="0">
                  <c:v>16</c:v>
                </c:pt>
                <c:pt idx="20" formatCode="0">
                  <c:v>17</c:v>
                </c:pt>
                <c:pt idx="21" formatCode="0">
                  <c:v>18</c:v>
                </c:pt>
                <c:pt idx="22" formatCode="0">
                  <c:v>19</c:v>
                </c:pt>
                <c:pt idx="23" formatCode="0">
                  <c:v>20</c:v>
                </c:pt>
                <c:pt idx="24" formatCode="0">
                  <c:v>21</c:v>
                </c:pt>
                <c:pt idx="25" formatCode="0">
                  <c:v>22</c:v>
                </c:pt>
                <c:pt idx="26" formatCode="0">
                  <c:v>23</c:v>
                </c:pt>
                <c:pt idx="27" formatCode="0">
                  <c:v>24</c:v>
                </c:pt>
                <c:pt idx="28" formatCode="0">
                  <c:v>25</c:v>
                </c:pt>
                <c:pt idx="29" formatCode="0">
                  <c:v>26</c:v>
                </c:pt>
                <c:pt idx="30" formatCode="0">
                  <c:v>27</c:v>
                </c:pt>
                <c:pt idx="31" formatCode="0">
                  <c:v>28</c:v>
                </c:pt>
                <c:pt idx="32" formatCode="0">
                  <c:v>29</c:v>
                </c:pt>
                <c:pt idx="33" formatCode="0">
                  <c:v>30</c:v>
                </c:pt>
                <c:pt idx="34" formatCode="0">
                  <c:v>31</c:v>
                </c:pt>
                <c:pt idx="35" formatCode="0">
                  <c:v>32</c:v>
                </c:pt>
                <c:pt idx="36" formatCode="0">
                  <c:v>33</c:v>
                </c:pt>
                <c:pt idx="37" formatCode="0">
                  <c:v>34</c:v>
                </c:pt>
                <c:pt idx="38" formatCode="0">
                  <c:v>35</c:v>
                </c:pt>
                <c:pt idx="39" formatCode="0">
                  <c:v>36</c:v>
                </c:pt>
                <c:pt idx="40" formatCode="0">
                  <c:v>37</c:v>
                </c:pt>
                <c:pt idx="41" formatCode="0">
                  <c:v>38</c:v>
                </c:pt>
                <c:pt idx="42" formatCode="0">
                  <c:v>39</c:v>
                </c:pt>
                <c:pt idx="43" formatCode="0">
                  <c:v>40</c:v>
                </c:pt>
                <c:pt idx="44" formatCode="0">
                  <c:v>41</c:v>
                </c:pt>
                <c:pt idx="45" formatCode="0">
                  <c:v>42</c:v>
                </c:pt>
                <c:pt idx="46" formatCode="0">
                  <c:v>43</c:v>
                </c:pt>
                <c:pt idx="47" formatCode="0">
                  <c:v>44</c:v>
                </c:pt>
                <c:pt idx="48" formatCode="0">
                  <c:v>45</c:v>
                </c:pt>
                <c:pt idx="49" formatCode="0">
                  <c:v>46</c:v>
                </c:pt>
                <c:pt idx="50" formatCode="0">
                  <c:v>47</c:v>
                </c:pt>
                <c:pt idx="51" formatCode="0">
                  <c:v>48</c:v>
                </c:pt>
                <c:pt idx="52" formatCode="0">
                  <c:v>49</c:v>
                </c:pt>
                <c:pt idx="53" formatCode="0">
                  <c:v>50</c:v>
                </c:pt>
                <c:pt idx="54" formatCode="0">
                  <c:v>51</c:v>
                </c:pt>
                <c:pt idx="55" formatCode="0">
                  <c:v>52</c:v>
                </c:pt>
                <c:pt idx="56" formatCode="0">
                  <c:v>53</c:v>
                </c:pt>
                <c:pt idx="57" formatCode="0">
                  <c:v>54</c:v>
                </c:pt>
                <c:pt idx="58" formatCode="0">
                  <c:v>55</c:v>
                </c:pt>
                <c:pt idx="59" formatCode="0">
                  <c:v>56</c:v>
                </c:pt>
                <c:pt idx="60" formatCode="0">
                  <c:v>57</c:v>
                </c:pt>
                <c:pt idx="61" formatCode="0">
                  <c:v>58</c:v>
                </c:pt>
                <c:pt idx="62" formatCode="0">
                  <c:v>59</c:v>
                </c:pt>
              </c:numCache>
            </c:numRef>
          </c:xVal>
          <c:yVal>
            <c:numRef>
              <c:f>'Liver flow'!$I$10:$I$72</c:f>
              <c:numCache>
                <c:formatCode>0.00</c:formatCode>
                <c:ptCount val="63"/>
                <c:pt idx="0">
                  <c:v>12.575252512655767</c:v>
                </c:pt>
                <c:pt idx="1">
                  <c:v>14.242769862457237</c:v>
                </c:pt>
                <c:pt idx="2">
                  <c:v>15.484111584164397</c:v>
                </c:pt>
                <c:pt idx="3">
                  <c:v>16.895806518881855</c:v>
                </c:pt>
                <c:pt idx="4">
                  <c:v>18.337102532664922</c:v>
                </c:pt>
                <c:pt idx="5">
                  <c:v>21.487448190331641</c:v>
                </c:pt>
                <c:pt idx="6">
                  <c:v>22.927320376757883</c:v>
                </c:pt>
                <c:pt idx="7">
                  <c:v>24.2862245907498</c:v>
                </c:pt>
                <c:pt idx="8">
                  <c:v>26.798663207284672</c:v>
                </c:pt>
                <c:pt idx="9">
                  <c:v>29.10103614818598</c:v>
                </c:pt>
                <c:pt idx="10">
                  <c:v>31.261204565238252</c:v>
                </c:pt>
                <c:pt idx="11">
                  <c:v>33.330016104207168</c:v>
                </c:pt>
                <c:pt idx="12">
                  <c:v>35.338462070083402</c:v>
                </c:pt>
                <c:pt idx="13">
                  <c:v>36.325261174939527</c:v>
                </c:pt>
                <c:pt idx="14">
                  <c:v>37.302741347512367</c:v>
                </c:pt>
                <c:pt idx="15">
                  <c:v>39.247142583501791</c:v>
                </c:pt>
                <c:pt idx="16">
                  <c:v>41.264519168446775</c:v>
                </c:pt>
                <c:pt idx="17">
                  <c:v>43.569339795283213</c:v>
                </c:pt>
                <c:pt idx="18">
                  <c:v>46.107746261912077</c:v>
                </c:pt>
                <c:pt idx="19">
                  <c:v>48.085959005277431</c:v>
                </c:pt>
                <c:pt idx="20">
                  <c:v>49.251912254663289</c:v>
                </c:pt>
                <c:pt idx="21">
                  <c:v>49.972777566203135</c:v>
                </c:pt>
                <c:pt idx="22">
                  <c:v>50.4753666252969</c:v>
                </c:pt>
                <c:pt idx="23">
                  <c:v>50.656746145392098</c:v>
                </c:pt>
                <c:pt idx="24">
                  <c:v>50.678461847305385</c:v>
                </c:pt>
                <c:pt idx="25">
                  <c:v>50.789951320573408</c:v>
                </c:pt>
                <c:pt idx="26">
                  <c:v>50.897718605932404</c:v>
                </c:pt>
                <c:pt idx="27">
                  <c:v>50.849897250693225</c:v>
                </c:pt>
                <c:pt idx="28">
                  <c:v>50.775096007390914</c:v>
                </c:pt>
                <c:pt idx="29">
                  <c:v>50.694287539453875</c:v>
                </c:pt>
                <c:pt idx="30">
                  <c:v>50.630066440188152</c:v>
                </c:pt>
                <c:pt idx="31">
                  <c:v>50.570215682900979</c:v>
                </c:pt>
                <c:pt idx="32">
                  <c:v>50.51495682665076</c:v>
                </c:pt>
                <c:pt idx="33">
                  <c:v>50.464452972669399</c:v>
                </c:pt>
                <c:pt idx="34">
                  <c:v>50.418811852109549</c:v>
                </c:pt>
                <c:pt idx="35">
                  <c:v>50.378088663012484</c:v>
                </c:pt>
                <c:pt idx="36">
                  <c:v>50.342288698349449</c:v>
                </c:pt>
                <c:pt idx="37">
                  <c:v>50.311369781607183</c:v>
                </c:pt>
                <c:pt idx="38">
                  <c:v>50.285244521199267</c:v>
                </c:pt>
                <c:pt idx="39">
                  <c:v>50.26378239434424</c:v>
                </c:pt>
                <c:pt idx="40">
                  <c:v>50.246811671357769</c:v>
                </c:pt>
                <c:pt idx="41">
                  <c:v>50.234121191739014</c:v>
                </c:pt>
                <c:pt idx="42">
                  <c:v>50.225462003816538</c:v>
                </c:pt>
                <c:pt idx="43">
                  <c:v>50.220548880008593</c:v>
                </c:pt>
                <c:pt idx="44">
                  <c:v>50.219061719956905</c:v>
                </c:pt>
                <c:pt idx="45">
                  <c:v>50.220646853903531</c:v>
                </c:pt>
                <c:pt idx="46">
                  <c:v>50.224918258714581</c:v>
                </c:pt>
                <c:pt idx="47">
                  <c:v>50.231458698909194</c:v>
                </c:pt>
                <c:pt idx="48">
                  <c:v>50.239820804940109</c:v>
                </c:pt>
                <c:pt idx="49">
                  <c:v>50.249528100793036</c:v>
                </c:pt>
                <c:pt idx="50">
                  <c:v>50.260075992736411</c:v>
                </c:pt>
                <c:pt idx="51">
                  <c:v>50.270932730761245</c:v>
                </c:pt>
                <c:pt idx="52">
                  <c:v>50.281540353909598</c:v>
                </c:pt>
                <c:pt idx="53">
                  <c:v>50.291315630306642</c:v>
                </c:pt>
                <c:pt idx="54">
                  <c:v>50.29965100228101</c:v>
                </c:pt>
                <c:pt idx="55">
                  <c:v>50.305915546497999</c:v>
                </c:pt>
                <c:pt idx="56">
                  <c:v>50.309455958530279</c:v>
                </c:pt>
                <c:pt idx="57">
                  <c:v>50.309597570764986</c:v>
                </c:pt>
                <c:pt idx="58">
                  <c:v>50.305645411993034</c:v>
                </c:pt>
                <c:pt idx="59">
                  <c:v>50.296885316448808</c:v>
                </c:pt>
                <c:pt idx="60">
                  <c:v>50.282585089472263</c:v>
                </c:pt>
                <c:pt idx="61">
                  <c:v>50.261995736350805</c:v>
                </c:pt>
                <c:pt idx="62">
                  <c:v>50.234352760268237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639-4628-82C4-F8DF50C667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6500496"/>
        <c:axId val="846500888"/>
      </c:scatterChart>
      <c:valAx>
        <c:axId val="8465004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6500888"/>
        <c:crosses val="autoZero"/>
        <c:crossBetween val="midCat"/>
      </c:valAx>
      <c:valAx>
        <c:axId val="8465008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QLIV (L/h)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6500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QLIVC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'Liver flow'!$B$10:$B$72</c:f>
              <c:numCache>
                <c:formatCode>0.0</c:formatCode>
                <c:ptCount val="6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4.5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10.5</c:v>
                </c:pt>
                <c:pt idx="14" formatCode="0">
                  <c:v>11</c:v>
                </c:pt>
                <c:pt idx="15" formatCode="0">
                  <c:v>12</c:v>
                </c:pt>
                <c:pt idx="16" formatCode="0">
                  <c:v>13</c:v>
                </c:pt>
                <c:pt idx="17" formatCode="0">
                  <c:v>14</c:v>
                </c:pt>
                <c:pt idx="18" formatCode="0">
                  <c:v>15</c:v>
                </c:pt>
                <c:pt idx="19" formatCode="0">
                  <c:v>16</c:v>
                </c:pt>
                <c:pt idx="20" formatCode="0">
                  <c:v>17</c:v>
                </c:pt>
                <c:pt idx="21" formatCode="0">
                  <c:v>18</c:v>
                </c:pt>
                <c:pt idx="22" formatCode="0">
                  <c:v>19</c:v>
                </c:pt>
                <c:pt idx="23" formatCode="0">
                  <c:v>20</c:v>
                </c:pt>
                <c:pt idx="24" formatCode="0">
                  <c:v>21</c:v>
                </c:pt>
                <c:pt idx="25" formatCode="0">
                  <c:v>22</c:v>
                </c:pt>
                <c:pt idx="26" formatCode="0">
                  <c:v>23</c:v>
                </c:pt>
                <c:pt idx="27" formatCode="0">
                  <c:v>24</c:v>
                </c:pt>
                <c:pt idx="28" formatCode="0">
                  <c:v>25</c:v>
                </c:pt>
                <c:pt idx="29" formatCode="0">
                  <c:v>26</c:v>
                </c:pt>
                <c:pt idx="30" formatCode="0">
                  <c:v>27</c:v>
                </c:pt>
                <c:pt idx="31" formatCode="0">
                  <c:v>28</c:v>
                </c:pt>
                <c:pt idx="32" formatCode="0">
                  <c:v>29</c:v>
                </c:pt>
                <c:pt idx="33" formatCode="0">
                  <c:v>30</c:v>
                </c:pt>
                <c:pt idx="34" formatCode="0">
                  <c:v>31</c:v>
                </c:pt>
                <c:pt idx="35" formatCode="0">
                  <c:v>32</c:v>
                </c:pt>
                <c:pt idx="36" formatCode="0">
                  <c:v>33</c:v>
                </c:pt>
                <c:pt idx="37" formatCode="0">
                  <c:v>34</c:v>
                </c:pt>
                <c:pt idx="38" formatCode="0">
                  <c:v>35</c:v>
                </c:pt>
                <c:pt idx="39" formatCode="0">
                  <c:v>36</c:v>
                </c:pt>
                <c:pt idx="40" formatCode="0">
                  <c:v>37</c:v>
                </c:pt>
                <c:pt idx="41" formatCode="0">
                  <c:v>38</c:v>
                </c:pt>
                <c:pt idx="42" formatCode="0">
                  <c:v>39</c:v>
                </c:pt>
                <c:pt idx="43" formatCode="0">
                  <c:v>40</c:v>
                </c:pt>
                <c:pt idx="44" formatCode="0">
                  <c:v>41</c:v>
                </c:pt>
                <c:pt idx="45" formatCode="0">
                  <c:v>42</c:v>
                </c:pt>
                <c:pt idx="46" formatCode="0">
                  <c:v>43</c:v>
                </c:pt>
                <c:pt idx="47" formatCode="0">
                  <c:v>44</c:v>
                </c:pt>
                <c:pt idx="48" formatCode="0">
                  <c:v>45</c:v>
                </c:pt>
                <c:pt idx="49" formatCode="0">
                  <c:v>46</c:v>
                </c:pt>
                <c:pt idx="50" formatCode="0">
                  <c:v>47</c:v>
                </c:pt>
                <c:pt idx="51" formatCode="0">
                  <c:v>48</c:v>
                </c:pt>
                <c:pt idx="52" formatCode="0">
                  <c:v>49</c:v>
                </c:pt>
                <c:pt idx="53" formatCode="0">
                  <c:v>50</c:v>
                </c:pt>
                <c:pt idx="54" formatCode="0">
                  <c:v>51</c:v>
                </c:pt>
                <c:pt idx="55" formatCode="0">
                  <c:v>52</c:v>
                </c:pt>
                <c:pt idx="56" formatCode="0">
                  <c:v>53</c:v>
                </c:pt>
                <c:pt idx="57" formatCode="0">
                  <c:v>54</c:v>
                </c:pt>
                <c:pt idx="58" formatCode="0">
                  <c:v>55</c:v>
                </c:pt>
                <c:pt idx="59" formatCode="0">
                  <c:v>56</c:v>
                </c:pt>
                <c:pt idx="60" formatCode="0">
                  <c:v>57</c:v>
                </c:pt>
                <c:pt idx="61" formatCode="0">
                  <c:v>58</c:v>
                </c:pt>
                <c:pt idx="62" formatCode="0">
                  <c:v>59</c:v>
                </c:pt>
              </c:numCache>
            </c:numRef>
          </c:xVal>
          <c:yVal>
            <c:numRef>
              <c:f>'Liver flow'!$H$10:$H$72</c:f>
              <c:numCache>
                <c:formatCode>0.000</c:formatCode>
                <c:ptCount val="63"/>
                <c:pt idx="0">
                  <c:v>0.23360553243151125</c:v>
                </c:pt>
                <c:pt idx="1">
                  <c:v>0.22471791106035777</c:v>
                </c:pt>
                <c:pt idx="2">
                  <c:v>0.2180476547449873</c:v>
                </c:pt>
                <c:pt idx="3">
                  <c:v>0.21304395036241502</c:v>
                </c:pt>
                <c:pt idx="4">
                  <c:v>0.20633258002793675</c:v>
                </c:pt>
                <c:pt idx="5">
                  <c:v>0.21573356689993384</c:v>
                </c:pt>
                <c:pt idx="6">
                  <c:v>0.21940836610394726</c:v>
                </c:pt>
                <c:pt idx="7">
                  <c:v>0.22245398169085082</c:v>
                </c:pt>
                <c:pt idx="8">
                  <c:v>0.22687776015470992</c:v>
                </c:pt>
                <c:pt idx="9">
                  <c:v>0.22942274276994312</c:v>
                </c:pt>
                <c:pt idx="10">
                  <c:v>0.23044544064932779</c:v>
                </c:pt>
                <c:pt idx="11">
                  <c:v>0.23025370751956703</c:v>
                </c:pt>
                <c:pt idx="12">
                  <c:v>0.22913958891628786</c:v>
                </c:pt>
                <c:pt idx="13">
                  <c:v>0.22833231417233113</c:v>
                </c:pt>
                <c:pt idx="14">
                  <c:v>0.22741564723170252</c:v>
                </c:pt>
                <c:pt idx="15">
                  <c:v>0.22547003383281872</c:v>
                </c:pt>
                <c:pt idx="16">
                  <c:v>0.22388114706865914</c:v>
                </c:pt>
                <c:pt idx="17">
                  <c:v>0.22344297428807586</c:v>
                </c:pt>
                <c:pt idx="18">
                  <c:v>0.22406964461386208</c:v>
                </c:pt>
                <c:pt idx="19">
                  <c:v>0.22398755565336884</c:v>
                </c:pt>
                <c:pt idx="20">
                  <c:v>0.22287447545600098</c:v>
                </c:pt>
                <c:pt idx="21">
                  <c:v>0.22159314152992257</c:v>
                </c:pt>
                <c:pt idx="22">
                  <c:v>0.22054852577177031</c:v>
                </c:pt>
                <c:pt idx="23">
                  <c:v>0.21899516381139333</c:v>
                </c:pt>
                <c:pt idx="24">
                  <c:v>0.2174450922369543</c:v>
                </c:pt>
                <c:pt idx="25">
                  <c:v>0.21680283854698515</c:v>
                </c:pt>
                <c:pt idx="26">
                  <c:v>0.21652834445307645</c:v>
                </c:pt>
                <c:pt idx="27">
                  <c:v>0.21587037296591105</c:v>
                </c:pt>
                <c:pt idx="28">
                  <c:v>0.21529435642080336</c:v>
                </c:pt>
                <c:pt idx="29">
                  <c:v>0.21475624501859097</c:v>
                </c:pt>
                <c:pt idx="30">
                  <c:v>0.21418107098687872</c:v>
                </c:pt>
                <c:pt idx="31">
                  <c:v>0.21361164129427401</c:v>
                </c:pt>
                <c:pt idx="32">
                  <c:v>0.21304983474231898</c:v>
                </c:pt>
                <c:pt idx="33">
                  <c:v>0.21249741073799283</c:v>
                </c:pt>
                <c:pt idx="34">
                  <c:v>0.21195601099046424</c:v>
                </c:pt>
                <c:pt idx="35">
                  <c:v>0.21142716123159294</c:v>
                </c:pt>
                <c:pt idx="36">
                  <c:v>0.21091227301223603</c:v>
                </c:pt>
                <c:pt idx="37">
                  <c:v>0.21041264557825465</c:v>
                </c:pt>
                <c:pt idx="38">
                  <c:v>0.20992946781957028</c:v>
                </c:pt>
                <c:pt idx="39">
                  <c:v>0.2094638202839616</c:v>
                </c:pt>
                <c:pt idx="40">
                  <c:v>0.20901667724763365</c:v>
                </c:pt>
                <c:pt idx="41">
                  <c:v>0.20858890883531478</c:v>
                </c:pt>
                <c:pt idx="42">
                  <c:v>0.20818128318338944</c:v>
                </c:pt>
                <c:pt idx="43">
                  <c:v>0.20779446864024881</c:v>
                </c:pt>
                <c:pt idx="44">
                  <c:v>0.20742903599865647</c:v>
                </c:pt>
                <c:pt idx="45">
                  <c:v>0.20708546075546547</c:v>
                </c:pt>
                <c:pt idx="46">
                  <c:v>0.20676412539450789</c:v>
                </c:pt>
                <c:pt idx="47">
                  <c:v>0.20646532168890919</c:v>
                </c:pt>
                <c:pt idx="48">
                  <c:v>0.20618925301946306</c:v>
                </c:pt>
                <c:pt idx="49">
                  <c:v>0.2059360367060479</c:v>
                </c:pt>
                <c:pt idx="50">
                  <c:v>0.2057057063493764</c:v>
                </c:pt>
                <c:pt idx="51">
                  <c:v>0.2054982141806469</c:v>
                </c:pt>
                <c:pt idx="52">
                  <c:v>0.2053134334169151</c:v>
                </c:pt>
                <c:pt idx="53">
                  <c:v>0.20515116062023642</c:v>
                </c:pt>
                <c:pt idx="54">
                  <c:v>0.20501111805882838</c:v>
                </c:pt>
                <c:pt idx="55">
                  <c:v>0.20489295606869684</c:v>
                </c:pt>
                <c:pt idx="56">
                  <c:v>0.20479625541433569</c:v>
                </c:pt>
                <c:pt idx="57">
                  <c:v>0.20472052964726947</c:v>
                </c:pt>
                <c:pt idx="58">
                  <c:v>0.20466522746135174</c:v>
                </c:pt>
                <c:pt idx="59">
                  <c:v>0.20462973504386484</c:v>
                </c:pt>
                <c:pt idx="60">
                  <c:v>0.20461337842159183</c:v>
                </c:pt>
                <c:pt idx="61">
                  <c:v>0.2046154258011465</c:v>
                </c:pt>
                <c:pt idx="62">
                  <c:v>0.20463508990295393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70-470D-A807-BF094A1A40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6501672"/>
        <c:axId val="846502064"/>
      </c:scatterChart>
      <c:valAx>
        <c:axId val="8465016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6502064"/>
        <c:crosses val="autoZero"/>
        <c:crossBetween val="midCat"/>
      </c:valAx>
      <c:valAx>
        <c:axId val="846502064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QLIVC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6501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8707262107700455E-2"/>
          <c:y val="0.13392385392385395"/>
          <c:w val="0.85711456171071398"/>
          <c:h val="0.74671854829335149"/>
        </c:manualLayout>
      </c:layout>
      <c:scatterChart>
        <c:scatterStyle val="smoothMarker"/>
        <c:varyColors val="0"/>
        <c:ser>
          <c:idx val="0"/>
          <c:order val="0"/>
          <c:tx>
            <c:v>Simulation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[1]BMI!$L$11:$L$71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[1]BMI!$K$11:$K$71</c:f>
              <c:numCache>
                <c:formatCode>General</c:formatCode>
                <c:ptCount val="61"/>
                <c:pt idx="0">
                  <c:v>12.29716980187337</c:v>
                </c:pt>
                <c:pt idx="1">
                  <c:v>14.441426235012466</c:v>
                </c:pt>
                <c:pt idx="2">
                  <c:v>16.468190199859553</c:v>
                </c:pt>
                <c:pt idx="3">
                  <c:v>16.89949606773245</c:v>
                </c:pt>
                <c:pt idx="4">
                  <c:v>16.098904135055353</c:v>
                </c:pt>
                <c:pt idx="5">
                  <c:v>15.626748723014323</c:v>
                </c:pt>
                <c:pt idx="6">
                  <c:v>15.464619552384676</c:v>
                </c:pt>
                <c:pt idx="7">
                  <c:v>15.593437798638172</c:v>
                </c:pt>
                <c:pt idx="8">
                  <c:v>15.996645167257942</c:v>
                </c:pt>
                <c:pt idx="9">
                  <c:v>16.654244942212689</c:v>
                </c:pt>
                <c:pt idx="10">
                  <c:v>17.531956383724435</c:v>
                </c:pt>
                <c:pt idx="11">
                  <c:v>18.562420504619762</c:v>
                </c:pt>
                <c:pt idx="12">
                  <c:v>19.603755771089176</c:v>
                </c:pt>
                <c:pt idx="13">
                  <c:v>20.365260952373141</c:v>
                </c:pt>
                <c:pt idx="14">
                  <c:v>20.538962216627699</c:v>
                </c:pt>
                <c:pt idx="15">
                  <c:v>20.572330976384745</c:v>
                </c:pt>
                <c:pt idx="16">
                  <c:v>21.15650200995627</c:v>
                </c:pt>
                <c:pt idx="17">
                  <c:v>22.067674052218397</c:v>
                </c:pt>
                <c:pt idx="18">
                  <c:v>22.968688778705847</c:v>
                </c:pt>
                <c:pt idx="19">
                  <c:v>23.741661957693964</c:v>
                </c:pt>
                <c:pt idx="20">
                  <c:v>24.371147851485944</c:v>
                </c:pt>
                <c:pt idx="21">
                  <c:v>24.872219201734559</c:v>
                </c:pt>
                <c:pt idx="22">
                  <c:v>25.266816104131305</c:v>
                </c:pt>
                <c:pt idx="23">
                  <c:v>25.576364992575158</c:v>
                </c:pt>
                <c:pt idx="24">
                  <c:v>25.819469238246779</c:v>
                </c:pt>
                <c:pt idx="25">
                  <c:v>26.011388449180235</c:v>
                </c:pt>
                <c:pt idx="26">
                  <c:v>26.300784167852225</c:v>
                </c:pt>
                <c:pt idx="27">
                  <c:v>26.49598866698955</c:v>
                </c:pt>
                <c:pt idx="28">
                  <c:v>26.68136948272857</c:v>
                </c:pt>
                <c:pt idx="29">
                  <c:v>26.857003759440111</c:v>
                </c:pt>
                <c:pt idx="30">
                  <c:v>27.02296868790712</c:v>
                </c:pt>
                <c:pt idx="31">
                  <c:v>27.179341469350536</c:v>
                </c:pt>
                <c:pt idx="32">
                  <c:v>27.326199307337728</c:v>
                </c:pt>
                <c:pt idx="33">
                  <c:v>27.46361940596336</c:v>
                </c:pt>
                <c:pt idx="34">
                  <c:v>27.591678969440508</c:v>
                </c:pt>
                <c:pt idx="35">
                  <c:v>27.71045520200882</c:v>
                </c:pt>
                <c:pt idx="36">
                  <c:v>27.82002530791393</c:v>
                </c:pt>
                <c:pt idx="37">
                  <c:v>27.920466491402809</c:v>
                </c:pt>
                <c:pt idx="38">
                  <c:v>28.011855956722734</c:v>
                </c:pt>
                <c:pt idx="39">
                  <c:v>28.094270908121036</c:v>
                </c:pt>
                <c:pt idx="40">
                  <c:v>28.167788549845074</c:v>
                </c:pt>
                <c:pt idx="41">
                  <c:v>28.232486086142195</c:v>
                </c:pt>
                <c:pt idx="42">
                  <c:v>28.288440721259761</c:v>
                </c:pt>
                <c:pt idx="43">
                  <c:v>28.335729659445128</c:v>
                </c:pt>
                <c:pt idx="44">
                  <c:v>28.374430104945652</c:v>
                </c:pt>
                <c:pt idx="45">
                  <c:v>28.404619262008687</c:v>
                </c:pt>
                <c:pt idx="46">
                  <c:v>28.426374334881594</c:v>
                </c:pt>
                <c:pt idx="47">
                  <c:v>28.439772527811733</c:v>
                </c:pt>
                <c:pt idx="48">
                  <c:v>28.444891045046454</c:v>
                </c:pt>
                <c:pt idx="49">
                  <c:v>28.441807090833116</c:v>
                </c:pt>
                <c:pt idx="50">
                  <c:v>28.430597869419081</c:v>
                </c:pt>
                <c:pt idx="51">
                  <c:v>28.411340585051693</c:v>
                </c:pt>
                <c:pt idx="52">
                  <c:v>28.384112441978317</c:v>
                </c:pt>
                <c:pt idx="53">
                  <c:v>28.34899064444631</c:v>
                </c:pt>
                <c:pt idx="54">
                  <c:v>28.306052396703038</c:v>
                </c:pt>
                <c:pt idx="55">
                  <c:v>28.25537490299584</c:v>
                </c:pt>
                <c:pt idx="56">
                  <c:v>28.197035367572077</c:v>
                </c:pt>
                <c:pt idx="57">
                  <c:v>28.131110994679119</c:v>
                </c:pt>
                <c:pt idx="58">
                  <c:v>28.057678988564305</c:v>
                </c:pt>
                <c:pt idx="59">
                  <c:v>27.976816553475004</c:v>
                </c:pt>
                <c:pt idx="60">
                  <c:v>27.88860089365857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521-4A25-A830-C04DBF07AB97}"/>
            </c:ext>
          </c:extLst>
        </c:ser>
        <c:ser>
          <c:idx val="1"/>
          <c:order val="1"/>
          <c:tx>
            <c:v>NHANES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[1]BMI!$L$11:$L$71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[1]BMI!$M$11:$M$71</c:f>
              <c:numCache>
                <c:formatCode>General</c:formatCode>
                <c:ptCount val="61"/>
                <c:pt idx="2">
                  <c:v>16.574999999999999</c:v>
                </c:pt>
                <c:pt idx="3">
                  <c:v>16.065000000000001</c:v>
                </c:pt>
                <c:pt idx="4">
                  <c:v>15.67</c:v>
                </c:pt>
                <c:pt idx="5">
                  <c:v>15.75</c:v>
                </c:pt>
                <c:pt idx="6">
                  <c:v>16.149999999999999</c:v>
                </c:pt>
                <c:pt idx="7">
                  <c:v>16.600000000000001</c:v>
                </c:pt>
                <c:pt idx="8">
                  <c:v>17.16</c:v>
                </c:pt>
                <c:pt idx="9">
                  <c:v>17.934999999999999</c:v>
                </c:pt>
                <c:pt idx="10">
                  <c:v>18.37</c:v>
                </c:pt>
                <c:pt idx="11">
                  <c:v>18.850000000000001</c:v>
                </c:pt>
                <c:pt idx="12">
                  <c:v>19.829999999999998</c:v>
                </c:pt>
                <c:pt idx="13">
                  <c:v>20.170000000000002</c:v>
                </c:pt>
                <c:pt idx="14">
                  <c:v>20.84</c:v>
                </c:pt>
                <c:pt idx="15">
                  <c:v>22.164999999999999</c:v>
                </c:pt>
                <c:pt idx="16">
                  <c:v>22.63</c:v>
                </c:pt>
                <c:pt idx="17">
                  <c:v>22.98</c:v>
                </c:pt>
                <c:pt idx="18">
                  <c:v>24.13</c:v>
                </c:pt>
                <c:pt idx="19">
                  <c:v>23.594999999999999</c:v>
                </c:pt>
                <c:pt idx="20">
                  <c:v>25.024999999999999</c:v>
                </c:pt>
                <c:pt idx="21">
                  <c:v>25.81</c:v>
                </c:pt>
                <c:pt idx="22">
                  <c:v>23.635000000000002</c:v>
                </c:pt>
                <c:pt idx="23">
                  <c:v>25.135000000000002</c:v>
                </c:pt>
                <c:pt idx="24">
                  <c:v>26.62</c:v>
                </c:pt>
                <c:pt idx="25">
                  <c:v>26.52</c:v>
                </c:pt>
                <c:pt idx="26">
                  <c:v>26.44</c:v>
                </c:pt>
                <c:pt idx="27">
                  <c:v>26.91</c:v>
                </c:pt>
                <c:pt idx="28">
                  <c:v>26.63</c:v>
                </c:pt>
                <c:pt idx="29">
                  <c:v>29.4</c:v>
                </c:pt>
                <c:pt idx="30">
                  <c:v>26.855</c:v>
                </c:pt>
                <c:pt idx="31">
                  <c:v>25.76</c:v>
                </c:pt>
                <c:pt idx="32">
                  <c:v>29.19</c:v>
                </c:pt>
                <c:pt idx="33">
                  <c:v>27.84</c:v>
                </c:pt>
                <c:pt idx="34">
                  <c:v>27.655000000000001</c:v>
                </c:pt>
                <c:pt idx="35">
                  <c:v>28.645</c:v>
                </c:pt>
                <c:pt idx="36">
                  <c:v>28.43</c:v>
                </c:pt>
                <c:pt idx="37">
                  <c:v>27.8</c:v>
                </c:pt>
                <c:pt idx="38">
                  <c:v>28.114999999999998</c:v>
                </c:pt>
                <c:pt idx="39">
                  <c:v>28.06</c:v>
                </c:pt>
                <c:pt idx="40">
                  <c:v>27.01</c:v>
                </c:pt>
                <c:pt idx="41">
                  <c:v>29.175000000000001</c:v>
                </c:pt>
                <c:pt idx="42">
                  <c:v>28.914999999999999</c:v>
                </c:pt>
                <c:pt idx="43">
                  <c:v>29.97</c:v>
                </c:pt>
                <c:pt idx="44">
                  <c:v>27.805</c:v>
                </c:pt>
                <c:pt idx="45">
                  <c:v>29.92</c:v>
                </c:pt>
                <c:pt idx="46">
                  <c:v>28.06</c:v>
                </c:pt>
                <c:pt idx="47">
                  <c:v>28.63</c:v>
                </c:pt>
                <c:pt idx="48">
                  <c:v>27.74</c:v>
                </c:pt>
                <c:pt idx="49">
                  <c:v>27.5</c:v>
                </c:pt>
                <c:pt idx="50">
                  <c:v>26.754999999999999</c:v>
                </c:pt>
                <c:pt idx="51">
                  <c:v>26.8</c:v>
                </c:pt>
                <c:pt idx="52">
                  <c:v>27.855</c:v>
                </c:pt>
                <c:pt idx="53">
                  <c:v>27.93</c:v>
                </c:pt>
                <c:pt idx="54">
                  <c:v>28.58</c:v>
                </c:pt>
                <c:pt idx="55">
                  <c:v>28.47</c:v>
                </c:pt>
                <c:pt idx="56">
                  <c:v>27.44</c:v>
                </c:pt>
                <c:pt idx="57">
                  <c:v>29.97</c:v>
                </c:pt>
                <c:pt idx="58">
                  <c:v>29.83</c:v>
                </c:pt>
                <c:pt idx="59">
                  <c:v>30.03</c:v>
                </c:pt>
                <c:pt idx="60">
                  <c:v>28.82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521-4A25-A830-C04DBF07AB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4736256"/>
        <c:axId val="754736648"/>
      </c:scatterChart>
      <c:valAx>
        <c:axId val="754736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4736648"/>
        <c:crosses val="autoZero"/>
        <c:crossBetween val="midCat"/>
      </c:valAx>
      <c:valAx>
        <c:axId val="754736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BMI (kg/m^2)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47362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147920942871832"/>
          <c:y val="5.0516096319397845E-2"/>
          <c:w val="0.47828109115226575"/>
          <c:h val="5.65105668569979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HCT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HCT!$B$5:$B$67</c:f>
              <c:numCache>
                <c:formatCode>General</c:formatCode>
                <c:ptCount val="63"/>
                <c:pt idx="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4.5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10.5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  <c:pt idx="20">
                  <c:v>18</c:v>
                </c:pt>
                <c:pt idx="21">
                  <c:v>19</c:v>
                </c:pt>
                <c:pt idx="22">
                  <c:v>20</c:v>
                </c:pt>
                <c:pt idx="23">
                  <c:v>21</c:v>
                </c:pt>
                <c:pt idx="24">
                  <c:v>22</c:v>
                </c:pt>
                <c:pt idx="25">
                  <c:v>23</c:v>
                </c:pt>
                <c:pt idx="26">
                  <c:v>24</c:v>
                </c:pt>
                <c:pt idx="27">
                  <c:v>25</c:v>
                </c:pt>
                <c:pt idx="28">
                  <c:v>26</c:v>
                </c:pt>
                <c:pt idx="29">
                  <c:v>27</c:v>
                </c:pt>
                <c:pt idx="30">
                  <c:v>28</c:v>
                </c:pt>
                <c:pt idx="31">
                  <c:v>29</c:v>
                </c:pt>
                <c:pt idx="32">
                  <c:v>30</c:v>
                </c:pt>
                <c:pt idx="33">
                  <c:v>31</c:v>
                </c:pt>
                <c:pt idx="34">
                  <c:v>32</c:v>
                </c:pt>
                <c:pt idx="35">
                  <c:v>33</c:v>
                </c:pt>
                <c:pt idx="36">
                  <c:v>34</c:v>
                </c:pt>
                <c:pt idx="37">
                  <c:v>35</c:v>
                </c:pt>
                <c:pt idx="38">
                  <c:v>36</c:v>
                </c:pt>
                <c:pt idx="39">
                  <c:v>37</c:v>
                </c:pt>
                <c:pt idx="40">
                  <c:v>38</c:v>
                </c:pt>
                <c:pt idx="41">
                  <c:v>39</c:v>
                </c:pt>
                <c:pt idx="42">
                  <c:v>40</c:v>
                </c:pt>
                <c:pt idx="43">
                  <c:v>41</c:v>
                </c:pt>
                <c:pt idx="44">
                  <c:v>42</c:v>
                </c:pt>
                <c:pt idx="45">
                  <c:v>43</c:v>
                </c:pt>
                <c:pt idx="46">
                  <c:v>44</c:v>
                </c:pt>
                <c:pt idx="47">
                  <c:v>45</c:v>
                </c:pt>
                <c:pt idx="48">
                  <c:v>46</c:v>
                </c:pt>
                <c:pt idx="49">
                  <c:v>47</c:v>
                </c:pt>
                <c:pt idx="50">
                  <c:v>48</c:v>
                </c:pt>
                <c:pt idx="51">
                  <c:v>49</c:v>
                </c:pt>
                <c:pt idx="52">
                  <c:v>50</c:v>
                </c:pt>
                <c:pt idx="53">
                  <c:v>51</c:v>
                </c:pt>
                <c:pt idx="54">
                  <c:v>52</c:v>
                </c:pt>
                <c:pt idx="55">
                  <c:v>53</c:v>
                </c:pt>
                <c:pt idx="56">
                  <c:v>54</c:v>
                </c:pt>
                <c:pt idx="57">
                  <c:v>55</c:v>
                </c:pt>
                <c:pt idx="58">
                  <c:v>56</c:v>
                </c:pt>
                <c:pt idx="59">
                  <c:v>57</c:v>
                </c:pt>
                <c:pt idx="60">
                  <c:v>58</c:v>
                </c:pt>
                <c:pt idx="61">
                  <c:v>59</c:v>
                </c:pt>
                <c:pt idx="62">
                  <c:v>60</c:v>
                </c:pt>
              </c:numCache>
            </c:numRef>
          </c:xVal>
          <c:yVal>
            <c:numRef>
              <c:f>HCT!$D$5:$D$67</c:f>
              <c:numCache>
                <c:formatCode>General</c:formatCode>
                <c:ptCount val="63"/>
                <c:pt idx="0">
                  <c:v>0.35899999999999999</c:v>
                </c:pt>
                <c:pt idx="1">
                  <c:v>0.35899999999999999</c:v>
                </c:pt>
                <c:pt idx="2">
                  <c:v>0.34298785720000002</c:v>
                </c:pt>
                <c:pt idx="3">
                  <c:v>0.35030012205</c:v>
                </c:pt>
                <c:pt idx="4">
                  <c:v>0.35728796960000003</c:v>
                </c:pt>
                <c:pt idx="5">
                  <c:v>0.36066235216875003</c:v>
                </c:pt>
                <c:pt idx="6">
                  <c:v>0.36395816875000003</c:v>
                </c:pt>
                <c:pt idx="7">
                  <c:v>0.37031748840000001</c:v>
                </c:pt>
                <c:pt idx="8">
                  <c:v>0.37637269745000002</c:v>
                </c:pt>
                <c:pt idx="9">
                  <c:v>0.38213056480000002</c:v>
                </c:pt>
                <c:pt idx="10">
                  <c:v>0.38759785935000002</c:v>
                </c:pt>
                <c:pt idx="11">
                  <c:v>0.39278135000000003</c:v>
                </c:pt>
                <c:pt idx="12">
                  <c:v>0.39526878414375</c:v>
                </c:pt>
                <c:pt idx="13">
                  <c:v>0.39768780565</c:v>
                </c:pt>
                <c:pt idx="14">
                  <c:v>0.40232399520000001</c:v>
                </c:pt>
                <c:pt idx="15">
                  <c:v>0.40669668754999999</c:v>
                </c:pt>
                <c:pt idx="16">
                  <c:v>0.41081265160000002</c:v>
                </c:pt>
                <c:pt idx="17">
                  <c:v>0.41467865625</c:v>
                </c:pt>
                <c:pt idx="18">
                  <c:v>0.41830147039999999</c:v>
                </c:pt>
                <c:pt idx="19">
                  <c:v>0.42168786294999999</c:v>
                </c:pt>
                <c:pt idx="20">
                  <c:v>0.42484460280000003</c:v>
                </c:pt>
                <c:pt idx="21">
                  <c:v>0.42777845884999999</c:v>
                </c:pt>
                <c:pt idx="22">
                  <c:v>0.4304962</c:v>
                </c:pt>
                <c:pt idx="23">
                  <c:v>0.43300459515</c:v>
                </c:pt>
                <c:pt idx="24">
                  <c:v>0.43531041319999997</c:v>
                </c:pt>
                <c:pt idx="25">
                  <c:v>0.43742042305000001</c:v>
                </c:pt>
                <c:pt idx="26">
                  <c:v>0.43934139360000002</c:v>
                </c:pt>
                <c:pt idx="27">
                  <c:v>0.44108009375000001</c:v>
                </c:pt>
                <c:pt idx="28">
                  <c:v>0.4426432924</c:v>
                </c:pt>
                <c:pt idx="29">
                  <c:v>0.44403775844999999</c:v>
                </c:pt>
                <c:pt idx="30">
                  <c:v>0.44527026079999998</c:v>
                </c:pt>
                <c:pt idx="31">
                  <c:v>0.44634756835</c:v>
                </c:pt>
                <c:pt idx="32">
                  <c:v>0.44727644999999999</c:v>
                </c:pt>
                <c:pt idx="33">
                  <c:v>0.44806367465000002</c:v>
                </c:pt>
                <c:pt idx="34">
                  <c:v>0.44871601119999999</c:v>
                </c:pt>
                <c:pt idx="35">
                  <c:v>0.44924022855000001</c:v>
                </c:pt>
                <c:pt idx="36">
                  <c:v>0.44964309559999999</c:v>
                </c:pt>
                <c:pt idx="37">
                  <c:v>0.44993138125000004</c:v>
                </c:pt>
                <c:pt idx="38">
                  <c:v>0.45011185440000001</c:v>
                </c:pt>
                <c:pt idx="39">
                  <c:v>0.45019128395000002</c:v>
                </c:pt>
                <c:pt idx="40">
                  <c:v>0.45017643880000002</c:v>
                </c:pt>
                <c:pt idx="41">
                  <c:v>0.45007408785000003</c:v>
                </c:pt>
                <c:pt idx="42">
                  <c:v>0.44989099999999999</c:v>
                </c:pt>
                <c:pt idx="43">
                  <c:v>0.44963394415000002</c:v>
                </c:pt>
                <c:pt idx="44">
                  <c:v>0.44930968920000003</c:v>
                </c:pt>
                <c:pt idx="45">
                  <c:v>0.44892500404999996</c:v>
                </c:pt>
                <c:pt idx="46">
                  <c:v>0.44848665759999995</c:v>
                </c:pt>
                <c:pt idx="47">
                  <c:v>0.44800141874999999</c:v>
                </c:pt>
                <c:pt idx="48">
                  <c:v>0.44747605639999999</c:v>
                </c:pt>
                <c:pt idx="49">
                  <c:v>0.44691733945000001</c:v>
                </c:pt>
                <c:pt idx="50">
                  <c:v>0.4463320368</c:v>
                </c:pt>
                <c:pt idx="51">
                  <c:v>0.44572691734999997</c:v>
                </c:pt>
                <c:pt idx="52">
                  <c:v>0.44510874999999994</c:v>
                </c:pt>
                <c:pt idx="53">
                  <c:v>0.44448430365000002</c:v>
                </c:pt>
                <c:pt idx="54">
                  <c:v>0.4438603472</c:v>
                </c:pt>
                <c:pt idx="55">
                  <c:v>0.44324364954999995</c:v>
                </c:pt>
                <c:pt idx="56">
                  <c:v>0.44264097959999998</c:v>
                </c:pt>
                <c:pt idx="57">
                  <c:v>0.44205910625</c:v>
                </c:pt>
                <c:pt idx="58">
                  <c:v>0.44150479839999995</c:v>
                </c:pt>
                <c:pt idx="59">
                  <c:v>0.44098482495000008</c:v>
                </c:pt>
                <c:pt idx="60">
                  <c:v>0.44050595479999999</c:v>
                </c:pt>
                <c:pt idx="61">
                  <c:v>0.44007495685000003</c:v>
                </c:pt>
                <c:pt idx="62">
                  <c:v>0.43969860000000005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8DD-422B-81E7-D7CC6BB155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6721248"/>
        <c:axId val="656721640"/>
      </c:scatterChart>
      <c:valAx>
        <c:axId val="6567212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6721640"/>
        <c:crosses val="autoZero"/>
        <c:crossBetween val="midCat"/>
      </c:valAx>
      <c:valAx>
        <c:axId val="6567216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HCT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6721248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Dead space</a:t>
            </a:r>
          </a:p>
        </c:rich>
      </c:tx>
      <c:layout>
        <c:manualLayout>
          <c:xMode val="edge"/>
          <c:yMode val="edge"/>
          <c:x val="0.56847589865529946"/>
          <c:y val="4.4272621740994708E-2"/>
        </c:manualLayout>
      </c:layout>
      <c:overlay val="0"/>
      <c:spPr>
        <a:noFill/>
        <a:ln>
          <a:solidFill>
            <a:schemeClr val="accent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Simulation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'Pulmonary parameters'!$B$18:$B$81</c:f>
              <c:numCache>
                <c:formatCode>General</c:formatCode>
                <c:ptCount val="64"/>
                <c:pt idx="0">
                  <c:v>0.25</c:v>
                </c:pt>
                <c:pt idx="1">
                  <c:v>0.5</c:v>
                </c:pt>
                <c:pt idx="2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4.5</c:v>
                </c:pt>
                <c:pt idx="8">
                  <c:v>5</c:v>
                </c:pt>
                <c:pt idx="9">
                  <c:v>6</c:v>
                </c:pt>
                <c:pt idx="10">
                  <c:v>7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  <c:pt idx="63">
                  <c:v>60</c:v>
                </c:pt>
              </c:numCache>
            </c:numRef>
          </c:xVal>
          <c:yVal>
            <c:numRef>
              <c:f>'Pulmonary parameters'!$C$18:$C$81</c:f>
              <c:numCache>
                <c:formatCode>General</c:formatCode>
                <c:ptCount val="64"/>
                <c:pt idx="0">
                  <c:v>1.4859427412776439E-2</c:v>
                </c:pt>
                <c:pt idx="1">
                  <c:v>1.6063811968509541E-2</c:v>
                </c:pt>
                <c:pt idx="2">
                  <c:v>1.8634996196604529E-2</c:v>
                </c:pt>
                <c:pt idx="4">
                  <c:v>2.4399013995162616E-2</c:v>
                </c:pt>
                <c:pt idx="5">
                  <c:v>3.091342831891794E-2</c:v>
                </c:pt>
                <c:pt idx="6">
                  <c:v>3.8053388685169422E-2</c:v>
                </c:pt>
                <c:pt idx="7">
                  <c:v>4.1812196619025313E-2</c:v>
                </c:pt>
                <c:pt idx="8">
                  <c:v>4.567074362537251E-2</c:v>
                </c:pt>
                <c:pt idx="9">
                  <c:v>5.3607126978820543E-2</c:v>
                </c:pt>
                <c:pt idx="10">
                  <c:v>6.1705563011449346E-2</c:v>
                </c:pt>
                <c:pt idx="11">
                  <c:v>6.9819626175003396E-2</c:v>
                </c:pt>
                <c:pt idx="12">
                  <c:v>7.7819806922619278E-2</c:v>
                </c:pt>
                <c:pt idx="13">
                  <c:v>8.5597195134585691E-2</c:v>
                </c:pt>
                <c:pt idx="14">
                  <c:v>9.3064875724288398E-2</c:v>
                </c:pt>
                <c:pt idx="15">
                  <c:v>0.10015755900914651</c:v>
                </c:pt>
                <c:pt idx="16">
                  <c:v>0.10682998269271228</c:v>
                </c:pt>
                <c:pt idx="17">
                  <c:v>0.1130545660747258</c:v>
                </c:pt>
                <c:pt idx="18">
                  <c:v>0.11881870647680963</c:v>
                </c:pt>
                <c:pt idx="19">
                  <c:v>0.12412200857511804</c:v>
                </c:pt>
                <c:pt idx="20">
                  <c:v>0.12897364515959925</c:v>
                </c:pt>
                <c:pt idx="21">
                  <c:v>0.13338997070961991</c:v>
                </c:pt>
                <c:pt idx="22">
                  <c:v>0.13739244957266136</c:v>
                </c:pt>
                <c:pt idx="23">
                  <c:v>0.14100591766670326</c:v>
                </c:pt>
                <c:pt idx="24">
                  <c:v>0.14425716805751029</c:v>
                </c:pt>
                <c:pt idx="25">
                  <c:v>0.14717383348220273</c:v>
                </c:pt>
                <c:pt idx="26">
                  <c:v>0.14978352996576288</c:v>
                </c:pt>
                <c:pt idx="27">
                  <c:v>0.15211322256599163</c:v>
                </c:pt>
                <c:pt idx="28">
                  <c:v>0.15418877495056943</c:v>
                </c:pt>
                <c:pt idx="29">
                  <c:v>0.15603464742551465</c:v>
                </c:pt>
                <c:pt idx="30">
                  <c:v>0.15767371210470893</c:v>
                </c:pt>
                <c:pt idx="31">
                  <c:v>0.15912715839687161</c:v>
                </c:pt>
                <c:pt idx="32">
                  <c:v>0.16041446642068524</c:v>
                </c:pt>
                <c:pt idx="33">
                  <c:v>0.16155343006737291</c:v>
                </c:pt>
                <c:pt idx="34">
                  <c:v>0.16256021507472773</c:v>
                </c:pt>
                <c:pt idx="35">
                  <c:v>0.16344944060823338</c:v>
                </c:pt>
                <c:pt idx="36">
                  <c:v>0.1642342754695717</c:v>
                </c:pt>
                <c:pt idx="37">
                  <c:v>0.16492654220811578</c:v>
                </c:pt>
                <c:pt idx="38">
                  <c:v>0.16553682415013413</c:v>
                </c:pt>
                <c:pt idx="39">
                  <c:v>0.16607457174184623</c:v>
                </c:pt>
                <c:pt idx="40">
                  <c:v>0.1665482056836545</c:v>
                </c:pt>
                <c:pt idx="41">
                  <c:v>0.16696521516685703</c:v>
                </c:pt>
                <c:pt idx="42">
                  <c:v>0.16733225015781794</c:v>
                </c:pt>
                <c:pt idx="43">
                  <c:v>0.1676552071481888</c:v>
                </c:pt>
                <c:pt idx="44">
                  <c:v>0.16793930813710972</c:v>
                </c:pt>
                <c:pt idx="45">
                  <c:v>0.16818917286020285</c:v>
                </c:pt>
                <c:pt idx="46">
                  <c:v>0.16840888445320135</c:v>
                </c:pt>
                <c:pt idx="47">
                  <c:v>0.16860204885334815</c:v>
                </c:pt>
                <c:pt idx="48">
                  <c:v>0.16877184831361253</c:v>
                </c:pt>
                <c:pt idx="49">
                  <c:v>0.16892108944457718</c:v>
                </c:pt>
                <c:pt idx="50">
                  <c:v>0.16905224621530035</c:v>
                </c:pt>
                <c:pt idx="51">
                  <c:v>0.16916749834429567</c:v>
                </c:pt>
                <c:pt idx="52">
                  <c:v>0.16926876550013198</c:v>
                </c:pt>
                <c:pt idx="53">
                  <c:v>0.16935773771190707</c:v>
                </c:pt>
                <c:pt idx="54">
                  <c:v>0.16943590236587971</c:v>
                </c:pt>
                <c:pt idx="55">
                  <c:v>0.16950456813797038</c:v>
                </c:pt>
                <c:pt idx="56">
                  <c:v>0.16956488618419729</c:v>
                </c:pt>
                <c:pt idx="57">
                  <c:v>0.16961786888348154</c:v>
                </c:pt>
                <c:pt idx="58">
                  <c:v>0.16966440640037797</c:v>
                </c:pt>
                <c:pt idx="59">
                  <c:v>0.16970528130965767</c:v>
                </c:pt>
                <c:pt idx="60">
                  <c:v>0.16974118150058515</c:v>
                </c:pt>
                <c:pt idx="61">
                  <c:v>0.16977271155636259</c:v>
                </c:pt>
                <c:pt idx="62">
                  <c:v>0.16980040278362382</c:v>
                </c:pt>
                <c:pt idx="63">
                  <c:v>0.16982472204804447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11-4C28-8D34-EE75E3DB7146}"/>
            </c:ext>
          </c:extLst>
        </c:ser>
        <c:ser>
          <c:idx val="1"/>
          <c:order val="1"/>
          <c:tx>
            <c:v>Observed mean (IRCP, 2003)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'Pulmonary parameters'!$H$5:$H$10</c:f>
              <c:numCache>
                <c:formatCode>General</c:formatCode>
                <c:ptCount val="6"/>
                <c:pt idx="0">
                  <c:v>0.25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25</c:v>
                </c:pt>
              </c:numCache>
            </c:numRef>
          </c:xVal>
          <c:yVal>
            <c:numRef>
              <c:f>'Pulmonary parameters'!$I$5:$I$10</c:f>
              <c:numCache>
                <c:formatCode>General</c:formatCode>
                <c:ptCount val="6"/>
                <c:pt idx="0">
                  <c:v>1.4E-2</c:v>
                </c:pt>
                <c:pt idx="1">
                  <c:v>0.02</c:v>
                </c:pt>
                <c:pt idx="2">
                  <c:v>4.5999999999999999E-2</c:v>
                </c:pt>
                <c:pt idx="3">
                  <c:v>7.8E-2</c:v>
                </c:pt>
                <c:pt idx="4">
                  <c:v>0.13</c:v>
                </c:pt>
                <c:pt idx="5">
                  <c:v>0.15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211-4C28-8D34-EE75E3DB71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2235072"/>
        <c:axId val="752235464"/>
      </c:scatterChart>
      <c:valAx>
        <c:axId val="7522350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2235464"/>
        <c:crosses val="autoZero"/>
        <c:crossBetween val="midCat"/>
      </c:valAx>
      <c:valAx>
        <c:axId val="7522354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Dead space (L)</a:t>
                </a:r>
              </a:p>
            </c:rich>
          </c:tx>
          <c:layout>
            <c:manualLayout>
              <c:xMode val="edge"/>
              <c:yMode val="edge"/>
              <c:x val="5.1149205858235347E-2"/>
              <c:y val="0.19251211687042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22350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TV at resting</a:t>
            </a:r>
          </a:p>
        </c:rich>
      </c:tx>
      <c:layout>
        <c:manualLayout>
          <c:xMode val="edge"/>
          <c:yMode val="edge"/>
          <c:x val="0.56749209289196789"/>
          <c:y val="3.9695749272895771E-2"/>
        </c:manualLayout>
      </c:layout>
      <c:overlay val="0"/>
      <c:spPr>
        <a:noFill/>
        <a:ln>
          <a:solidFill>
            <a:srgbClr val="5B9BD5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Simulation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'Pulmonary parameters'!$F$18:$F$81</c:f>
              <c:numCache>
                <c:formatCode>General</c:formatCode>
                <c:ptCount val="64"/>
                <c:pt idx="0">
                  <c:v>0.25</c:v>
                </c:pt>
                <c:pt idx="1">
                  <c:v>0.5</c:v>
                </c:pt>
                <c:pt idx="2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4.5</c:v>
                </c:pt>
                <c:pt idx="8">
                  <c:v>5</c:v>
                </c:pt>
                <c:pt idx="9">
                  <c:v>6</c:v>
                </c:pt>
                <c:pt idx="10">
                  <c:v>7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  <c:pt idx="63">
                  <c:v>60</c:v>
                </c:pt>
              </c:numCache>
            </c:numRef>
          </c:xVal>
          <c:yVal>
            <c:numRef>
              <c:f>'Pulmonary parameters'!$G$18:$G$81</c:f>
              <c:numCache>
                <c:formatCode>General</c:formatCode>
                <c:ptCount val="64"/>
                <c:pt idx="0">
                  <c:v>4.722133038989159E-2</c:v>
                </c:pt>
                <c:pt idx="1">
                  <c:v>5.1625709147501322E-2</c:v>
                </c:pt>
                <c:pt idx="2">
                  <c:v>6.1163077407530415E-2</c:v>
                </c:pt>
                <c:pt idx="4">
                  <c:v>8.3092881476378055E-2</c:v>
                </c:pt>
                <c:pt idx="5">
                  <c:v>0.10858048061925069</c:v>
                </c:pt>
                <c:pt idx="6">
                  <c:v>0.13715005176721329</c:v>
                </c:pt>
                <c:pt idx="7">
                  <c:v>0.15239948319917224</c:v>
                </c:pt>
                <c:pt idx="8">
                  <c:v>0.16817730161913705</c:v>
                </c:pt>
                <c:pt idx="9">
                  <c:v>0.20095530413541426</c:v>
                </c:pt>
                <c:pt idx="10">
                  <c:v>0.23475695873573268</c:v>
                </c:pt>
                <c:pt idx="11">
                  <c:v>0.26888688490195206</c:v>
                </c:pt>
                <c:pt idx="12">
                  <c:v>0.30271931457978107</c:v>
                </c:pt>
                <c:pt idx="13">
                  <c:v>0.3357215874060947</c:v>
                </c:pt>
                <c:pt idx="14">
                  <c:v>0.36746487419747698</c:v>
                </c:pt>
                <c:pt idx="15">
                  <c:v>0.3976247897418661</c:v>
                </c:pt>
                <c:pt idx="16">
                  <c:v>0.42597482819632959</c:v>
                </c:pt>
                <c:pt idx="17">
                  <c:v>0.45237533248314349</c:v>
                </c:pt>
                <c:pt idx="18">
                  <c:v>0.47676023100242837</c:v>
                </c:pt>
                <c:pt idx="19">
                  <c:v>0.49912321555663386</c:v>
                </c:pt>
                <c:pt idx="20">
                  <c:v>0.51950450293411343</c:v>
                </c:pt>
                <c:pt idx="21">
                  <c:v>0.53797887509130515</c:v>
                </c:pt>
                <c:pt idx="22">
                  <c:v>0.55464534813648492</c:v>
                </c:pt>
                <c:pt idx="23">
                  <c:v>0.56961857482518707</c:v>
                </c:pt>
                <c:pt idx="24">
                  <c:v>0.58302192432917577</c:v>
                </c:pt>
                <c:pt idx="25">
                  <c:v>0.59498208816693166</c:v>
                </c:pt>
                <c:pt idx="26">
                  <c:v>0.60562501442995709</c:v>
                </c:pt>
                <c:pt idx="27">
                  <c:v>0.61507295844505505</c:v>
                </c:pt>
                <c:pt idx="28">
                  <c:v>0.62344244469170651</c:v>
                </c:pt>
                <c:pt idx="29">
                  <c:v>0.63084295323570838</c:v>
                </c:pt>
                <c:pt idx="30">
                  <c:v>0.63737616794984198</c:v>
                </c:pt>
                <c:pt idx="31">
                  <c:v>0.64313564931367007</c:v>
                </c:pt>
                <c:pt idx="32">
                  <c:v>0.64820681914887734</c:v>
                </c:pt>
                <c:pt idx="33">
                  <c:v>0.65266716690242921</c:v>
                </c:pt>
                <c:pt idx="34">
                  <c:v>0.65658660643334898</c:v>
                </c:pt>
                <c:pt idx="35">
                  <c:v>0.66002792855891956</c:v>
                </c:pt>
                <c:pt idx="36">
                  <c:v>0.66304730801920531</c:v>
                </c:pt>
                <c:pt idx="37">
                  <c:v>0.66569483431716536</c:v>
                </c:pt>
                <c:pt idx="38">
                  <c:v>0.66801504443750293</c:v>
                </c:pt>
                <c:pt idx="39">
                  <c:v>0.67004744210054956</c:v>
                </c:pt>
                <c:pt idx="40">
                  <c:v>0.67182699330559104</c:v>
                </c:pt>
                <c:pt idx="41">
                  <c:v>0.67338459176182253</c:v>
                </c:pt>
                <c:pt idx="42">
                  <c:v>0.67474749065297379</c:v>
                </c:pt>
                <c:pt idx="43">
                  <c:v>0.67593969924977537</c:v>
                </c:pt>
                <c:pt idx="44">
                  <c:v>0.67698234435009808</c:v>
                </c:pt>
                <c:pt idx="45">
                  <c:v>0.6778939975326721</c:v>
                </c:pt>
                <c:pt idx="46">
                  <c:v>0.67869096987038691</c:v>
                </c:pt>
                <c:pt idx="47">
                  <c:v>0.67938757615246159</c:v>
                </c:pt>
                <c:pt idx="48">
                  <c:v>0.67999637088053966</c:v>
                </c:pt>
                <c:pt idx="49">
                  <c:v>0.68052835838518078</c:v>
                </c:pt>
                <c:pt idx="50">
                  <c:v>0.68099317939675907</c:v>
                </c:pt>
                <c:pt idx="51">
                  <c:v>0.68139927632884367</c:v>
                </c:pt>
                <c:pt idx="52">
                  <c:v>0.6817540394153323</c:v>
                </c:pt>
                <c:pt idx="53">
                  <c:v>0.68206393570151935</c:v>
                </c:pt>
                <c:pt idx="54">
                  <c:v>0.68233462273586942</c:v>
                </c:pt>
                <c:pt idx="55">
                  <c:v>0.68257104865201146</c:v>
                </c:pt>
                <c:pt idx="56">
                  <c:v>0.68277754017521086</c:v>
                </c:pt>
                <c:pt idx="57">
                  <c:v>0.68295787993821166</c:v>
                </c:pt>
                <c:pt idx="58">
                  <c:v>0.68311537435032266</c:v>
                </c:pt>
                <c:pt idx="59">
                  <c:v>0.68325291313234804</c:v>
                </c:pt>
                <c:pt idx="60">
                  <c:v>0.68337302150911716</c:v>
                </c:pt>
                <c:pt idx="61">
                  <c:v>0.6834779059410554</c:v>
                </c:pt>
                <c:pt idx="62">
                  <c:v>0.68356949417628166</c:v>
                </c:pt>
                <c:pt idx="63">
                  <c:v>0.68364947031462397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7B-4162-9C4C-C87A626E86D6}"/>
            </c:ext>
          </c:extLst>
        </c:ser>
        <c:ser>
          <c:idx val="1"/>
          <c:order val="1"/>
          <c:tx>
            <c:v>Observed mean (IRCP, 2003)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4"/>
            <c:spPr>
              <a:noFill/>
              <a:ln w="9525"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'Pulmonary parameters'!$H$5:$H$10</c:f>
              <c:numCache>
                <c:formatCode>General</c:formatCode>
                <c:ptCount val="6"/>
                <c:pt idx="0">
                  <c:v>0.25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25</c:v>
                </c:pt>
              </c:numCache>
            </c:numRef>
          </c:xVal>
          <c:yVal>
            <c:numRef>
              <c:f>'Pulmonary parameters'!$J$5:$J$10</c:f>
              <c:numCache>
                <c:formatCode>General</c:formatCode>
                <c:ptCount val="6"/>
                <c:pt idx="0">
                  <c:v>3.9E-2</c:v>
                </c:pt>
                <c:pt idx="1">
                  <c:v>7.3999999999999996E-2</c:v>
                </c:pt>
                <c:pt idx="2">
                  <c:v>0.17</c:v>
                </c:pt>
                <c:pt idx="3">
                  <c:v>0.3</c:v>
                </c:pt>
                <c:pt idx="4">
                  <c:v>0.5</c:v>
                </c:pt>
                <c:pt idx="5">
                  <c:v>0.63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D7B-4162-9C4C-C87A626E86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2237032"/>
        <c:axId val="752237424"/>
      </c:scatterChart>
      <c:valAx>
        <c:axId val="7522370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2237424"/>
        <c:crosses val="autoZero"/>
        <c:crossBetween val="midCat"/>
      </c:valAx>
      <c:valAx>
        <c:axId val="7522374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Tidal volume at resting (L)</a:t>
                </a:r>
              </a:p>
            </c:rich>
          </c:tx>
          <c:layout>
            <c:manualLayout>
              <c:xMode val="edge"/>
              <c:yMode val="edge"/>
              <c:x val="4.0278875711917232E-2"/>
              <c:y val="0.1262986422699300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22370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7658520766218391"/>
          <c:y val="0.2123060990278709"/>
          <c:w val="0.8129799469872907"/>
          <c:h val="0.213366215166589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TV at LIGHT EXERCISE</a:t>
            </a:r>
          </a:p>
        </c:rich>
      </c:tx>
      <c:overlay val="0"/>
      <c:spPr>
        <a:noFill/>
        <a:ln>
          <a:solidFill>
            <a:srgbClr val="5B9BD5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Simulation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'Pulmonary parameters'!$K$18:$K$81</c:f>
              <c:numCache>
                <c:formatCode>General</c:formatCode>
                <c:ptCount val="64"/>
                <c:pt idx="0">
                  <c:v>0.25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4.5</c:v>
                </c:pt>
                <c:pt idx="8">
                  <c:v>5</c:v>
                </c:pt>
                <c:pt idx="9">
                  <c:v>6</c:v>
                </c:pt>
                <c:pt idx="10">
                  <c:v>7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  <c:pt idx="63">
                  <c:v>60</c:v>
                </c:pt>
              </c:numCache>
            </c:numRef>
          </c:xVal>
          <c:yVal>
            <c:numRef>
              <c:f>'Pulmonary parameters'!$L$18:$L$81</c:f>
              <c:numCache>
                <c:formatCode>General</c:formatCode>
                <c:ptCount val="64"/>
                <c:pt idx="0">
                  <c:v>8.0781763135068754E-2</c:v>
                </c:pt>
                <c:pt idx="1">
                  <c:v>8.7653791619613231E-2</c:v>
                </c:pt>
                <c:pt idx="2">
                  <c:v>0.1025271486668973</c:v>
                </c:pt>
                <c:pt idx="3">
                  <c:v>0.11892701058953015</c:v>
                </c:pt>
                <c:pt idx="4">
                  <c:v>0.11388023636891223</c:v>
                </c:pt>
                <c:pt idx="5">
                  <c:v>0.13323034406344797</c:v>
                </c:pt>
                <c:pt idx="6">
                  <c:v>0.16636153071306725</c:v>
                </c:pt>
                <c:pt idx="7">
                  <c:v>0.18849589182535209</c:v>
                </c:pt>
                <c:pt idx="8">
                  <c:v>0.21433306322421544</c:v>
                </c:pt>
                <c:pt idx="9">
                  <c:v>0.27642816075717591</c:v>
                </c:pt>
                <c:pt idx="10">
                  <c:v>0.3503353369653418</c:v>
                </c:pt>
                <c:pt idx="11">
                  <c:v>0.43263543642743751</c:v>
                </c:pt>
                <c:pt idx="12">
                  <c:v>0.51945529240942645</c:v>
                </c:pt>
                <c:pt idx="13">
                  <c:v>0.60709145220090688</c:v>
                </c:pt>
                <c:pt idx="14">
                  <c:v>0.69245308228161473</c:v>
                </c:pt>
                <c:pt idx="15">
                  <c:v>0.77327126980568872</c:v>
                </c:pt>
                <c:pt idx="16">
                  <c:v>0.84810804762627778</c:v>
                </c:pt>
                <c:pt idx="17">
                  <c:v>0.91623932402908825</c:v>
                </c:pt>
                <c:pt idx="18">
                  <c:v>0.97748520785495685</c:v>
                </c:pt>
                <c:pt idx="19">
                  <c:v>1.0320394834634572</c:v>
                </c:pt>
                <c:pt idx="20">
                  <c:v>1.0803254064924048</c:v>
                </c:pt>
                <c:pt idx="21">
                  <c:v>1.1228866057272175</c:v>
                </c:pt>
                <c:pt idx="22">
                  <c:v>1.1603113446713231</c:v>
                </c:pt>
                <c:pt idx="23">
                  <c:v>1.1931839245791744</c:v>
                </c:pt>
                <c:pt idx="24">
                  <c:v>1.2220561487932422</c:v>
                </c:pt>
                <c:pt idx="25">
                  <c:v>1.2474326078456108</c:v>
                </c:pt>
                <c:pt idx="26">
                  <c:v>1.2697649312832746</c:v>
                </c:pt>
                <c:pt idx="27">
                  <c:v>1.2894515134522693</c:v>
                </c:pt>
                <c:pt idx="28">
                  <c:v>1.3068403375628093</c:v>
                </c:pt>
                <c:pt idx="29">
                  <c:v>1.3222333557121053</c:v>
                </c:pt>
                <c:pt idx="30">
                  <c:v>1.3358914674277951</c:v>
                </c:pt>
                <c:pt idx="31">
                  <c:v>1.3480395319906038</c:v>
                </c:pt>
                <c:pt idx="32">
                  <c:v>1.3588711040483759</c:v>
                </c:pt>
                <c:pt idx="33">
                  <c:v>1.3685527411484379</c:v>
                </c:pt>
                <c:pt idx="34">
                  <c:v>1.3772278277769243</c:v>
                </c:pt>
                <c:pt idx="35">
                  <c:v>1.3850199157077645</c:v>
                </c:pt>
                <c:pt idx="36">
                  <c:v>1.3920356100682225</c:v>
                </c:pt>
                <c:pt idx="37">
                  <c:v>1.3983670444767304</c:v>
                </c:pt>
                <c:pt idx="38">
                  <c:v>1.404093993304488</c:v>
                </c:pt>
                <c:pt idx="39">
                  <c:v>1.4092856685888731</c:v>
                </c:pt>
                <c:pt idx="40">
                  <c:v>1.41400224587238</c:v>
                </c:pt>
                <c:pt idx="41">
                  <c:v>1.4182961587523149</c:v>
                </c:pt>
                <c:pt idx="42">
                  <c:v>1.4222131970748384</c:v>
                </c:pt>
                <c:pt idx="43">
                  <c:v>1.425793438974627</c:v>
                </c:pt>
                <c:pt idx="44">
                  <c:v>1.4290720425943018</c:v>
                </c:pt>
                <c:pt idx="45">
                  <c:v>1.4320799194211842</c:v>
                </c:pt>
                <c:pt idx="46">
                  <c:v>1.4348443077774315</c:v>
                </c:pt>
                <c:pt idx="47">
                  <c:v>1.4373892620738935</c:v>
                </c:pt>
                <c:pt idx="48">
                  <c:v>1.4397360709471116</c:v>
                </c:pt>
                <c:pt idx="49">
                  <c:v>1.4419036152930838</c:v>
                </c:pt>
                <c:pt idx="50">
                  <c:v>1.4439086754398818</c:v>
                </c:pt>
                <c:pt idx="51">
                  <c:v>1.4457661952157477</c:v>
                </c:pt>
                <c:pt idx="52">
                  <c:v>1.4474895094262885</c:v>
                </c:pt>
                <c:pt idx="53">
                  <c:v>1.4490905402155161</c:v>
                </c:pt>
                <c:pt idx="54">
                  <c:v>1.45057996691763</c:v>
                </c:pt>
                <c:pt idx="55">
                  <c:v>1.4519673732814378</c:v>
                </c:pt>
                <c:pt idx="56">
                  <c:v>1.4532613753433583</c:v>
                </c:pt>
                <c:pt idx="57">
                  <c:v>1.4544697327181038</c:v>
                </c:pt>
                <c:pt idx="58">
                  <c:v>1.4555994456517551</c:v>
                </c:pt>
                <c:pt idx="59">
                  <c:v>1.4566568398261543</c:v>
                </c:pt>
                <c:pt idx="60">
                  <c:v>1.4576476406048393</c:v>
                </c:pt>
                <c:pt idx="61">
                  <c:v>1.4585770381595995</c:v>
                </c:pt>
                <c:pt idx="62">
                  <c:v>1.4594497447052275</c:v>
                </c:pt>
                <c:pt idx="63">
                  <c:v>1.4602700448916071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4D-406E-8858-488871039269}"/>
            </c:ext>
          </c:extLst>
        </c:ser>
        <c:ser>
          <c:idx val="1"/>
          <c:order val="1"/>
          <c:tx>
            <c:v>Observed mean (IRCP, 2003)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'Pulmonary parameters'!$T$5:$T$10</c:f>
              <c:numCache>
                <c:formatCode>General</c:formatCode>
                <c:ptCount val="6"/>
                <c:pt idx="0">
                  <c:v>0.25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25</c:v>
                </c:pt>
              </c:numCache>
            </c:numRef>
          </c:xVal>
          <c:yVal>
            <c:numRef>
              <c:f>'Pulmonary parameters'!$V$5:$V$10</c:f>
              <c:numCache>
                <c:formatCode>General</c:formatCode>
                <c:ptCount val="6"/>
                <c:pt idx="0">
                  <c:v>6.6000000000000003E-2</c:v>
                </c:pt>
                <c:pt idx="1">
                  <c:v>0.13</c:v>
                </c:pt>
                <c:pt idx="2">
                  <c:v>0.24</c:v>
                </c:pt>
                <c:pt idx="3">
                  <c:v>0.57999999999999996</c:v>
                </c:pt>
                <c:pt idx="4">
                  <c:v>1</c:v>
                </c:pt>
                <c:pt idx="5">
                  <c:v>1.3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F4D-406E-8858-4888710392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2238992"/>
        <c:axId val="752239384"/>
      </c:scatterChart>
      <c:valAx>
        <c:axId val="7522389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2239384"/>
        <c:crosses val="autoZero"/>
        <c:crossBetween val="midCat"/>
      </c:valAx>
      <c:valAx>
        <c:axId val="7522393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Tidal volume (L)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22389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RESPR at resting</a:t>
            </a:r>
          </a:p>
        </c:rich>
      </c:tx>
      <c:overlay val="0"/>
      <c:spPr>
        <a:noFill/>
        <a:ln>
          <a:solidFill>
            <a:srgbClr val="5B9BD5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Simulation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'Pulmonary parameters'!$P$18:$P$81</c:f>
              <c:numCache>
                <c:formatCode>General</c:formatCode>
                <c:ptCount val="64"/>
                <c:pt idx="0">
                  <c:v>0.25</c:v>
                </c:pt>
                <c:pt idx="1">
                  <c:v>0.5</c:v>
                </c:pt>
                <c:pt idx="2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8">
                  <c:v>5</c:v>
                </c:pt>
                <c:pt idx="9">
                  <c:v>6</c:v>
                </c:pt>
                <c:pt idx="10">
                  <c:v>7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  <c:pt idx="63">
                  <c:v>60</c:v>
                </c:pt>
              </c:numCache>
            </c:numRef>
          </c:xVal>
          <c:yVal>
            <c:numRef>
              <c:f>'Pulmonary parameters'!$Q$18:$Q$81</c:f>
              <c:numCache>
                <c:formatCode>General</c:formatCode>
                <c:ptCount val="64"/>
                <c:pt idx="0">
                  <c:v>105.81617714127098</c:v>
                </c:pt>
                <c:pt idx="1">
                  <c:v>112.57295124806461</c:v>
                </c:pt>
                <c:pt idx="2">
                  <c:v>126.41397463537751</c:v>
                </c:pt>
                <c:pt idx="4">
                  <c:v>154.9575497889833</c:v>
                </c:pt>
                <c:pt idx="5">
                  <c:v>183.83811625947922</c:v>
                </c:pt>
                <c:pt idx="6">
                  <c:v>212.19855840361697</c:v>
                </c:pt>
                <c:pt idx="8">
                  <c:v>239.35712889582319</c:v>
                </c:pt>
                <c:pt idx="9">
                  <c:v>264.82152034480129</c:v>
                </c:pt>
                <c:pt idx="10">
                  <c:v>288.27782481628162</c:v>
                </c:pt>
                <c:pt idx="11">
                  <c:v>309.56504186402293</c:v>
                </c:pt>
                <c:pt idx="12">
                  <c:v>328.64367483818251</c:v>
                </c:pt>
                <c:pt idx="13">
                  <c:v>345.56424730802235</c:v>
                </c:pt>
                <c:pt idx="14">
                  <c:v>360.43912395845285</c:v>
                </c:pt>
                <c:pt idx="15">
                  <c:v>373.41917053222966</c:v>
                </c:pt>
                <c:pt idx="16">
                  <c:v>384.67556661398476</c:v>
                </c:pt>
                <c:pt idx="17">
                  <c:v>394.38638361298382</c:v>
                </c:pt>
                <c:pt idx="18">
                  <c:v>402.72721035433466</c:v>
                </c:pt>
                <c:pt idx="19">
                  <c:v>409.86501559956793</c:v>
                </c:pt>
                <c:pt idx="20">
                  <c:v>415.95447760822714</c:v>
                </c:pt>
                <c:pt idx="21">
                  <c:v>421.13611534492532</c:v>
                </c:pt>
                <c:pt idx="22">
                  <c:v>425.53568078901225</c:v>
                </c:pt>
                <c:pt idx="23">
                  <c:v>429.26439295896176</c:v>
                </c:pt>
                <c:pt idx="24">
                  <c:v>432.41970027394785</c:v>
                </c:pt>
                <c:pt idx="25">
                  <c:v>435.08634486548897</c:v>
                </c:pt>
                <c:pt idx="26">
                  <c:v>437.33757067510635</c:v>
                </c:pt>
                <c:pt idx="27">
                  <c:v>439.23636883504054</c:v>
                </c:pt>
                <c:pt idx="28">
                  <c:v>440.83669181207347</c:v>
                </c:pt>
                <c:pt idx="29">
                  <c:v>442.18459497886596</c:v>
                </c:pt>
                <c:pt idx="30">
                  <c:v>443.31928321771392</c:v>
                </c:pt>
                <c:pt idx="31">
                  <c:v>444.27405297624387</c:v>
                </c:pt>
                <c:pt idx="32">
                  <c:v>445.07712856203432</c:v>
                </c:pt>
                <c:pt idx="33">
                  <c:v>445.75239667144308</c:v>
                </c:pt>
                <c:pt idx="34">
                  <c:v>446.3200461604697</c:v>
                </c:pt>
                <c:pt idx="35">
                  <c:v>446.79712158793632</c:v>
                </c:pt>
                <c:pt idx="36">
                  <c:v>447.19799960094161</c:v>
                </c:pt>
                <c:pt idx="37">
                  <c:v>447.53479714776228</c:v>
                </c:pt>
                <c:pt idx="38">
                  <c:v>447.81772004273819</c:v>
                </c:pt>
                <c:pt idx="39">
                  <c:v>448.05535974026481</c:v>
                </c:pt>
                <c:pt idx="40">
                  <c:v>448.25494541319858</c:v>
                </c:pt>
                <c:pt idx="41">
                  <c:v>448.42255764719863</c:v>
                </c:pt>
                <c:pt idx="42">
                  <c:v>448.5633093015843</c:v>
                </c:pt>
                <c:pt idx="43">
                  <c:v>448.68149837515301</c:v>
                </c:pt>
                <c:pt idx="44">
                  <c:v>448.78073706541994</c:v>
                </c:pt>
                <c:pt idx="45">
                  <c:v>448.86406062707329</c:v>
                </c:pt>
                <c:pt idx="46">
                  <c:v>448.93401912004856</c:v>
                </c:pt>
                <c:pt idx="47">
                  <c:v>448.99275468636444</c:v>
                </c:pt>
                <c:pt idx="48">
                  <c:v>449.04206660288446</c:v>
                </c:pt>
                <c:pt idx="49">
                  <c:v>449.08346601879822</c:v>
                </c:pt>
                <c:pt idx="50">
                  <c:v>449.11822199598828</c:v>
                </c:pt>
                <c:pt idx="51">
                  <c:v>449.14740022182355</c:v>
                </c:pt>
                <c:pt idx="52">
                  <c:v>449.1718955519251</c:v>
                </c:pt>
                <c:pt idx="53">
                  <c:v>449.19245936017262</c:v>
                </c:pt>
                <c:pt idx="54">
                  <c:v>449.20972252024097</c:v>
                </c:pt>
                <c:pt idx="55">
                  <c:v>449.22421471339152</c:v>
                </c:pt>
                <c:pt idx="56">
                  <c:v>449.23638064765248</c:v>
                </c:pt>
                <c:pt idx="57">
                  <c:v>449.24659368096343</c:v>
                </c:pt>
                <c:pt idx="58">
                  <c:v>449.25516726274327</c:v>
                </c:pt>
                <c:pt idx="59">
                  <c:v>449.26236454248891</c:v>
                </c:pt>
                <c:pt idx="60">
                  <c:v>449.26840643852461</c:v>
                </c:pt>
                <c:pt idx="61">
                  <c:v>449.27347841330476</c:v>
                </c:pt>
                <c:pt idx="62">
                  <c:v>449.27773616235163</c:v>
                </c:pt>
                <c:pt idx="63">
                  <c:v>449.28131039083519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19-4A9B-A41F-70CDB7FE0817}"/>
            </c:ext>
          </c:extLst>
        </c:ser>
        <c:ser>
          <c:idx val="1"/>
          <c:order val="1"/>
          <c:tx>
            <c:v>Observed mean (IRCP, 2003)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'Pulmonary parameters'!$H$5:$H$10</c:f>
              <c:numCache>
                <c:formatCode>General</c:formatCode>
                <c:ptCount val="6"/>
                <c:pt idx="0">
                  <c:v>0.25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25</c:v>
                </c:pt>
              </c:numCache>
            </c:numRef>
          </c:xVal>
          <c:yVal>
            <c:numRef>
              <c:f>'Pulmonary parameters'!$K$5:$K$10</c:f>
              <c:numCache>
                <c:formatCode>General</c:formatCode>
                <c:ptCount val="6"/>
                <c:pt idx="0">
                  <c:v>90</c:v>
                </c:pt>
                <c:pt idx="1">
                  <c:v>150</c:v>
                </c:pt>
                <c:pt idx="2">
                  <c:v>240</c:v>
                </c:pt>
                <c:pt idx="3">
                  <c:v>310</c:v>
                </c:pt>
                <c:pt idx="4">
                  <c:v>420</c:v>
                </c:pt>
                <c:pt idx="5">
                  <c:v>450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B19-4A9B-A41F-70CDB7FE08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2240952"/>
        <c:axId val="752241344"/>
      </c:scatterChart>
      <c:valAx>
        <c:axId val="7522409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2241344"/>
        <c:crosses val="autoZero"/>
        <c:crossBetween val="midCat"/>
      </c:valAx>
      <c:valAx>
        <c:axId val="7522413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RESPR (L/h)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22409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5.xml"/><Relationship Id="rId1" Type="http://schemas.openxmlformats.org/officeDocument/2006/relationships/chart" Target="../charts/chart24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7.xml"/><Relationship Id="rId1" Type="http://schemas.openxmlformats.org/officeDocument/2006/relationships/chart" Target="../charts/chart26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9.xml"/><Relationship Id="rId1" Type="http://schemas.openxmlformats.org/officeDocument/2006/relationships/chart" Target="../charts/chart28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1.xml"/><Relationship Id="rId1" Type="http://schemas.openxmlformats.org/officeDocument/2006/relationships/chart" Target="../charts/chart30.xm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3.xml"/><Relationship Id="rId1" Type="http://schemas.openxmlformats.org/officeDocument/2006/relationships/chart" Target="../charts/chart3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226219</xdr:colOff>
      <xdr:row>21</xdr:row>
      <xdr:rowOff>333375</xdr:rowOff>
    </xdr:from>
    <xdr:to>
      <xdr:col>22</xdr:col>
      <xdr:colOff>240508</xdr:colOff>
      <xdr:row>42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367392</xdr:colOff>
      <xdr:row>0</xdr:row>
      <xdr:rowOff>438150</xdr:rowOff>
    </xdr:from>
    <xdr:to>
      <xdr:col>17</xdr:col>
      <xdr:colOff>435427</xdr:colOff>
      <xdr:row>13</xdr:row>
      <xdr:rowOff>163285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312964</xdr:colOff>
      <xdr:row>15</xdr:row>
      <xdr:rowOff>125184</xdr:rowOff>
    </xdr:from>
    <xdr:to>
      <xdr:col>17</xdr:col>
      <xdr:colOff>367392</xdr:colOff>
      <xdr:row>33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100012</xdr:rowOff>
    </xdr:from>
    <xdr:to>
      <xdr:col>14</xdr:col>
      <xdr:colOff>304800</xdr:colOff>
      <xdr:row>22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14</xdr:col>
      <xdr:colOff>304800</xdr:colOff>
      <xdr:row>37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333375</xdr:colOff>
      <xdr:row>5</xdr:row>
      <xdr:rowOff>95250</xdr:rowOff>
    </xdr:from>
    <xdr:to>
      <xdr:col>17</xdr:col>
      <xdr:colOff>28575</xdr:colOff>
      <xdr:row>20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329294</xdr:colOff>
      <xdr:row>23</xdr:row>
      <xdr:rowOff>27214</xdr:rowOff>
    </xdr:from>
    <xdr:to>
      <xdr:col>17</xdr:col>
      <xdr:colOff>21772</xdr:colOff>
      <xdr:row>35</xdr:row>
      <xdr:rowOff>160564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342900</xdr:colOff>
      <xdr:row>6</xdr:row>
      <xdr:rowOff>142875</xdr:rowOff>
    </xdr:from>
    <xdr:to>
      <xdr:col>16</xdr:col>
      <xdr:colOff>123825</xdr:colOff>
      <xdr:row>25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750094</xdr:colOff>
      <xdr:row>6</xdr:row>
      <xdr:rowOff>226219</xdr:rowOff>
    </xdr:from>
    <xdr:to>
      <xdr:col>17</xdr:col>
      <xdr:colOff>80963</xdr:colOff>
      <xdr:row>22</xdr:row>
      <xdr:rowOff>197643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E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83344</xdr:colOff>
      <xdr:row>25</xdr:row>
      <xdr:rowOff>119063</xdr:rowOff>
    </xdr:from>
    <xdr:to>
      <xdr:col>17</xdr:col>
      <xdr:colOff>176213</xdr:colOff>
      <xdr:row>37</xdr:row>
      <xdr:rowOff>173832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E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161925</xdr:colOff>
      <xdr:row>0</xdr:row>
      <xdr:rowOff>92868</xdr:rowOff>
    </xdr:from>
    <xdr:to>
      <xdr:col>13</xdr:col>
      <xdr:colOff>333375</xdr:colOff>
      <xdr:row>5</xdr:row>
      <xdr:rowOff>61911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160612</xdr:colOff>
      <xdr:row>6</xdr:row>
      <xdr:rowOff>47140</xdr:rowOff>
    </xdr:from>
    <xdr:to>
      <xdr:col>13</xdr:col>
      <xdr:colOff>332062</xdr:colOff>
      <xdr:row>22</xdr:row>
      <xdr:rowOff>135489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171450</xdr:colOff>
      <xdr:row>6</xdr:row>
      <xdr:rowOff>47625</xdr:rowOff>
    </xdr:from>
    <xdr:to>
      <xdr:col>14</xdr:col>
      <xdr:colOff>476250</xdr:colOff>
      <xdr:row>22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180975</xdr:colOff>
      <xdr:row>22</xdr:row>
      <xdr:rowOff>285750</xdr:rowOff>
    </xdr:from>
    <xdr:to>
      <xdr:col>14</xdr:col>
      <xdr:colOff>485775</xdr:colOff>
      <xdr:row>35</xdr:row>
      <xdr:rowOff>47625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469105</xdr:colOff>
      <xdr:row>1</xdr:row>
      <xdr:rowOff>128587</xdr:rowOff>
    </xdr:from>
    <xdr:to>
      <xdr:col>14</xdr:col>
      <xdr:colOff>285749</xdr:colOff>
      <xdr:row>10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457198</xdr:colOff>
      <xdr:row>11</xdr:row>
      <xdr:rowOff>109536</xdr:rowOff>
    </xdr:from>
    <xdr:to>
      <xdr:col>14</xdr:col>
      <xdr:colOff>333373</xdr:colOff>
      <xdr:row>28</xdr:row>
      <xdr:rowOff>107156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1286445</xdr:colOff>
      <xdr:row>0</xdr:row>
      <xdr:rowOff>108327</xdr:rowOff>
    </xdr:from>
    <xdr:to>
      <xdr:col>8</xdr:col>
      <xdr:colOff>572737</xdr:colOff>
      <xdr:row>6</xdr:row>
      <xdr:rowOff>34533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843644</xdr:colOff>
      <xdr:row>0</xdr:row>
      <xdr:rowOff>122464</xdr:rowOff>
    </xdr:from>
    <xdr:to>
      <xdr:col>14</xdr:col>
      <xdr:colOff>455841</xdr:colOff>
      <xdr:row>6</xdr:row>
      <xdr:rowOff>31043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489857</xdr:colOff>
      <xdr:row>14</xdr:row>
      <xdr:rowOff>40822</xdr:rowOff>
    </xdr:from>
    <xdr:to>
      <xdr:col>23</xdr:col>
      <xdr:colOff>185586</xdr:colOff>
      <xdr:row>40</xdr:row>
      <xdr:rowOff>118042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409574</xdr:colOff>
      <xdr:row>0</xdr:row>
      <xdr:rowOff>268060</xdr:rowOff>
    </xdr:from>
    <xdr:to>
      <xdr:col>12</xdr:col>
      <xdr:colOff>462642</xdr:colOff>
      <xdr:row>16</xdr:row>
      <xdr:rowOff>68035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8</xdr:row>
      <xdr:rowOff>0</xdr:rowOff>
    </xdr:from>
    <xdr:to>
      <xdr:col>21</xdr:col>
      <xdr:colOff>369094</xdr:colOff>
      <xdr:row>27</xdr:row>
      <xdr:rowOff>100013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600074</xdr:colOff>
      <xdr:row>1</xdr:row>
      <xdr:rowOff>150811</xdr:rowOff>
    </xdr:from>
    <xdr:to>
      <xdr:col>17</xdr:col>
      <xdr:colOff>31750</xdr:colOff>
      <xdr:row>23</xdr:row>
      <xdr:rowOff>31750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16</xdr:row>
          <xdr:rowOff>0</xdr:rowOff>
        </xdr:from>
        <xdr:to>
          <xdr:col>4</xdr:col>
          <xdr:colOff>1123950</xdr:colOff>
          <xdr:row>21</xdr:row>
          <xdr:rowOff>104775</xdr:rowOff>
        </xdr:to>
        <xdr:sp macro="" textlink="">
          <xdr:nvSpPr>
            <xdr:cNvPr id="73729" name="Object 1" hidden="1">
              <a:extLst>
                <a:ext uri="{63B3BB69-23CF-44E3-9099-C40C66FF867C}">
                  <a14:compatExt spid="_x0000_s73729"/>
                </a:ext>
                <a:ext uri="{FF2B5EF4-FFF2-40B4-BE49-F238E27FC236}">
                  <a16:creationId xmlns:a16="http://schemas.microsoft.com/office/drawing/2014/main" id="{00000000-0008-0000-0500-0000012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3</xdr:col>
      <xdr:colOff>49626</xdr:colOff>
      <xdr:row>23</xdr:row>
      <xdr:rowOff>113662</xdr:rowOff>
    </xdr:from>
    <xdr:to>
      <xdr:col>4</xdr:col>
      <xdr:colOff>1158952</xdr:colOff>
      <xdr:row>33</xdr:row>
      <xdr:rowOff>30079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104775</xdr:colOff>
          <xdr:row>16</xdr:row>
          <xdr:rowOff>9525</xdr:rowOff>
        </xdr:from>
        <xdr:to>
          <xdr:col>9</xdr:col>
          <xdr:colOff>361950</xdr:colOff>
          <xdr:row>20</xdr:row>
          <xdr:rowOff>161925</xdr:rowOff>
        </xdr:to>
        <xdr:sp macro="" textlink="">
          <xdr:nvSpPr>
            <xdr:cNvPr id="73730" name="Object 2" hidden="1">
              <a:extLst>
                <a:ext uri="{63B3BB69-23CF-44E3-9099-C40C66FF867C}">
                  <a14:compatExt spid="_x0000_s73730"/>
                </a:ext>
                <a:ext uri="{FF2B5EF4-FFF2-40B4-BE49-F238E27FC236}">
                  <a16:creationId xmlns:a16="http://schemas.microsoft.com/office/drawing/2014/main" id="{00000000-0008-0000-0500-0000022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7</xdr:col>
      <xdr:colOff>55431</xdr:colOff>
      <xdr:row>23</xdr:row>
      <xdr:rowOff>75636</xdr:rowOff>
    </xdr:from>
    <xdr:to>
      <xdr:col>9</xdr:col>
      <xdr:colOff>542503</xdr:colOff>
      <xdr:row>33</xdr:row>
      <xdr:rowOff>190500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57150</xdr:colOff>
          <xdr:row>16</xdr:row>
          <xdr:rowOff>38100</xdr:rowOff>
        </xdr:from>
        <xdr:to>
          <xdr:col>21</xdr:col>
          <xdr:colOff>142875</xdr:colOff>
          <xdr:row>21</xdr:row>
          <xdr:rowOff>190500</xdr:rowOff>
        </xdr:to>
        <xdr:sp macro="" textlink="">
          <xdr:nvSpPr>
            <xdr:cNvPr id="73731" name="Object 3" hidden="1">
              <a:extLst>
                <a:ext uri="{63B3BB69-23CF-44E3-9099-C40C66FF867C}">
                  <a14:compatExt spid="_x0000_s73731"/>
                </a:ext>
                <a:ext uri="{FF2B5EF4-FFF2-40B4-BE49-F238E27FC236}">
                  <a16:creationId xmlns:a16="http://schemas.microsoft.com/office/drawing/2014/main" id="{00000000-0008-0000-0500-0000032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152400</xdr:colOff>
          <xdr:row>16</xdr:row>
          <xdr:rowOff>28575</xdr:rowOff>
        </xdr:from>
        <xdr:to>
          <xdr:col>14</xdr:col>
          <xdr:colOff>876300</xdr:colOff>
          <xdr:row>22</xdr:row>
          <xdr:rowOff>0</xdr:rowOff>
        </xdr:to>
        <xdr:sp macro="" textlink="">
          <xdr:nvSpPr>
            <xdr:cNvPr id="73732" name="Object 4" hidden="1">
              <a:extLst>
                <a:ext uri="{63B3BB69-23CF-44E3-9099-C40C66FF867C}">
                  <a14:compatExt spid="_x0000_s73732"/>
                </a:ext>
                <a:ext uri="{FF2B5EF4-FFF2-40B4-BE49-F238E27FC236}">
                  <a16:creationId xmlns:a16="http://schemas.microsoft.com/office/drawing/2014/main" id="{00000000-0008-0000-0500-0000042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12</xdr:col>
      <xdr:colOff>119062</xdr:colOff>
      <xdr:row>23</xdr:row>
      <xdr:rowOff>30078</xdr:rowOff>
    </xdr:from>
    <xdr:to>
      <xdr:col>14</xdr:col>
      <xdr:colOff>862262</xdr:colOff>
      <xdr:row>34</xdr:row>
      <xdr:rowOff>60156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133350</xdr:colOff>
          <xdr:row>16</xdr:row>
          <xdr:rowOff>47625</xdr:rowOff>
        </xdr:from>
        <xdr:to>
          <xdr:col>28</xdr:col>
          <xdr:colOff>504825</xdr:colOff>
          <xdr:row>22</xdr:row>
          <xdr:rowOff>76200</xdr:rowOff>
        </xdr:to>
        <xdr:sp macro="" textlink="">
          <xdr:nvSpPr>
            <xdr:cNvPr id="73733" name="Object 5" hidden="1">
              <a:extLst>
                <a:ext uri="{63B3BB69-23CF-44E3-9099-C40C66FF867C}">
                  <a14:compatExt spid="_x0000_s73733"/>
                </a:ext>
                <a:ext uri="{FF2B5EF4-FFF2-40B4-BE49-F238E27FC236}">
                  <a16:creationId xmlns:a16="http://schemas.microsoft.com/office/drawing/2014/main" id="{00000000-0008-0000-0500-0000052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17</xdr:col>
      <xdr:colOff>120315</xdr:colOff>
      <xdr:row>23</xdr:row>
      <xdr:rowOff>160421</xdr:rowOff>
    </xdr:from>
    <xdr:to>
      <xdr:col>21</xdr:col>
      <xdr:colOff>141620</xdr:colOff>
      <xdr:row>34</xdr:row>
      <xdr:rowOff>190499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24</xdr:col>
      <xdr:colOff>150396</xdr:colOff>
      <xdr:row>25</xdr:row>
      <xdr:rowOff>90236</xdr:rowOff>
    </xdr:from>
    <xdr:to>
      <xdr:col>28</xdr:col>
      <xdr:colOff>171701</xdr:colOff>
      <xdr:row>35</xdr:row>
      <xdr:rowOff>120314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552450</xdr:colOff>
      <xdr:row>7</xdr:row>
      <xdr:rowOff>0</xdr:rowOff>
    </xdr:from>
    <xdr:to>
      <xdr:col>14</xdr:col>
      <xdr:colOff>247650</xdr:colOff>
      <xdr:row>23</xdr:row>
      <xdr:rowOff>19050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14</xdr:col>
      <xdr:colOff>304800</xdr:colOff>
      <xdr:row>37</xdr:row>
      <xdr:rowOff>142875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353786</xdr:colOff>
      <xdr:row>0</xdr:row>
      <xdr:rowOff>206828</xdr:rowOff>
    </xdr:from>
    <xdr:to>
      <xdr:col>21</xdr:col>
      <xdr:colOff>381000</xdr:colOff>
      <xdr:row>9</xdr:row>
      <xdr:rowOff>190500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340179</xdr:colOff>
      <xdr:row>11</xdr:row>
      <xdr:rowOff>122465</xdr:rowOff>
    </xdr:from>
    <xdr:to>
      <xdr:col>21</xdr:col>
      <xdr:colOff>408214</xdr:colOff>
      <xdr:row>31</xdr:row>
      <xdr:rowOff>435429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260803</xdr:colOff>
      <xdr:row>2</xdr:row>
      <xdr:rowOff>11340</xdr:rowOff>
    </xdr:from>
    <xdr:to>
      <xdr:col>16</xdr:col>
      <xdr:colOff>517071</xdr:colOff>
      <xdr:row>14</xdr:row>
      <xdr:rowOff>27214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258534</xdr:colOff>
      <xdr:row>14</xdr:row>
      <xdr:rowOff>190500</xdr:rowOff>
    </xdr:from>
    <xdr:to>
      <xdr:col>17</xdr:col>
      <xdr:colOff>27214</xdr:colOff>
      <xdr:row>36</xdr:row>
      <xdr:rowOff>68036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SRVR\YMY%20Projects\PMallick\Life%20Stage%20equations\Masterfile%20parameters\Life%20stage%20parameters_Feb%202017-Male-V2-In%20Progres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W"/>
      <sheetName val="BH"/>
      <sheetName val="BMI"/>
      <sheetName val="BSA"/>
      <sheetName val="HCT"/>
      <sheetName val="Pulmonary parameters"/>
      <sheetName val="Drinking Water"/>
      <sheetName val="Brain Vol"/>
      <sheetName val="Fat Vol "/>
      <sheetName val="Liver Vol"/>
      <sheetName val="Gut vol"/>
      <sheetName val="Rap perf tissue Vol"/>
      <sheetName val="Plasma Vol"/>
      <sheetName val="QC"/>
      <sheetName val="Brain flow"/>
      <sheetName val="Fat flow"/>
      <sheetName val="GUT flow "/>
      <sheetName val="Rap perf tissues flow"/>
      <sheetName val="Liver flow"/>
      <sheetName val="MPPGL"/>
      <sheetName val="Mean liver weight"/>
      <sheetName val="CYP1A2"/>
      <sheetName val="CYP2B6"/>
      <sheetName val="CYP2C9"/>
      <sheetName val="CYP2C19"/>
      <sheetName val="CES_1m"/>
      <sheetName val="CES_1c"/>
      <sheetName val="CES_2m"/>
      <sheetName val="CES_2c"/>
      <sheetName val="UGT1A9"/>
      <sheetName val="CL ontogeny"/>
      <sheetName val="CL ontogeny (2)"/>
    </sheetNames>
    <sheetDataSet>
      <sheetData sheetId="0">
        <row r="18">
          <cell r="I18">
            <v>7.0759454639735768</v>
          </cell>
          <cell r="J18">
            <v>0</v>
          </cell>
          <cell r="K18">
            <v>8</v>
          </cell>
        </row>
        <row r="19">
          <cell r="I19">
            <v>10.85867141433374</v>
          </cell>
          <cell r="J19">
            <v>1</v>
          </cell>
          <cell r="K19">
            <v>11.5</v>
          </cell>
        </row>
        <row r="20">
          <cell r="I20">
            <v>13.94956492007711</v>
          </cell>
          <cell r="J20">
            <v>2</v>
          </cell>
          <cell r="K20">
            <v>14.15</v>
          </cell>
        </row>
        <row r="21">
          <cell r="I21">
            <v>16.643559692054048</v>
          </cell>
          <cell r="J21">
            <v>3</v>
          </cell>
          <cell r="K21">
            <v>15.7</v>
          </cell>
        </row>
        <row r="22">
          <cell r="I22">
            <v>19.148095016301134</v>
          </cell>
          <cell r="J22">
            <v>4</v>
          </cell>
          <cell r="K22">
            <v>17.8</v>
          </cell>
        </row>
        <row r="23">
          <cell r="I23">
            <v>21.626004253884261</v>
          </cell>
          <cell r="J23">
            <v>5</v>
          </cell>
          <cell r="K23">
            <v>20.8</v>
          </cell>
        </row>
        <row r="24">
          <cell r="I24">
            <v>24.216221732626416</v>
          </cell>
          <cell r="J24">
            <v>6</v>
          </cell>
          <cell r="K24">
            <v>23.8</v>
          </cell>
        </row>
        <row r="25">
          <cell r="I25">
            <v>27.041474891757151</v>
          </cell>
          <cell r="J25">
            <v>7</v>
          </cell>
          <cell r="K25">
            <v>26.2</v>
          </cell>
        </row>
        <row r="26">
          <cell r="I26">
            <v>30.206161864368255</v>
          </cell>
          <cell r="J26">
            <v>8</v>
          </cell>
          <cell r="K26">
            <v>29.8</v>
          </cell>
        </row>
        <row r="27">
          <cell r="I27">
            <v>33.78581460418048</v>
          </cell>
          <cell r="J27">
            <v>9</v>
          </cell>
          <cell r="K27">
            <v>33.700000000000003</v>
          </cell>
        </row>
        <row r="28">
          <cell r="I28">
            <v>37.81048562869546</v>
          </cell>
          <cell r="J28">
            <v>10</v>
          </cell>
          <cell r="K28">
            <v>38.6</v>
          </cell>
        </row>
        <row r="29">
          <cell r="I29">
            <v>42.24740349835097</v>
          </cell>
          <cell r="J29">
            <v>11</v>
          </cell>
          <cell r="K29">
            <v>44.2</v>
          </cell>
        </row>
        <row r="30">
          <cell r="I30">
            <v>46.991565555260678</v>
          </cell>
          <cell r="J30">
            <v>12</v>
          </cell>
          <cell r="K30">
            <v>47.7</v>
          </cell>
        </row>
        <row r="31">
          <cell r="I31">
            <v>51.873190336010381</v>
          </cell>
          <cell r="J31">
            <v>13</v>
          </cell>
          <cell r="K31">
            <v>54.4</v>
          </cell>
        </row>
        <row r="32">
          <cell r="I32">
            <v>56.685202392605028</v>
          </cell>
          <cell r="J32">
            <v>14</v>
          </cell>
          <cell r="K32">
            <v>60.05</v>
          </cell>
        </row>
        <row r="33">
          <cell r="I33">
            <v>61.22369096068644</v>
          </cell>
          <cell r="J33">
            <v>15</v>
          </cell>
          <cell r="K33">
            <v>66</v>
          </cell>
        </row>
        <row r="34">
          <cell r="I34">
            <v>65.326478474050418</v>
          </cell>
          <cell r="J34">
            <v>16</v>
          </cell>
          <cell r="K34">
            <v>70.099999999999994</v>
          </cell>
        </row>
        <row r="35">
          <cell r="I35">
            <v>68.896009114034428</v>
          </cell>
          <cell r="J35">
            <v>17</v>
          </cell>
          <cell r="K35">
            <v>71.2</v>
          </cell>
        </row>
        <row r="36">
          <cell r="I36">
            <v>71.901767938840806</v>
          </cell>
          <cell r="J36">
            <v>18</v>
          </cell>
          <cell r="K36">
            <v>74.3</v>
          </cell>
        </row>
        <row r="37">
          <cell r="I37">
            <v>74.367075023893932</v>
          </cell>
          <cell r="J37">
            <v>19</v>
          </cell>
          <cell r="K37">
            <v>74.900000000000006</v>
          </cell>
        </row>
        <row r="38">
          <cell r="I38">
            <v>76.349346757276535</v>
          </cell>
          <cell r="J38">
            <v>20</v>
          </cell>
          <cell r="K38">
            <v>79.400000000000006</v>
          </cell>
        </row>
        <row r="39">
          <cell r="I39">
            <v>77.921487060718604</v>
          </cell>
          <cell r="J39">
            <v>21</v>
          </cell>
          <cell r="K39">
            <v>76.95</v>
          </cell>
        </row>
        <row r="40">
          <cell r="I40">
            <v>79.158252102069042</v>
          </cell>
          <cell r="J40">
            <v>22</v>
          </cell>
          <cell r="K40">
            <v>72.900000000000006</v>
          </cell>
        </row>
        <row r="41">
          <cell r="I41">
            <v>80.128158633773054</v>
          </cell>
          <cell r="J41">
            <v>23</v>
          </cell>
          <cell r="K41">
            <v>77.150000000000006</v>
          </cell>
        </row>
        <row r="42">
          <cell r="I42">
            <v>80.889807236029981</v>
          </cell>
          <cell r="J42">
            <v>24</v>
          </cell>
          <cell r="K42">
            <v>82.35</v>
          </cell>
        </row>
        <row r="43">
          <cell r="I43">
            <v>81.491077087505403</v>
          </cell>
          <cell r="J43">
            <v>25</v>
          </cell>
          <cell r="K43">
            <v>76.3</v>
          </cell>
        </row>
        <row r="44">
          <cell r="I44">
            <v>82.397726316760995</v>
          </cell>
          <cell r="J44">
            <v>26</v>
          </cell>
          <cell r="K44">
            <v>82</v>
          </cell>
        </row>
        <row r="45">
          <cell r="I45">
            <v>83.009282804289427</v>
          </cell>
          <cell r="J45">
            <v>27</v>
          </cell>
          <cell r="K45">
            <v>82.85</v>
          </cell>
        </row>
        <row r="46">
          <cell r="I46">
            <v>83.590062432100808</v>
          </cell>
          <cell r="J46">
            <v>28</v>
          </cell>
          <cell r="K46">
            <v>80.849999999999994</v>
          </cell>
        </row>
        <row r="47">
          <cell r="I47">
            <v>84.140307073381678</v>
          </cell>
          <cell r="J47">
            <v>29</v>
          </cell>
          <cell r="K47">
            <v>86.3</v>
          </cell>
        </row>
        <row r="48">
          <cell r="I48">
            <v>84.660258601318617</v>
          </cell>
          <cell r="J48">
            <v>30</v>
          </cell>
          <cell r="K48">
            <v>82.85</v>
          </cell>
        </row>
        <row r="49">
          <cell r="I49">
            <v>85.150158889098122</v>
          </cell>
          <cell r="J49">
            <v>31</v>
          </cell>
          <cell r="K49">
            <v>82.5</v>
          </cell>
        </row>
        <row r="50">
          <cell r="I50">
            <v>85.610249809906733</v>
          </cell>
          <cell r="J50">
            <v>32</v>
          </cell>
          <cell r="K50">
            <v>86.5</v>
          </cell>
        </row>
        <row r="51">
          <cell r="I51">
            <v>86.040773236931045</v>
          </cell>
          <cell r="J51">
            <v>33</v>
          </cell>
          <cell r="K51">
            <v>85.8</v>
          </cell>
        </row>
        <row r="52">
          <cell r="I52">
            <v>86.441971043357569</v>
          </cell>
          <cell r="J52">
            <v>34</v>
          </cell>
          <cell r="K52">
            <v>86.05</v>
          </cell>
        </row>
        <row r="53">
          <cell r="I53">
            <v>86.814085102372843</v>
          </cell>
          <cell r="J53">
            <v>35</v>
          </cell>
          <cell r="K53">
            <v>88.3</v>
          </cell>
        </row>
        <row r="54">
          <cell r="I54">
            <v>87.157357287163421</v>
          </cell>
          <cell r="J54">
            <v>36</v>
          </cell>
          <cell r="K54">
            <v>87.3</v>
          </cell>
        </row>
        <row r="55">
          <cell r="I55">
            <v>87.472029470915842</v>
          </cell>
          <cell r="J55">
            <v>37</v>
          </cell>
          <cell r="K55">
            <v>86.1</v>
          </cell>
        </row>
        <row r="56">
          <cell r="I56">
            <v>87.75834352681666</v>
          </cell>
          <cell r="J56">
            <v>38</v>
          </cell>
          <cell r="K56">
            <v>89.7</v>
          </cell>
        </row>
        <row r="57">
          <cell r="I57">
            <v>88.016541328052398</v>
          </cell>
          <cell r="J57">
            <v>39</v>
          </cell>
          <cell r="K57">
            <v>82.5</v>
          </cell>
        </row>
        <row r="58">
          <cell r="I58">
            <v>88.246864747809639</v>
          </cell>
          <cell r="J58">
            <v>40</v>
          </cell>
          <cell r="K58">
            <v>83.8</v>
          </cell>
        </row>
        <row r="59">
          <cell r="I59">
            <v>88.449555659274893</v>
          </cell>
          <cell r="J59">
            <v>41</v>
          </cell>
          <cell r="K59">
            <v>88.4</v>
          </cell>
        </row>
        <row r="60">
          <cell r="I60">
            <v>88.624855935634713</v>
          </cell>
          <cell r="J60">
            <v>42</v>
          </cell>
          <cell r="K60">
            <v>85.8</v>
          </cell>
        </row>
        <row r="61">
          <cell r="I61">
            <v>88.773007450075653</v>
          </cell>
          <cell r="J61">
            <v>43</v>
          </cell>
          <cell r="K61">
            <v>94.8</v>
          </cell>
        </row>
        <row r="62">
          <cell r="I62">
            <v>88.894252075784237</v>
          </cell>
          <cell r="J62">
            <v>44</v>
          </cell>
          <cell r="K62">
            <v>86.5</v>
          </cell>
        </row>
        <row r="63">
          <cell r="I63">
            <v>88.988831685947019</v>
          </cell>
          <cell r="J63">
            <v>45</v>
          </cell>
          <cell r="K63">
            <v>91.6</v>
          </cell>
        </row>
        <row r="64">
          <cell r="I64">
            <v>89.056988153750552</v>
          </cell>
          <cell r="J64">
            <v>46</v>
          </cell>
          <cell r="K64">
            <v>87.2</v>
          </cell>
        </row>
        <row r="65">
          <cell r="I65">
            <v>89.098963352381389</v>
          </cell>
          <cell r="J65">
            <v>47</v>
          </cell>
          <cell r="K65">
            <v>86.9</v>
          </cell>
        </row>
        <row r="66">
          <cell r="I66">
            <v>89.114999155026041</v>
          </cell>
          <cell r="J66">
            <v>48</v>
          </cell>
          <cell r="K66">
            <v>83.3</v>
          </cell>
        </row>
        <row r="67">
          <cell r="I67">
            <v>89.105337434871075</v>
          </cell>
          <cell r="J67">
            <v>49</v>
          </cell>
          <cell r="K67">
            <v>82.05</v>
          </cell>
        </row>
        <row r="68">
          <cell r="I68">
            <v>89.070220065103044</v>
          </cell>
          <cell r="J68">
            <v>50</v>
          </cell>
          <cell r="K68">
            <v>84.05</v>
          </cell>
        </row>
        <row r="69">
          <cell r="I69">
            <v>89.009888918908459</v>
          </cell>
          <cell r="J69">
            <v>51</v>
          </cell>
          <cell r="K69">
            <v>84.1</v>
          </cell>
        </row>
        <row r="70">
          <cell r="I70">
            <v>88.924585869473873</v>
          </cell>
          <cell r="J70">
            <v>52</v>
          </cell>
          <cell r="K70">
            <v>82.7</v>
          </cell>
        </row>
        <row r="71">
          <cell r="I71">
            <v>88.814552789985854</v>
          </cell>
          <cell r="J71">
            <v>53</v>
          </cell>
          <cell r="K71">
            <v>82.5</v>
          </cell>
        </row>
        <row r="72">
          <cell r="I72">
            <v>88.680031553630954</v>
          </cell>
          <cell r="J72">
            <v>54</v>
          </cell>
          <cell r="K72">
            <v>90.9</v>
          </cell>
        </row>
        <row r="73">
          <cell r="I73">
            <v>88.521264033595671</v>
          </cell>
          <cell r="J73">
            <v>55</v>
          </cell>
          <cell r="K73">
            <v>86.8</v>
          </cell>
        </row>
        <row r="74">
          <cell r="I74">
            <v>88.338492103066571</v>
          </cell>
          <cell r="J74">
            <v>56</v>
          </cell>
          <cell r="K74">
            <v>85.55</v>
          </cell>
        </row>
        <row r="75">
          <cell r="I75">
            <v>88.131957635230222</v>
          </cell>
          <cell r="J75">
            <v>57</v>
          </cell>
          <cell r="K75">
            <v>90.1</v>
          </cell>
        </row>
        <row r="76">
          <cell r="I76">
            <v>87.901902503273121</v>
          </cell>
          <cell r="J76">
            <v>58</v>
          </cell>
          <cell r="K76">
            <v>90.7</v>
          </cell>
        </row>
        <row r="77">
          <cell r="I77">
            <v>87.648568580381848</v>
          </cell>
          <cell r="J77">
            <v>59</v>
          </cell>
          <cell r="K77">
            <v>93.15</v>
          </cell>
        </row>
        <row r="78">
          <cell r="I78">
            <v>87.372197739742944</v>
          </cell>
          <cell r="J78">
            <v>60</v>
          </cell>
          <cell r="K78">
            <v>85.3</v>
          </cell>
        </row>
        <row r="79">
          <cell r="I79">
            <v>87.073031854542947</v>
          </cell>
          <cell r="J79">
            <v>61</v>
          </cell>
          <cell r="K79">
            <v>84.85</v>
          </cell>
        </row>
        <row r="80">
          <cell r="I80">
            <v>86.751312797968396</v>
          </cell>
          <cell r="J80">
            <v>62</v>
          </cell>
          <cell r="K80">
            <v>88.2</v>
          </cell>
        </row>
        <row r="81">
          <cell r="I81">
            <v>86.407282443205858</v>
          </cell>
          <cell r="J81">
            <v>63</v>
          </cell>
          <cell r="K81">
            <v>84.05</v>
          </cell>
        </row>
        <row r="82">
          <cell r="I82">
            <v>86.04118266344183</v>
          </cell>
          <cell r="J82">
            <v>64</v>
          </cell>
          <cell r="K82">
            <v>90.25</v>
          </cell>
        </row>
        <row r="83">
          <cell r="I83">
            <v>85.653255331862908</v>
          </cell>
          <cell r="J83">
            <v>65</v>
          </cell>
          <cell r="K83">
            <v>88.9</v>
          </cell>
        </row>
        <row r="84">
          <cell r="I84">
            <v>85.243742321655589</v>
          </cell>
          <cell r="J84">
            <v>66</v>
          </cell>
          <cell r="K84">
            <v>88.85</v>
          </cell>
        </row>
        <row r="85">
          <cell r="I85">
            <v>84.812885506006467</v>
          </cell>
          <cell r="J85">
            <v>67</v>
          </cell>
          <cell r="K85">
            <v>89.4</v>
          </cell>
        </row>
        <row r="86">
          <cell r="I86">
            <v>84.360926758102053</v>
          </cell>
          <cell r="J86">
            <v>68</v>
          </cell>
          <cell r="K86">
            <v>76.45</v>
          </cell>
        </row>
        <row r="87">
          <cell r="I87">
            <v>83.888107951128887</v>
          </cell>
          <cell r="J87">
            <v>69</v>
          </cell>
          <cell r="K87">
            <v>80.75</v>
          </cell>
        </row>
        <row r="88">
          <cell r="I88">
            <v>83.394670958273522</v>
          </cell>
          <cell r="J88">
            <v>70</v>
          </cell>
          <cell r="K88">
            <v>82.7</v>
          </cell>
        </row>
        <row r="89">
          <cell r="I89">
            <v>82.88085765272254</v>
          </cell>
          <cell r="J89">
            <v>71</v>
          </cell>
          <cell r="K89">
            <v>83.8</v>
          </cell>
        </row>
        <row r="90">
          <cell r="I90">
            <v>82.346909907662436</v>
          </cell>
          <cell r="J90">
            <v>72</v>
          </cell>
          <cell r="K90">
            <v>84.8</v>
          </cell>
        </row>
        <row r="91">
          <cell r="I91">
            <v>81.793069596279736</v>
          </cell>
          <cell r="J91">
            <v>73</v>
          </cell>
          <cell r="K91">
            <v>86.8</v>
          </cell>
        </row>
        <row r="92">
          <cell r="I92">
            <v>81.219578591761049</v>
          </cell>
          <cell r="J92">
            <v>74</v>
          </cell>
          <cell r="K92">
            <v>82.8</v>
          </cell>
        </row>
      </sheetData>
      <sheetData sheetId="1">
        <row r="18">
          <cell r="J18">
            <v>75.85595032375501</v>
          </cell>
          <cell r="K18">
            <v>0</v>
          </cell>
          <cell r="L18"/>
        </row>
        <row r="19">
          <cell r="J19">
            <v>86.712818483109899</v>
          </cell>
          <cell r="K19">
            <v>1</v>
          </cell>
          <cell r="L19"/>
        </row>
        <row r="20">
          <cell r="J20">
            <v>92.035927660337563</v>
          </cell>
          <cell r="K20">
            <v>2</v>
          </cell>
          <cell r="L20">
            <v>91.9</v>
          </cell>
        </row>
        <row r="21">
          <cell r="J21">
            <v>99.239880298662698</v>
          </cell>
          <cell r="K21">
            <v>3</v>
          </cell>
          <cell r="L21">
            <v>98.75</v>
          </cell>
        </row>
        <row r="22">
          <cell r="J22">
            <v>109.05978314395435</v>
          </cell>
          <cell r="K22">
            <v>4</v>
          </cell>
          <cell r="L22">
            <v>107.3</v>
          </cell>
        </row>
        <row r="23">
          <cell r="J23">
            <v>117.6396781490017</v>
          </cell>
          <cell r="K23">
            <v>5</v>
          </cell>
          <cell r="L23">
            <v>114.4</v>
          </cell>
        </row>
        <row r="24">
          <cell r="J24">
            <v>125.13637560309959</v>
          </cell>
          <cell r="K24">
            <v>6</v>
          </cell>
          <cell r="L24">
            <v>120.8</v>
          </cell>
        </row>
        <row r="25">
          <cell r="J25">
            <v>131.68740857768131</v>
          </cell>
          <cell r="K25">
            <v>7</v>
          </cell>
          <cell r="L25">
            <v>126.4</v>
          </cell>
        </row>
        <row r="26">
          <cell r="J26">
            <v>137.41473886433778</v>
          </cell>
          <cell r="K26">
            <v>8</v>
          </cell>
          <cell r="L26">
            <v>131.25</v>
          </cell>
        </row>
        <row r="27">
          <cell r="J27">
            <v>142.43106557952416</v>
          </cell>
          <cell r="K27">
            <v>9</v>
          </cell>
          <cell r="L27">
            <v>136.80000000000001</v>
          </cell>
        </row>
        <row r="28">
          <cell r="J28">
            <v>146.85574368642318</v>
          </cell>
          <cell r="K28">
            <v>10</v>
          </cell>
          <cell r="L28">
            <v>143.1</v>
          </cell>
        </row>
        <row r="29">
          <cell r="J29">
            <v>150.86298897392746</v>
          </cell>
          <cell r="K29">
            <v>11</v>
          </cell>
          <cell r="L29">
            <v>148.69999999999999</v>
          </cell>
        </row>
        <row r="30">
          <cell r="J30">
            <v>154.82472431956916</v>
          </cell>
          <cell r="K30">
            <v>12</v>
          </cell>
          <cell r="L30">
            <v>154.9</v>
          </cell>
        </row>
        <row r="31">
          <cell r="J31">
            <v>159.5976491103111</v>
          </cell>
          <cell r="K31">
            <v>13</v>
          </cell>
          <cell r="L31">
            <v>161.1</v>
          </cell>
        </row>
        <row r="32">
          <cell r="J32">
            <v>166.12905811961821</v>
          </cell>
          <cell r="K32">
            <v>14</v>
          </cell>
          <cell r="L32">
            <v>167.45</v>
          </cell>
        </row>
        <row r="33">
          <cell r="J33">
            <v>172.51148063476495</v>
          </cell>
          <cell r="K33">
            <v>15</v>
          </cell>
          <cell r="L33">
            <v>173.25</v>
          </cell>
        </row>
        <row r="34">
          <cell r="J34">
            <v>175.72060584998343</v>
          </cell>
          <cell r="K34">
            <v>16</v>
          </cell>
          <cell r="L34">
            <v>175.6</v>
          </cell>
        </row>
        <row r="35">
          <cell r="J35">
            <v>176.69275912793012</v>
          </cell>
          <cell r="K35">
            <v>17</v>
          </cell>
          <cell r="L35">
            <v>173.9</v>
          </cell>
        </row>
        <row r="36">
          <cell r="J36">
            <v>176.93008368929898</v>
          </cell>
          <cell r="K36">
            <v>18</v>
          </cell>
          <cell r="L36">
            <v>174.4</v>
          </cell>
        </row>
        <row r="37">
          <cell r="J37">
            <v>176.98432002939441</v>
          </cell>
          <cell r="K37">
            <v>19</v>
          </cell>
          <cell r="L37">
            <v>177.05</v>
          </cell>
        </row>
        <row r="38">
          <cell r="J38">
            <v>176.99649676456491</v>
          </cell>
          <cell r="K38">
            <v>20</v>
          </cell>
          <cell r="L38">
            <v>175.95</v>
          </cell>
        </row>
        <row r="39">
          <cell r="J39">
            <v>176.99921806218606</v>
          </cell>
          <cell r="K39">
            <v>21</v>
          </cell>
          <cell r="L39">
            <v>175.05</v>
          </cell>
        </row>
        <row r="40">
          <cell r="J40">
            <v>176.99982551124972</v>
          </cell>
          <cell r="K40">
            <v>22</v>
          </cell>
          <cell r="L40">
            <v>173.55</v>
          </cell>
        </row>
        <row r="41">
          <cell r="J41">
            <v>176.99996106545146</v>
          </cell>
          <cell r="K41">
            <v>23</v>
          </cell>
          <cell r="L41">
            <v>174.5</v>
          </cell>
        </row>
        <row r="42">
          <cell r="J42">
            <v>176.99999131247975</v>
          </cell>
          <cell r="K42">
            <v>24</v>
          </cell>
          <cell r="L42">
            <v>177.9</v>
          </cell>
        </row>
        <row r="43">
          <cell r="J43">
            <v>176.99999806154946</v>
          </cell>
          <cell r="K43">
            <v>25</v>
          </cell>
          <cell r="L43">
            <v>174.95</v>
          </cell>
        </row>
        <row r="44">
          <cell r="J44">
            <v>176.99999956747305</v>
          </cell>
          <cell r="K44">
            <v>26</v>
          </cell>
          <cell r="L44">
            <v>176.2</v>
          </cell>
        </row>
        <row r="45">
          <cell r="J45">
            <v>176.99999990349019</v>
          </cell>
          <cell r="K45">
            <v>27</v>
          </cell>
          <cell r="L45">
            <v>177.65</v>
          </cell>
        </row>
        <row r="46">
          <cell r="J46">
            <v>176.99999997846575</v>
          </cell>
          <cell r="K46">
            <v>28</v>
          </cell>
          <cell r="L46">
            <v>177.2</v>
          </cell>
        </row>
        <row r="47">
          <cell r="J47">
            <v>176.99999999519505</v>
          </cell>
          <cell r="K47">
            <v>29</v>
          </cell>
          <cell r="L47">
            <v>175.6</v>
          </cell>
        </row>
        <row r="48">
          <cell r="J48">
            <v>176.99999999892788</v>
          </cell>
          <cell r="K48">
            <v>30</v>
          </cell>
          <cell r="L48">
            <v>171.75</v>
          </cell>
        </row>
        <row r="49">
          <cell r="J49">
            <v>176.99999999976077</v>
          </cell>
          <cell r="K49">
            <v>31</v>
          </cell>
          <cell r="L49">
            <v>175.9</v>
          </cell>
        </row>
        <row r="50">
          <cell r="J50">
            <v>176.99999999994662</v>
          </cell>
          <cell r="K50">
            <v>32</v>
          </cell>
          <cell r="L50">
            <v>174.8</v>
          </cell>
        </row>
        <row r="51">
          <cell r="J51">
            <v>176.99999999998809</v>
          </cell>
          <cell r="K51">
            <v>33</v>
          </cell>
          <cell r="L51">
            <v>174.8</v>
          </cell>
        </row>
        <row r="52">
          <cell r="J52">
            <v>176.99999999999733</v>
          </cell>
          <cell r="K52">
            <v>34</v>
          </cell>
          <cell r="L52">
            <v>176.7</v>
          </cell>
        </row>
        <row r="53">
          <cell r="J53">
            <v>176.9999999999994</v>
          </cell>
          <cell r="K53">
            <v>35</v>
          </cell>
          <cell r="L53">
            <v>176.3</v>
          </cell>
        </row>
        <row r="54">
          <cell r="J54">
            <v>176.99999999999986</v>
          </cell>
          <cell r="K54">
            <v>36</v>
          </cell>
          <cell r="L54">
            <v>176.05</v>
          </cell>
        </row>
        <row r="55">
          <cell r="J55">
            <v>176.99999999999997</v>
          </cell>
          <cell r="K55">
            <v>37</v>
          </cell>
          <cell r="L55">
            <v>175.9</v>
          </cell>
        </row>
        <row r="56">
          <cell r="J56">
            <v>177</v>
          </cell>
          <cell r="K56">
            <v>38</v>
          </cell>
          <cell r="L56">
            <v>176.8</v>
          </cell>
        </row>
        <row r="57">
          <cell r="J57">
            <v>177</v>
          </cell>
          <cell r="K57">
            <v>39</v>
          </cell>
          <cell r="L57">
            <v>174.4</v>
          </cell>
        </row>
      </sheetData>
      <sheetData sheetId="2">
        <row r="11">
          <cell r="K11">
            <v>12.29716980187337</v>
          </cell>
          <cell r="L11">
            <v>0</v>
          </cell>
          <cell r="M11"/>
        </row>
        <row r="12">
          <cell r="K12">
            <v>14.441426235012466</v>
          </cell>
          <cell r="L12">
            <v>1</v>
          </cell>
          <cell r="M12"/>
        </row>
        <row r="13">
          <cell r="K13">
            <v>16.468190199859553</v>
          </cell>
          <cell r="L13">
            <v>2</v>
          </cell>
          <cell r="M13">
            <v>16.574999999999999</v>
          </cell>
        </row>
        <row r="14">
          <cell r="K14">
            <v>16.89949606773245</v>
          </cell>
          <cell r="L14">
            <v>3</v>
          </cell>
          <cell r="M14">
            <v>16.065000000000001</v>
          </cell>
        </row>
        <row r="15">
          <cell r="K15">
            <v>16.098904135055353</v>
          </cell>
          <cell r="L15">
            <v>4</v>
          </cell>
          <cell r="M15">
            <v>15.67</v>
          </cell>
        </row>
        <row r="16">
          <cell r="K16">
            <v>15.626748723014323</v>
          </cell>
          <cell r="L16">
            <v>5</v>
          </cell>
          <cell r="M16">
            <v>15.75</v>
          </cell>
        </row>
        <row r="17">
          <cell r="K17">
            <v>15.464619552384676</v>
          </cell>
          <cell r="L17">
            <v>6</v>
          </cell>
          <cell r="M17">
            <v>16.149999999999999</v>
          </cell>
        </row>
        <row r="18">
          <cell r="K18">
            <v>15.593437798638172</v>
          </cell>
          <cell r="L18">
            <v>7</v>
          </cell>
          <cell r="M18">
            <v>16.600000000000001</v>
          </cell>
        </row>
        <row r="19">
          <cell r="K19">
            <v>15.996645167257942</v>
          </cell>
          <cell r="L19">
            <v>8</v>
          </cell>
          <cell r="M19">
            <v>17.16</v>
          </cell>
        </row>
        <row r="20">
          <cell r="K20">
            <v>16.654244942212689</v>
          </cell>
          <cell r="L20">
            <v>9</v>
          </cell>
          <cell r="M20">
            <v>17.934999999999999</v>
          </cell>
        </row>
        <row r="21">
          <cell r="K21">
            <v>17.531956383724435</v>
          </cell>
          <cell r="L21">
            <v>10</v>
          </cell>
          <cell r="M21">
            <v>18.37</v>
          </cell>
        </row>
        <row r="22">
          <cell r="K22">
            <v>18.562420504619762</v>
          </cell>
          <cell r="L22">
            <v>11</v>
          </cell>
          <cell r="M22">
            <v>18.850000000000001</v>
          </cell>
        </row>
        <row r="23">
          <cell r="K23">
            <v>19.603755771089176</v>
          </cell>
          <cell r="L23">
            <v>12</v>
          </cell>
          <cell r="M23">
            <v>19.829999999999998</v>
          </cell>
        </row>
        <row r="24">
          <cell r="K24">
            <v>20.365260952373141</v>
          </cell>
          <cell r="L24">
            <v>13</v>
          </cell>
          <cell r="M24">
            <v>20.170000000000002</v>
          </cell>
        </row>
        <row r="25">
          <cell r="K25">
            <v>20.538962216627699</v>
          </cell>
          <cell r="L25">
            <v>14</v>
          </cell>
          <cell r="M25">
            <v>20.84</v>
          </cell>
        </row>
        <row r="26">
          <cell r="K26">
            <v>20.572330976384745</v>
          </cell>
          <cell r="L26">
            <v>15</v>
          </cell>
          <cell r="M26">
            <v>22.164999999999999</v>
          </cell>
        </row>
        <row r="27">
          <cell r="K27">
            <v>21.15650200995627</v>
          </cell>
          <cell r="L27">
            <v>16</v>
          </cell>
          <cell r="M27">
            <v>22.63</v>
          </cell>
        </row>
        <row r="28">
          <cell r="K28">
            <v>22.067674052218397</v>
          </cell>
          <cell r="L28">
            <v>17</v>
          </cell>
          <cell r="M28">
            <v>22.98</v>
          </cell>
        </row>
        <row r="29">
          <cell r="K29">
            <v>22.968688778705847</v>
          </cell>
          <cell r="L29">
            <v>18</v>
          </cell>
          <cell r="M29">
            <v>24.13</v>
          </cell>
        </row>
        <row r="30">
          <cell r="K30">
            <v>23.741661957693964</v>
          </cell>
          <cell r="L30">
            <v>19</v>
          </cell>
          <cell r="M30">
            <v>23.594999999999999</v>
          </cell>
        </row>
        <row r="31">
          <cell r="K31">
            <v>24.371147851485944</v>
          </cell>
          <cell r="L31">
            <v>20</v>
          </cell>
          <cell r="M31">
            <v>25.024999999999999</v>
          </cell>
        </row>
        <row r="32">
          <cell r="K32">
            <v>24.872219201734559</v>
          </cell>
          <cell r="L32">
            <v>21</v>
          </cell>
          <cell r="M32">
            <v>25.81</v>
          </cell>
        </row>
        <row r="33">
          <cell r="K33">
            <v>25.266816104131305</v>
          </cell>
          <cell r="L33">
            <v>22</v>
          </cell>
          <cell r="M33">
            <v>23.635000000000002</v>
          </cell>
        </row>
        <row r="34">
          <cell r="K34">
            <v>25.576364992575158</v>
          </cell>
          <cell r="L34">
            <v>23</v>
          </cell>
          <cell r="M34">
            <v>25.135000000000002</v>
          </cell>
        </row>
        <row r="35">
          <cell r="K35">
            <v>25.819469238246779</v>
          </cell>
          <cell r="L35">
            <v>24</v>
          </cell>
          <cell r="M35">
            <v>26.62</v>
          </cell>
        </row>
        <row r="36">
          <cell r="K36">
            <v>26.011388449180235</v>
          </cell>
          <cell r="L36">
            <v>25</v>
          </cell>
          <cell r="M36">
            <v>26.52</v>
          </cell>
        </row>
        <row r="37">
          <cell r="K37">
            <v>26.300784167852225</v>
          </cell>
          <cell r="L37">
            <v>26</v>
          </cell>
          <cell r="M37">
            <v>26.44</v>
          </cell>
        </row>
        <row r="38">
          <cell r="K38">
            <v>26.49598866698955</v>
          </cell>
          <cell r="L38">
            <v>27</v>
          </cell>
          <cell r="M38">
            <v>26.91</v>
          </cell>
        </row>
        <row r="39">
          <cell r="K39">
            <v>26.68136948272857</v>
          </cell>
          <cell r="L39">
            <v>28</v>
          </cell>
          <cell r="M39">
            <v>26.63</v>
          </cell>
        </row>
        <row r="40">
          <cell r="K40">
            <v>26.857003759440111</v>
          </cell>
          <cell r="L40">
            <v>29</v>
          </cell>
          <cell r="M40">
            <v>29.4</v>
          </cell>
        </row>
        <row r="41">
          <cell r="K41">
            <v>27.02296868790712</v>
          </cell>
          <cell r="L41">
            <v>30</v>
          </cell>
          <cell r="M41">
            <v>26.855</v>
          </cell>
        </row>
        <row r="42">
          <cell r="K42">
            <v>27.179341469350536</v>
          </cell>
          <cell r="L42">
            <v>31</v>
          </cell>
          <cell r="M42">
            <v>25.76</v>
          </cell>
        </row>
        <row r="43">
          <cell r="K43">
            <v>27.326199307337728</v>
          </cell>
          <cell r="L43">
            <v>32</v>
          </cell>
          <cell r="M43">
            <v>29.19</v>
          </cell>
        </row>
        <row r="44">
          <cell r="K44">
            <v>27.46361940596336</v>
          </cell>
          <cell r="L44">
            <v>33</v>
          </cell>
          <cell r="M44">
            <v>27.84</v>
          </cell>
        </row>
        <row r="45">
          <cell r="K45">
            <v>27.591678969440508</v>
          </cell>
          <cell r="L45">
            <v>34</v>
          </cell>
          <cell r="M45">
            <v>27.655000000000001</v>
          </cell>
        </row>
        <row r="46">
          <cell r="K46">
            <v>27.71045520200882</v>
          </cell>
          <cell r="L46">
            <v>35</v>
          </cell>
          <cell r="M46">
            <v>28.645</v>
          </cell>
        </row>
        <row r="47">
          <cell r="K47">
            <v>27.82002530791393</v>
          </cell>
          <cell r="L47">
            <v>36</v>
          </cell>
          <cell r="M47">
            <v>28.43</v>
          </cell>
        </row>
        <row r="48">
          <cell r="K48">
            <v>27.920466491402809</v>
          </cell>
          <cell r="L48">
            <v>37</v>
          </cell>
          <cell r="M48">
            <v>27.8</v>
          </cell>
        </row>
        <row r="49">
          <cell r="K49">
            <v>28.011855956722734</v>
          </cell>
          <cell r="L49">
            <v>38</v>
          </cell>
          <cell r="M49">
            <v>28.114999999999998</v>
          </cell>
        </row>
        <row r="50">
          <cell r="K50">
            <v>28.094270908121036</v>
          </cell>
          <cell r="L50">
            <v>39</v>
          </cell>
          <cell r="M50">
            <v>28.06</v>
          </cell>
        </row>
        <row r="51">
          <cell r="K51">
            <v>28.167788549845074</v>
          </cell>
          <cell r="L51">
            <v>40</v>
          </cell>
          <cell r="M51">
            <v>27.01</v>
          </cell>
        </row>
        <row r="52">
          <cell r="K52">
            <v>28.232486086142195</v>
          </cell>
          <cell r="L52">
            <v>41</v>
          </cell>
          <cell r="M52">
            <v>29.175000000000001</v>
          </cell>
        </row>
        <row r="53">
          <cell r="K53">
            <v>28.288440721259761</v>
          </cell>
          <cell r="L53">
            <v>42</v>
          </cell>
          <cell r="M53">
            <v>28.914999999999999</v>
          </cell>
        </row>
        <row r="54">
          <cell r="K54">
            <v>28.335729659445128</v>
          </cell>
          <cell r="L54">
            <v>43</v>
          </cell>
          <cell r="M54">
            <v>29.97</v>
          </cell>
        </row>
        <row r="55">
          <cell r="K55">
            <v>28.374430104945652</v>
          </cell>
          <cell r="L55">
            <v>44</v>
          </cell>
          <cell r="M55">
            <v>27.805</v>
          </cell>
        </row>
        <row r="56">
          <cell r="K56">
            <v>28.404619262008687</v>
          </cell>
          <cell r="L56">
            <v>45</v>
          </cell>
          <cell r="M56">
            <v>29.92</v>
          </cell>
        </row>
        <row r="57">
          <cell r="K57">
            <v>28.426374334881594</v>
          </cell>
          <cell r="L57">
            <v>46</v>
          </cell>
          <cell r="M57">
            <v>28.06</v>
          </cell>
        </row>
        <row r="58">
          <cell r="K58">
            <v>28.439772527811733</v>
          </cell>
          <cell r="L58">
            <v>47</v>
          </cell>
          <cell r="M58">
            <v>28.63</v>
          </cell>
        </row>
        <row r="59">
          <cell r="K59">
            <v>28.444891045046454</v>
          </cell>
          <cell r="L59">
            <v>48</v>
          </cell>
          <cell r="M59">
            <v>27.74</v>
          </cell>
        </row>
        <row r="60">
          <cell r="K60">
            <v>28.441807090833116</v>
          </cell>
          <cell r="L60">
            <v>49</v>
          </cell>
          <cell r="M60">
            <v>27.5</v>
          </cell>
        </row>
        <row r="61">
          <cell r="K61">
            <v>28.430597869419081</v>
          </cell>
          <cell r="L61">
            <v>50</v>
          </cell>
          <cell r="M61">
            <v>26.754999999999999</v>
          </cell>
        </row>
        <row r="62">
          <cell r="K62">
            <v>28.411340585051693</v>
          </cell>
          <cell r="L62">
            <v>51</v>
          </cell>
          <cell r="M62">
            <v>26.8</v>
          </cell>
        </row>
        <row r="63">
          <cell r="K63">
            <v>28.384112441978317</v>
          </cell>
          <cell r="L63">
            <v>52</v>
          </cell>
          <cell r="M63">
            <v>27.855</v>
          </cell>
        </row>
        <row r="64">
          <cell r="K64">
            <v>28.34899064444631</v>
          </cell>
          <cell r="L64">
            <v>53</v>
          </cell>
          <cell r="M64">
            <v>27.93</v>
          </cell>
        </row>
        <row r="65">
          <cell r="K65">
            <v>28.306052396703038</v>
          </cell>
          <cell r="L65">
            <v>54</v>
          </cell>
          <cell r="M65">
            <v>28.58</v>
          </cell>
        </row>
        <row r="66">
          <cell r="K66">
            <v>28.25537490299584</v>
          </cell>
          <cell r="L66">
            <v>55</v>
          </cell>
          <cell r="M66">
            <v>28.47</v>
          </cell>
        </row>
        <row r="67">
          <cell r="K67">
            <v>28.197035367572077</v>
          </cell>
          <cell r="L67">
            <v>56</v>
          </cell>
          <cell r="M67">
            <v>27.44</v>
          </cell>
        </row>
        <row r="68">
          <cell r="K68">
            <v>28.131110994679119</v>
          </cell>
          <cell r="L68">
            <v>57</v>
          </cell>
          <cell r="M68">
            <v>29.97</v>
          </cell>
        </row>
        <row r="69">
          <cell r="K69">
            <v>28.057678988564305</v>
          </cell>
          <cell r="L69">
            <v>58</v>
          </cell>
          <cell r="M69">
            <v>29.83</v>
          </cell>
        </row>
        <row r="70">
          <cell r="K70">
            <v>27.976816553475004</v>
          </cell>
          <cell r="L70">
            <v>59</v>
          </cell>
          <cell r="M70">
            <v>30.03</v>
          </cell>
        </row>
        <row r="71">
          <cell r="K71">
            <v>27.88860089365857</v>
          </cell>
          <cell r="L71">
            <v>60</v>
          </cell>
          <cell r="M71">
            <v>28.82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https://www.ncbi.nlm.nih.gov/pubmed/12826175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B1:I82"/>
  <sheetViews>
    <sheetView zoomScale="80" zoomScaleNormal="80" workbookViewId="0">
      <selection activeCell="B15" sqref="B15:E17"/>
    </sheetView>
  </sheetViews>
  <sheetFormatPr defaultRowHeight="15" x14ac:dyDescent="0.25"/>
  <cols>
    <col min="1" max="1" width="9.140625" style="89"/>
    <col min="2" max="2" width="18.85546875" style="89" bestFit="1" customWidth="1"/>
    <col min="3" max="3" width="51.85546875" style="91" customWidth="1"/>
    <col min="4" max="4" width="18" style="91" bestFit="1" customWidth="1"/>
    <col min="5" max="5" width="31.5703125" style="89" customWidth="1"/>
    <col min="6" max="6" width="30" style="89" customWidth="1"/>
    <col min="7" max="7" width="24.28515625" style="89" customWidth="1"/>
    <col min="8" max="8" width="17.140625" style="89" customWidth="1"/>
    <col min="9" max="9" width="10.5703125" style="89" customWidth="1"/>
    <col min="10" max="16384" width="9.140625" style="89"/>
  </cols>
  <sheetData>
    <row r="1" spans="2:9" ht="22.5" customHeight="1" x14ac:dyDescent="0.25">
      <c r="B1" s="286" t="s">
        <v>222</v>
      </c>
      <c r="C1" s="287"/>
      <c r="D1" s="287"/>
      <c r="E1" s="287"/>
      <c r="F1" s="288"/>
    </row>
    <row r="2" spans="2:9" ht="22.5" customHeight="1" x14ac:dyDescent="0.25">
      <c r="B2" s="90"/>
      <c r="C2" s="90"/>
      <c r="D2" s="90"/>
      <c r="E2" s="90"/>
      <c r="F2" s="90"/>
    </row>
    <row r="3" spans="2:9" x14ac:dyDescent="0.25">
      <c r="B3" s="5" t="s">
        <v>223</v>
      </c>
      <c r="C3" s="6" t="s">
        <v>224</v>
      </c>
      <c r="D3" s="6" t="s">
        <v>72</v>
      </c>
      <c r="E3" s="5"/>
      <c r="F3" s="5"/>
    </row>
    <row r="4" spans="2:9" x14ac:dyDescent="0.25">
      <c r="B4" s="5" t="s">
        <v>225</v>
      </c>
      <c r="C4" s="6" t="s">
        <v>226</v>
      </c>
      <c r="D4" s="6"/>
      <c r="E4" s="5"/>
      <c r="F4" s="6">
        <v>4</v>
      </c>
    </row>
    <row r="5" spans="2:9" x14ac:dyDescent="0.25">
      <c r="B5" s="5" t="s">
        <v>227</v>
      </c>
      <c r="C5" s="6" t="s">
        <v>228</v>
      </c>
      <c r="D5" s="6"/>
      <c r="E5" s="5"/>
      <c r="F5" s="6">
        <v>28</v>
      </c>
    </row>
    <row r="6" spans="2:9" ht="30" x14ac:dyDescent="0.25">
      <c r="B6" s="5" t="s">
        <v>229</v>
      </c>
      <c r="C6" s="6" t="s">
        <v>230</v>
      </c>
      <c r="D6" s="6"/>
      <c r="E6" s="5"/>
      <c r="F6" s="6">
        <v>56</v>
      </c>
    </row>
    <row r="7" spans="2:9" ht="33.75" customHeight="1" x14ac:dyDescent="0.25">
      <c r="B7" s="5" t="s">
        <v>231</v>
      </c>
      <c r="C7" s="6" t="s">
        <v>232</v>
      </c>
      <c r="D7" s="6"/>
      <c r="E7" s="5"/>
      <c r="F7" s="5">
        <v>6</v>
      </c>
    </row>
    <row r="8" spans="2:9" ht="30" x14ac:dyDescent="0.25">
      <c r="B8" s="6" t="s">
        <v>233</v>
      </c>
      <c r="C8" s="6" t="s">
        <v>234</v>
      </c>
      <c r="D8" s="6"/>
      <c r="E8" s="6"/>
      <c r="F8" s="5">
        <v>76.5</v>
      </c>
    </row>
    <row r="9" spans="2:9" x14ac:dyDescent="0.25">
      <c r="B9" s="5" t="s">
        <v>235</v>
      </c>
      <c r="C9" s="6" t="s">
        <v>236</v>
      </c>
      <c r="D9" s="6"/>
      <c r="E9" s="5"/>
      <c r="F9" s="6">
        <v>70</v>
      </c>
    </row>
    <row r="10" spans="2:9" ht="46.5" customHeight="1" x14ac:dyDescent="0.25">
      <c r="B10" s="5" t="s">
        <v>4</v>
      </c>
      <c r="C10" s="6" t="s">
        <v>5</v>
      </c>
      <c r="D10" s="6"/>
      <c r="E10" s="5"/>
      <c r="F10" s="6">
        <f>BH!E4</f>
        <v>14.85</v>
      </c>
    </row>
    <row r="11" spans="2:9" ht="30" x14ac:dyDescent="0.25">
      <c r="B11" s="5" t="s">
        <v>237</v>
      </c>
      <c r="C11" s="6" t="s">
        <v>238</v>
      </c>
      <c r="D11" s="6"/>
      <c r="E11" s="5"/>
      <c r="F11" s="6">
        <v>-1.46</v>
      </c>
    </row>
    <row r="12" spans="2:9" ht="45.75" thickBot="1" x14ac:dyDescent="0.3">
      <c r="B12" s="5" t="s">
        <v>239</v>
      </c>
      <c r="C12" s="6" t="s">
        <v>240</v>
      </c>
      <c r="D12" s="6" t="s">
        <v>241</v>
      </c>
      <c r="E12" s="5"/>
      <c r="F12" s="6">
        <f>F11+F10</f>
        <v>13.39</v>
      </c>
    </row>
    <row r="13" spans="2:9" ht="49.5" customHeight="1" thickBot="1" x14ac:dyDescent="0.3">
      <c r="B13" s="6" t="s">
        <v>242</v>
      </c>
      <c r="C13" s="6" t="s">
        <v>243</v>
      </c>
      <c r="D13" s="6" t="s">
        <v>244</v>
      </c>
      <c r="E13" s="6" t="s">
        <v>245</v>
      </c>
      <c r="F13" s="6">
        <f>LN(F9^2) / (2 * F12* F6)</f>
        <v>5.6658690414613236E-3</v>
      </c>
      <c r="G13" s="196" t="s">
        <v>287</v>
      </c>
    </row>
    <row r="15" spans="2:9" ht="30" customHeight="1" x14ac:dyDescent="0.25">
      <c r="B15" s="322" t="s">
        <v>14</v>
      </c>
      <c r="C15" s="322"/>
      <c r="D15" s="322"/>
      <c r="E15" s="322"/>
    </row>
    <row r="16" spans="2:9" ht="30" customHeight="1" x14ac:dyDescent="0.25">
      <c r="B16" s="322" t="s">
        <v>220</v>
      </c>
      <c r="C16" s="322"/>
      <c r="D16" s="322"/>
      <c r="E16" s="322"/>
      <c r="G16" s="255" t="s">
        <v>15</v>
      </c>
      <c r="H16" s="253" t="s">
        <v>220</v>
      </c>
      <c r="I16" s="253" t="s">
        <v>221</v>
      </c>
    </row>
    <row r="17" spans="2:9" ht="30" customHeight="1" x14ac:dyDescent="0.25">
      <c r="B17" s="323" t="s">
        <v>15</v>
      </c>
      <c r="C17" s="323" t="s">
        <v>16</v>
      </c>
      <c r="D17" s="323" t="s">
        <v>15</v>
      </c>
      <c r="E17" s="323" t="s">
        <v>246</v>
      </c>
      <c r="G17" s="256"/>
      <c r="H17" s="254"/>
      <c r="I17" s="254"/>
    </row>
    <row r="18" spans="2:9" x14ac:dyDescent="0.25">
      <c r="B18" s="223">
        <v>0</v>
      </c>
      <c r="C18" s="223"/>
      <c r="D18" s="223"/>
      <c r="E18" s="149">
        <f t="shared" ref="E18:E21" si="0">4+ (28 * B18) / (6 + B18) + (56 / (1 + 70 * EXP(-0.00566587 * 56 * B18)))</f>
        <v>4.788732394366197</v>
      </c>
      <c r="G18" s="224"/>
      <c r="H18" s="222"/>
      <c r="I18" s="222"/>
    </row>
    <row r="19" spans="2:9" x14ac:dyDescent="0.25">
      <c r="B19" s="223">
        <v>0.01</v>
      </c>
      <c r="C19" s="223"/>
      <c r="D19" s="223"/>
      <c r="E19" s="149">
        <f t="shared" si="0"/>
        <v>4.8377925320663246</v>
      </c>
      <c r="G19" s="224"/>
      <c r="H19" s="222"/>
      <c r="I19" s="222"/>
    </row>
    <row r="20" spans="2:9" x14ac:dyDescent="0.25">
      <c r="B20" s="223">
        <v>0.05</v>
      </c>
      <c r="C20" s="223"/>
      <c r="D20" s="223"/>
      <c r="E20" s="149">
        <f t="shared" si="0"/>
        <v>5.0325694868748041</v>
      </c>
      <c r="G20" s="224"/>
      <c r="H20" s="222"/>
      <c r="I20" s="222"/>
    </row>
    <row r="21" spans="2:9" x14ac:dyDescent="0.25">
      <c r="B21" s="223">
        <v>0.1</v>
      </c>
      <c r="C21" s="223"/>
      <c r="D21" s="223"/>
      <c r="E21" s="149">
        <f t="shared" si="0"/>
        <v>5.2728061245478868</v>
      </c>
      <c r="G21" s="224"/>
      <c r="H21" s="222"/>
      <c r="I21" s="222"/>
    </row>
    <row r="22" spans="2:9" ht="43.5" x14ac:dyDescent="0.25">
      <c r="B22" s="148">
        <v>0.5</v>
      </c>
      <c r="C22" s="153" t="s">
        <v>288</v>
      </c>
      <c r="D22" s="149">
        <v>0.5</v>
      </c>
      <c r="E22" s="149">
        <f>4+ (28 * B22) / (6 + B22) + (56 / (1 + 70 * EXP(-0.00566587 * 56 * B22)))</f>
        <v>7.0759454883143711</v>
      </c>
      <c r="G22" s="198" t="s">
        <v>289</v>
      </c>
      <c r="H22" s="6">
        <v>7.0759454639735768</v>
      </c>
      <c r="I22" s="94">
        <v>8</v>
      </c>
    </row>
    <row r="23" spans="2:9" x14ac:dyDescent="0.25">
      <c r="B23" s="148">
        <v>1</v>
      </c>
      <c r="C23" s="149"/>
      <c r="D23" s="149">
        <v>1</v>
      </c>
      <c r="E23" s="149">
        <f t="shared" ref="E23:E47" si="1">4+ (28 * B23) / (6 + B23) + (56 / (1 + 70 * EXP(-0.00566587 * 56 * B23)))</f>
        <v>9.0775771843511723</v>
      </c>
      <c r="G23" s="199" t="s">
        <v>290</v>
      </c>
      <c r="H23" s="6">
        <v>10.85867141433374</v>
      </c>
      <c r="I23" s="94">
        <v>11.5</v>
      </c>
    </row>
    <row r="24" spans="2:9" x14ac:dyDescent="0.25">
      <c r="B24" s="5">
        <v>2</v>
      </c>
      <c r="C24" s="6"/>
      <c r="D24" s="6">
        <v>2</v>
      </c>
      <c r="E24" s="6">
        <f t="shared" si="1"/>
        <v>12.469385771384614</v>
      </c>
      <c r="G24" s="199" t="s">
        <v>291</v>
      </c>
      <c r="H24" s="6">
        <v>13.94956492007711</v>
      </c>
      <c r="I24" s="94">
        <v>14.15</v>
      </c>
    </row>
    <row r="25" spans="2:9" x14ac:dyDescent="0.25">
      <c r="B25" s="5">
        <v>3</v>
      </c>
      <c r="C25" s="6"/>
      <c r="D25" s="6">
        <v>3</v>
      </c>
      <c r="E25" s="6">
        <f t="shared" si="1"/>
        <v>15.33180604994063</v>
      </c>
      <c r="G25" s="199" t="s">
        <v>292</v>
      </c>
      <c r="H25" s="6">
        <v>16.643559692054048</v>
      </c>
      <c r="I25" s="94">
        <v>15.7</v>
      </c>
    </row>
    <row r="26" spans="2:9" x14ac:dyDescent="0.25">
      <c r="B26" s="5">
        <v>4</v>
      </c>
      <c r="C26" s="6"/>
      <c r="D26" s="6">
        <v>4</v>
      </c>
      <c r="E26" s="6">
        <f t="shared" si="1"/>
        <v>17.908606982755128</v>
      </c>
      <c r="G26" s="199" t="s">
        <v>293</v>
      </c>
      <c r="H26" s="6">
        <v>19.148095016301134</v>
      </c>
      <c r="I26" s="94">
        <v>17.8</v>
      </c>
    </row>
    <row r="27" spans="2:9" x14ac:dyDescent="0.25">
      <c r="B27" s="148">
        <v>5</v>
      </c>
      <c r="C27" s="149"/>
      <c r="D27" s="149">
        <v>5</v>
      </c>
      <c r="E27" s="149">
        <f t="shared" si="1"/>
        <v>20.38127759653889</v>
      </c>
      <c r="G27" s="199" t="s">
        <v>294</v>
      </c>
      <c r="H27" s="6">
        <v>21.626004253884261</v>
      </c>
      <c r="I27" s="94">
        <v>20.8</v>
      </c>
    </row>
    <row r="28" spans="2:9" x14ac:dyDescent="0.25">
      <c r="B28" s="5">
        <v>6</v>
      </c>
      <c r="C28" s="6"/>
      <c r="D28" s="6">
        <v>6</v>
      </c>
      <c r="E28" s="6">
        <f t="shared" si="1"/>
        <v>22.899044891228044</v>
      </c>
      <c r="G28" s="199" t="s">
        <v>295</v>
      </c>
      <c r="H28" s="6">
        <v>24.216221732626416</v>
      </c>
      <c r="I28" s="94">
        <v>23.8</v>
      </c>
    </row>
    <row r="29" spans="2:9" x14ac:dyDescent="0.25">
      <c r="B29" s="5">
        <v>7</v>
      </c>
      <c r="C29" s="6"/>
      <c r="D29" s="6">
        <v>7</v>
      </c>
      <c r="E29" s="6">
        <f t="shared" si="1"/>
        <v>25.592430754887268</v>
      </c>
      <c r="G29" s="199" t="s">
        <v>296</v>
      </c>
      <c r="H29" s="6">
        <v>27.041474891757151</v>
      </c>
      <c r="I29" s="94">
        <v>26.2</v>
      </c>
    </row>
    <row r="30" spans="2:9" x14ac:dyDescent="0.25">
      <c r="B30" s="5">
        <v>8</v>
      </c>
      <c r="C30" s="6"/>
      <c r="D30" s="6">
        <v>8</v>
      </c>
      <c r="E30" s="6">
        <f t="shared" si="1"/>
        <v>28.575820928596343</v>
      </c>
      <c r="G30" s="199" t="s">
        <v>297</v>
      </c>
      <c r="H30" s="6">
        <v>30.206161864368255</v>
      </c>
      <c r="I30" s="94">
        <v>29.8</v>
      </c>
    </row>
    <row r="31" spans="2:9" x14ac:dyDescent="0.25">
      <c r="B31" s="5">
        <v>9</v>
      </c>
      <c r="C31" s="6"/>
      <c r="D31" s="6">
        <v>9</v>
      </c>
      <c r="E31" s="6">
        <f t="shared" si="1"/>
        <v>31.940959644573518</v>
      </c>
      <c r="G31" s="199" t="s">
        <v>298</v>
      </c>
      <c r="H31" s="6">
        <v>33.78581460418048</v>
      </c>
      <c r="I31" s="94">
        <v>33.700000000000003</v>
      </c>
    </row>
    <row r="32" spans="2:9" x14ac:dyDescent="0.25">
      <c r="B32" s="148">
        <v>10</v>
      </c>
      <c r="C32" s="149"/>
      <c r="D32" s="149">
        <v>10</v>
      </c>
      <c r="E32" s="149">
        <f t="shared" si="1"/>
        <v>35.742930987515741</v>
      </c>
      <c r="G32" s="199" t="s">
        <v>299</v>
      </c>
      <c r="H32" s="6">
        <v>37.81048562869546</v>
      </c>
      <c r="I32" s="94">
        <v>38.6</v>
      </c>
    </row>
    <row r="33" spans="2:9" x14ac:dyDescent="0.25">
      <c r="B33" s="5">
        <v>11</v>
      </c>
      <c r="C33" s="6"/>
      <c r="D33" s="6">
        <v>11</v>
      </c>
      <c r="E33" s="6">
        <f t="shared" si="1"/>
        <v>39.982278220873482</v>
      </c>
      <c r="G33" s="199" t="s">
        <v>300</v>
      </c>
      <c r="H33" s="6">
        <v>42.24740349835097</v>
      </c>
      <c r="I33" s="94">
        <v>44.2</v>
      </c>
    </row>
    <row r="34" spans="2:9" x14ac:dyDescent="0.25">
      <c r="B34" s="5">
        <v>12</v>
      </c>
      <c r="C34" s="6"/>
      <c r="D34" s="6">
        <v>12</v>
      </c>
      <c r="E34" s="6">
        <f t="shared" si="1"/>
        <v>44.590410457317788</v>
      </c>
      <c r="G34" s="199" t="s">
        <v>301</v>
      </c>
      <c r="H34" s="6">
        <v>46.991565555260678</v>
      </c>
      <c r="I34" s="94">
        <v>47.7</v>
      </c>
    </row>
    <row r="35" spans="2:9" x14ac:dyDescent="0.25">
      <c r="B35" s="5">
        <v>13</v>
      </c>
      <c r="C35" s="6"/>
      <c r="D35" s="6">
        <v>13</v>
      </c>
      <c r="E35" s="6">
        <f t="shared" si="1"/>
        <v>49.42771554129417</v>
      </c>
      <c r="G35" s="199" t="s">
        <v>302</v>
      </c>
      <c r="H35" s="6">
        <v>51.873190336010381</v>
      </c>
      <c r="I35" s="94">
        <v>54.4</v>
      </c>
    </row>
    <row r="36" spans="2:9" x14ac:dyDescent="0.25">
      <c r="B36" s="5">
        <v>14</v>
      </c>
      <c r="C36" s="6"/>
      <c r="D36" s="6">
        <v>14</v>
      </c>
      <c r="E36" s="6">
        <f t="shared" si="1"/>
        <v>54.301228570926213</v>
      </c>
      <c r="G36" s="199" t="s">
        <v>303</v>
      </c>
      <c r="H36" s="6">
        <v>56.685202392605028</v>
      </c>
      <c r="I36" s="94">
        <v>60.05</v>
      </c>
    </row>
    <row r="37" spans="2:9" x14ac:dyDescent="0.25">
      <c r="B37" s="5">
        <v>15</v>
      </c>
      <c r="C37" s="6"/>
      <c r="D37" s="6">
        <v>15</v>
      </c>
      <c r="E37" s="6">
        <f t="shared" si="1"/>
        <v>59.000130386011627</v>
      </c>
      <c r="G37" s="199" t="s">
        <v>304</v>
      </c>
      <c r="H37" s="6">
        <v>61.22369096068644</v>
      </c>
      <c r="I37" s="94">
        <v>66</v>
      </c>
    </row>
    <row r="38" spans="2:9" x14ac:dyDescent="0.25">
      <c r="B38" s="5">
        <v>16</v>
      </c>
      <c r="C38" s="6"/>
      <c r="D38" s="6">
        <v>16</v>
      </c>
      <c r="E38" s="6">
        <f t="shared" si="1"/>
        <v>63.337294009498862</v>
      </c>
      <c r="G38" s="199" t="s">
        <v>305</v>
      </c>
      <c r="H38" s="6">
        <v>65.326478474050418</v>
      </c>
      <c r="I38" s="94">
        <v>70.099999999999994</v>
      </c>
    </row>
    <row r="39" spans="2:9" x14ac:dyDescent="0.25">
      <c r="B39" s="5">
        <v>17</v>
      </c>
      <c r="C39" s="6"/>
      <c r="D39" s="6">
        <v>17</v>
      </c>
      <c r="E39" s="6">
        <f t="shared" si="1"/>
        <v>67.181288947144452</v>
      </c>
      <c r="G39" s="199" t="s">
        <v>306</v>
      </c>
      <c r="H39" s="6">
        <v>68.896009114034428</v>
      </c>
      <c r="I39" s="94">
        <v>71.2</v>
      </c>
    </row>
    <row r="40" spans="2:9" x14ac:dyDescent="0.25">
      <c r="B40" s="5">
        <v>18</v>
      </c>
      <c r="C40" s="6"/>
      <c r="D40" s="6">
        <v>18</v>
      </c>
      <c r="E40" s="6">
        <f t="shared" si="1"/>
        <v>70.468950673819393</v>
      </c>
      <c r="G40" s="199" t="s">
        <v>307</v>
      </c>
      <c r="H40" s="6">
        <v>71.901767938840806</v>
      </c>
      <c r="I40" s="94">
        <v>74.3</v>
      </c>
    </row>
    <row r="41" spans="2:9" x14ac:dyDescent="0.25">
      <c r="B41" s="5">
        <v>19</v>
      </c>
      <c r="C41" s="6"/>
      <c r="D41" s="6">
        <v>19</v>
      </c>
      <c r="E41" s="6">
        <f t="shared" si="1"/>
        <v>73.198958370421622</v>
      </c>
      <c r="G41" s="199" t="s">
        <v>308</v>
      </c>
      <c r="H41" s="6">
        <v>74.367075023893932</v>
      </c>
      <c r="I41" s="94">
        <v>74.900000000000006</v>
      </c>
    </row>
    <row r="42" spans="2:9" x14ac:dyDescent="0.25">
      <c r="B42" s="5">
        <v>20</v>
      </c>
      <c r="C42" s="6"/>
      <c r="D42" s="6">
        <v>20</v>
      </c>
      <c r="E42" s="6">
        <f t="shared" si="1"/>
        <v>75.414214512323156</v>
      </c>
      <c r="G42" s="199" t="s">
        <v>309</v>
      </c>
      <c r="H42" s="6">
        <v>76.349346757276535</v>
      </c>
      <c r="I42" s="94">
        <v>79.400000000000006</v>
      </c>
    </row>
    <row r="43" spans="2:9" x14ac:dyDescent="0.25">
      <c r="B43" s="5">
        <v>21</v>
      </c>
      <c r="C43" s="6"/>
      <c r="D43" s="6">
        <v>21</v>
      </c>
      <c r="E43" s="6">
        <f t="shared" si="1"/>
        <v>77.181939133707928</v>
      </c>
      <c r="G43" s="199" t="s">
        <v>310</v>
      </c>
      <c r="H43" s="6">
        <v>77.921487060718604</v>
      </c>
      <c r="I43" s="94">
        <v>76.95</v>
      </c>
    </row>
    <row r="44" spans="2:9" x14ac:dyDescent="0.25">
      <c r="B44" s="5">
        <v>22</v>
      </c>
      <c r="C44" s="6"/>
      <c r="D44" s="6">
        <v>22</v>
      </c>
      <c r="E44" s="6">
        <f t="shared" si="1"/>
        <v>78.577305924346987</v>
      </c>
      <c r="G44" s="199" t="s">
        <v>311</v>
      </c>
      <c r="H44" s="6">
        <v>79.158252102069042</v>
      </c>
      <c r="I44" s="94">
        <v>72.900000000000006</v>
      </c>
    </row>
    <row r="45" spans="2:9" x14ac:dyDescent="0.25">
      <c r="B45" s="5">
        <v>23</v>
      </c>
      <c r="C45" s="6"/>
      <c r="D45" s="6">
        <v>23</v>
      </c>
      <c r="E45" s="6">
        <f t="shared" si="1"/>
        <v>79.672650885769443</v>
      </c>
      <c r="G45" s="199" t="s">
        <v>312</v>
      </c>
      <c r="H45" s="6">
        <v>80.128158633773054</v>
      </c>
      <c r="I45" s="94">
        <v>77.150000000000006</v>
      </c>
    </row>
    <row r="46" spans="2:9" x14ac:dyDescent="0.25">
      <c r="B46" s="5">
        <v>24</v>
      </c>
      <c r="C46" s="6"/>
      <c r="D46" s="6">
        <v>24</v>
      </c>
      <c r="E46" s="6">
        <f t="shared" si="1"/>
        <v>80.531777651930497</v>
      </c>
      <c r="G46" s="199" t="s">
        <v>313</v>
      </c>
      <c r="H46" s="6">
        <v>80.889807236029981</v>
      </c>
      <c r="I46" s="94">
        <v>82.35</v>
      </c>
    </row>
    <row r="47" spans="2:9" x14ac:dyDescent="0.25">
      <c r="B47" s="148">
        <v>25</v>
      </c>
      <c r="C47" s="149"/>
      <c r="D47" s="149">
        <v>25</v>
      </c>
      <c r="E47" s="149">
        <f t="shared" si="1"/>
        <v>81.207903119037354</v>
      </c>
      <c r="G47" s="199" t="s">
        <v>314</v>
      </c>
      <c r="H47" s="6">
        <v>81.491077087505403</v>
      </c>
      <c r="I47" s="94">
        <v>76.3</v>
      </c>
    </row>
    <row r="48" spans="2:9" ht="43.5" x14ac:dyDescent="0.25">
      <c r="B48" s="6">
        <v>26</v>
      </c>
      <c r="C48" s="93" t="s">
        <v>247</v>
      </c>
      <c r="D48" s="6">
        <f t="shared" ref="D48:D82" si="2">B48*12</f>
        <v>312</v>
      </c>
      <c r="E48" s="6">
        <f>((0.0000000219 * D48^3) - (0.000122 * D48^2) + (0.12 * D48) + 50.824) *  $E$47/76.5</f>
        <v>81.795109593252207</v>
      </c>
      <c r="G48" s="199" t="s">
        <v>315</v>
      </c>
      <c r="H48" s="197">
        <v>82.397726316760995</v>
      </c>
      <c r="I48" s="94">
        <v>82</v>
      </c>
    </row>
    <row r="49" spans="2:9" x14ac:dyDescent="0.25">
      <c r="B49" s="6">
        <v>27</v>
      </c>
      <c r="C49" s="6"/>
      <c r="D49" s="6">
        <f t="shared" si="2"/>
        <v>324</v>
      </c>
      <c r="E49" s="6">
        <f t="shared" ref="E49:E82" si="3">((0.0000000219 * D49^3) - (0.000122 * D49^2) + (0.12 * D49) + 50.824) *  $E$47/76.5</f>
        <v>82.419966322202043</v>
      </c>
      <c r="G49" s="199" t="s">
        <v>316</v>
      </c>
      <c r="H49" s="197">
        <v>83.009282804289427</v>
      </c>
      <c r="I49" s="94">
        <v>82.85</v>
      </c>
    </row>
    <row r="50" spans="2:9" x14ac:dyDescent="0.25">
      <c r="B50" s="6">
        <v>28</v>
      </c>
      <c r="C50" s="6"/>
      <c r="D50" s="6">
        <f t="shared" si="2"/>
        <v>336</v>
      </c>
      <c r="E50" s="6">
        <f t="shared" si="3"/>
        <v>83.014032621830779</v>
      </c>
      <c r="G50" s="199" t="s">
        <v>317</v>
      </c>
      <c r="H50" s="197">
        <v>83.590062432100808</v>
      </c>
      <c r="I50" s="94">
        <v>80.849999999999994</v>
      </c>
    </row>
    <row r="51" spans="2:9" x14ac:dyDescent="0.25">
      <c r="B51" s="6">
        <v>29</v>
      </c>
      <c r="C51" s="6"/>
      <c r="D51" s="6">
        <f t="shared" si="2"/>
        <v>348</v>
      </c>
      <c r="E51" s="6">
        <f t="shared" si="3"/>
        <v>83.57754952483802</v>
      </c>
      <c r="G51" s="199" t="s">
        <v>318</v>
      </c>
      <c r="H51" s="197">
        <v>84.140307073381678</v>
      </c>
      <c r="I51" s="94">
        <v>86.3</v>
      </c>
    </row>
    <row r="52" spans="2:9" x14ac:dyDescent="0.25">
      <c r="B52" s="6">
        <v>30</v>
      </c>
      <c r="C52" s="6"/>
      <c r="D52" s="6">
        <f t="shared" si="2"/>
        <v>360</v>
      </c>
      <c r="E52" s="6">
        <f t="shared" si="3"/>
        <v>84.110758063923285</v>
      </c>
      <c r="G52" s="199" t="s">
        <v>319</v>
      </c>
      <c r="H52" s="197">
        <v>84.660258601318617</v>
      </c>
      <c r="I52" s="94">
        <v>82.85</v>
      </c>
    </row>
    <row r="53" spans="2:9" x14ac:dyDescent="0.25">
      <c r="B53" s="6">
        <v>31</v>
      </c>
      <c r="C53" s="6"/>
      <c r="D53" s="6">
        <f t="shared" si="2"/>
        <v>372</v>
      </c>
      <c r="E53" s="6">
        <f t="shared" si="3"/>
        <v>84.613899271786181</v>
      </c>
      <c r="G53" s="199" t="s">
        <v>320</v>
      </c>
      <c r="H53" s="197">
        <v>85.150158889098122</v>
      </c>
      <c r="I53" s="94">
        <v>82.5</v>
      </c>
    </row>
    <row r="54" spans="2:9" x14ac:dyDescent="0.25">
      <c r="B54" s="6">
        <v>32</v>
      </c>
      <c r="C54" s="6"/>
      <c r="D54" s="6">
        <f t="shared" si="2"/>
        <v>384</v>
      </c>
      <c r="E54" s="6">
        <f t="shared" si="3"/>
        <v>85.0872141811262</v>
      </c>
      <c r="G54" s="199" t="s">
        <v>321</v>
      </c>
      <c r="H54" s="197">
        <v>85.610249809906733</v>
      </c>
      <c r="I54" s="94">
        <v>86.5</v>
      </c>
    </row>
    <row r="55" spans="2:9" x14ac:dyDescent="0.25">
      <c r="B55" s="6">
        <v>33</v>
      </c>
      <c r="C55" s="6"/>
      <c r="D55" s="6">
        <f t="shared" si="2"/>
        <v>396</v>
      </c>
      <c r="E55" s="6">
        <f t="shared" si="3"/>
        <v>85.530943824642932</v>
      </c>
      <c r="G55" s="199" t="s">
        <v>322</v>
      </c>
      <c r="H55" s="197">
        <v>86.040773236931045</v>
      </c>
      <c r="I55" s="94">
        <v>85.8</v>
      </c>
    </row>
    <row r="56" spans="2:9" x14ac:dyDescent="0.25">
      <c r="B56" s="6">
        <v>34</v>
      </c>
      <c r="C56" s="6"/>
      <c r="D56" s="6">
        <f t="shared" si="2"/>
        <v>408</v>
      </c>
      <c r="E56" s="6">
        <f t="shared" si="3"/>
        <v>85.945329235035928</v>
      </c>
      <c r="G56" s="199" t="s">
        <v>323</v>
      </c>
      <c r="H56" s="197">
        <v>86.441971043357569</v>
      </c>
      <c r="I56" s="94">
        <v>86.05</v>
      </c>
    </row>
    <row r="57" spans="2:9" x14ac:dyDescent="0.25">
      <c r="B57" s="6">
        <v>35</v>
      </c>
      <c r="C57" s="6"/>
      <c r="D57" s="6">
        <f t="shared" si="2"/>
        <v>420</v>
      </c>
      <c r="E57" s="6">
        <f t="shared" si="3"/>
        <v>86.330611445004706</v>
      </c>
      <c r="G57" s="199" t="s">
        <v>324</v>
      </c>
      <c r="H57" s="197">
        <v>86.814085102372843</v>
      </c>
      <c r="I57" s="94">
        <v>88.3</v>
      </c>
    </row>
    <row r="58" spans="2:9" x14ac:dyDescent="0.25">
      <c r="B58" s="6">
        <v>36</v>
      </c>
      <c r="C58" s="6"/>
      <c r="D58" s="6">
        <f t="shared" si="2"/>
        <v>432</v>
      </c>
      <c r="E58" s="6">
        <f t="shared" si="3"/>
        <v>86.687031487248888</v>
      </c>
      <c r="G58" s="199" t="s">
        <v>325</v>
      </c>
      <c r="H58" s="197">
        <v>87.157357287163421</v>
      </c>
      <c r="I58" s="94">
        <v>87.3</v>
      </c>
    </row>
    <row r="59" spans="2:9" x14ac:dyDescent="0.25">
      <c r="B59" s="6">
        <v>37</v>
      </c>
      <c r="C59" s="6"/>
      <c r="D59" s="6">
        <f t="shared" si="2"/>
        <v>444</v>
      </c>
      <c r="E59" s="6">
        <f t="shared" si="3"/>
        <v>87.014830394467978</v>
      </c>
      <c r="G59" s="199" t="s">
        <v>326</v>
      </c>
      <c r="H59" s="197">
        <v>87.472029470915842</v>
      </c>
      <c r="I59" s="94">
        <v>86.1</v>
      </c>
    </row>
    <row r="60" spans="2:9" x14ac:dyDescent="0.25">
      <c r="B60" s="6">
        <v>38</v>
      </c>
      <c r="C60" s="6"/>
      <c r="D60" s="6">
        <f t="shared" si="2"/>
        <v>456</v>
      </c>
      <c r="E60" s="6">
        <f t="shared" si="3"/>
        <v>87.314249199361527</v>
      </c>
      <c r="G60" s="199" t="s">
        <v>327</v>
      </c>
      <c r="H60" s="197">
        <v>87.75834352681666</v>
      </c>
      <c r="I60" s="94">
        <v>89.7</v>
      </c>
    </row>
    <row r="61" spans="2:9" x14ac:dyDescent="0.25">
      <c r="B61" s="6">
        <v>39</v>
      </c>
      <c r="C61" s="6"/>
      <c r="D61" s="6">
        <f t="shared" si="2"/>
        <v>468</v>
      </c>
      <c r="E61" s="6">
        <f t="shared" si="3"/>
        <v>87.58552893462911</v>
      </c>
      <c r="G61" s="199" t="s">
        <v>328</v>
      </c>
      <c r="H61" s="197">
        <v>88.016541328052398</v>
      </c>
      <c r="I61" s="94">
        <v>82.5</v>
      </c>
    </row>
    <row r="62" spans="2:9" x14ac:dyDescent="0.25">
      <c r="B62" s="6">
        <v>40</v>
      </c>
      <c r="C62" s="6"/>
      <c r="D62" s="6">
        <f t="shared" si="2"/>
        <v>480</v>
      </c>
      <c r="E62" s="6">
        <f t="shared" si="3"/>
        <v>87.828910632970278</v>
      </c>
      <c r="G62" s="199" t="s">
        <v>329</v>
      </c>
      <c r="H62" s="197">
        <v>88.246864747809639</v>
      </c>
      <c r="I62" s="94">
        <v>83.8</v>
      </c>
    </row>
    <row r="63" spans="2:9" x14ac:dyDescent="0.25">
      <c r="B63" s="6">
        <v>41</v>
      </c>
      <c r="C63" s="6"/>
      <c r="D63" s="6">
        <f t="shared" si="2"/>
        <v>492</v>
      </c>
      <c r="E63" s="6">
        <f t="shared" si="3"/>
        <v>88.044635327084606</v>
      </c>
      <c r="G63" s="199" t="s">
        <v>330</v>
      </c>
      <c r="H63" s="197">
        <v>88.449555659274893</v>
      </c>
      <c r="I63" s="94">
        <v>88.4</v>
      </c>
    </row>
    <row r="64" spans="2:9" x14ac:dyDescent="0.25">
      <c r="B64" s="6">
        <v>42</v>
      </c>
      <c r="C64" s="6"/>
      <c r="D64" s="6">
        <f t="shared" si="2"/>
        <v>504</v>
      </c>
      <c r="E64" s="6">
        <f t="shared" si="3"/>
        <v>88.232944049671602</v>
      </c>
      <c r="G64" s="199" t="s">
        <v>331</v>
      </c>
      <c r="H64" s="197">
        <v>88.624855935634713</v>
      </c>
      <c r="I64" s="94">
        <v>85.8</v>
      </c>
    </row>
    <row r="65" spans="2:9" x14ac:dyDescent="0.25">
      <c r="B65" s="6">
        <v>43</v>
      </c>
      <c r="C65" s="6"/>
      <c r="D65" s="6">
        <f t="shared" si="2"/>
        <v>516</v>
      </c>
      <c r="E65" s="6">
        <f t="shared" si="3"/>
        <v>88.394077833430842</v>
      </c>
      <c r="G65" s="199" t="s">
        <v>332</v>
      </c>
      <c r="H65" s="197">
        <v>88.773007450075653</v>
      </c>
      <c r="I65" s="94">
        <v>94.8</v>
      </c>
    </row>
    <row r="66" spans="2:9" x14ac:dyDescent="0.25">
      <c r="B66" s="6">
        <v>44</v>
      </c>
      <c r="C66" s="6"/>
      <c r="D66" s="6">
        <f t="shared" si="2"/>
        <v>528</v>
      </c>
      <c r="E66" s="6">
        <f t="shared" si="3"/>
        <v>88.528277711061889</v>
      </c>
      <c r="G66" s="199" t="s">
        <v>333</v>
      </c>
      <c r="H66" s="197">
        <v>88.894252075784237</v>
      </c>
      <c r="I66" s="94">
        <v>86.5</v>
      </c>
    </row>
    <row r="67" spans="2:9" x14ac:dyDescent="0.25">
      <c r="B67" s="6">
        <v>45</v>
      </c>
      <c r="C67" s="6"/>
      <c r="D67" s="6">
        <f t="shared" si="2"/>
        <v>540</v>
      </c>
      <c r="E67" s="6">
        <f t="shared" si="3"/>
        <v>88.635784715264279</v>
      </c>
      <c r="G67" s="199" t="s">
        <v>334</v>
      </c>
      <c r="H67" s="197">
        <v>88.988831685947019</v>
      </c>
      <c r="I67" s="94">
        <v>91.6</v>
      </c>
    </row>
    <row r="68" spans="2:9" x14ac:dyDescent="0.25">
      <c r="B68" s="6">
        <v>46</v>
      </c>
      <c r="C68" s="6"/>
      <c r="D68" s="6">
        <f t="shared" si="2"/>
        <v>552</v>
      </c>
      <c r="E68" s="6">
        <f t="shared" si="3"/>
        <v>88.716839878737574</v>
      </c>
      <c r="G68" s="199" t="s">
        <v>335</v>
      </c>
      <c r="H68" s="197">
        <v>89.056988153750552</v>
      </c>
      <c r="I68" s="94">
        <v>87.2</v>
      </c>
    </row>
    <row r="69" spans="2:9" x14ac:dyDescent="0.25">
      <c r="B69" s="6">
        <v>47</v>
      </c>
      <c r="C69" s="6"/>
      <c r="D69" s="6">
        <f t="shared" si="2"/>
        <v>564</v>
      </c>
      <c r="E69" s="6">
        <f t="shared" si="3"/>
        <v>88.771684234181336</v>
      </c>
      <c r="G69" s="199" t="s">
        <v>336</v>
      </c>
      <c r="H69" s="197">
        <v>89.098963352381389</v>
      </c>
      <c r="I69" s="94">
        <v>86.9</v>
      </c>
    </row>
    <row r="70" spans="2:9" x14ac:dyDescent="0.25">
      <c r="B70" s="6">
        <v>48</v>
      </c>
      <c r="C70" s="6"/>
      <c r="D70" s="6">
        <f t="shared" si="2"/>
        <v>576</v>
      </c>
      <c r="E70" s="6">
        <f t="shared" si="3"/>
        <v>88.80055881429513</v>
      </c>
      <c r="G70" s="199" t="s">
        <v>337</v>
      </c>
      <c r="H70" s="197">
        <v>89.114999155026041</v>
      </c>
      <c r="I70" s="94">
        <v>83.3</v>
      </c>
    </row>
    <row r="71" spans="2:9" x14ac:dyDescent="0.25">
      <c r="B71" s="6">
        <v>49</v>
      </c>
      <c r="C71" s="6"/>
      <c r="D71" s="6">
        <f t="shared" si="2"/>
        <v>588</v>
      </c>
      <c r="E71" s="6">
        <f t="shared" si="3"/>
        <v>88.803704651778489</v>
      </c>
      <c r="G71" s="199" t="s">
        <v>338</v>
      </c>
      <c r="H71" s="197">
        <v>89.105337434871075</v>
      </c>
      <c r="I71" s="94">
        <v>82.05</v>
      </c>
    </row>
    <row r="72" spans="2:9" x14ac:dyDescent="0.25">
      <c r="B72" s="6">
        <v>50</v>
      </c>
      <c r="C72" s="6"/>
      <c r="D72" s="6">
        <f t="shared" si="2"/>
        <v>600</v>
      </c>
      <c r="E72" s="6">
        <f t="shared" si="3"/>
        <v>88.781362779330948</v>
      </c>
      <c r="G72" s="199" t="s">
        <v>339</v>
      </c>
      <c r="H72" s="197">
        <v>89.070220065103044</v>
      </c>
      <c r="I72" s="94">
        <v>84.05</v>
      </c>
    </row>
    <row r="73" spans="2:9" x14ac:dyDescent="0.25">
      <c r="B73" s="6">
        <v>51</v>
      </c>
      <c r="C73" s="6"/>
      <c r="D73" s="6">
        <f t="shared" si="2"/>
        <v>612</v>
      </c>
      <c r="E73" s="6">
        <f t="shared" si="3"/>
        <v>88.733774229652099</v>
      </c>
      <c r="G73" s="199" t="s">
        <v>340</v>
      </c>
      <c r="H73" s="197">
        <v>89.009888918908459</v>
      </c>
      <c r="I73" s="94">
        <v>84.1</v>
      </c>
    </row>
    <row r="74" spans="2:9" x14ac:dyDescent="0.25">
      <c r="B74" s="6">
        <v>52</v>
      </c>
      <c r="C74" s="6"/>
      <c r="D74" s="6">
        <f t="shared" si="2"/>
        <v>624</v>
      </c>
      <c r="E74" s="6">
        <f t="shared" si="3"/>
        <v>88.661180035441461</v>
      </c>
      <c r="G74" s="199" t="s">
        <v>341</v>
      </c>
      <c r="H74" s="197">
        <v>88.924585869473873</v>
      </c>
      <c r="I74" s="94">
        <v>82.7</v>
      </c>
    </row>
    <row r="75" spans="2:9" x14ac:dyDescent="0.25">
      <c r="B75" s="6">
        <v>53</v>
      </c>
      <c r="C75" s="6"/>
      <c r="D75" s="6">
        <f t="shared" si="2"/>
        <v>636</v>
      </c>
      <c r="E75" s="6">
        <f t="shared" si="3"/>
        <v>88.563821229398641</v>
      </c>
      <c r="G75" s="199" t="s">
        <v>342</v>
      </c>
      <c r="H75" s="197">
        <v>88.814552789985854</v>
      </c>
      <c r="I75" s="94">
        <v>82.5</v>
      </c>
    </row>
    <row r="76" spans="2:9" x14ac:dyDescent="0.25">
      <c r="B76" s="6">
        <v>54</v>
      </c>
      <c r="C76" s="6"/>
      <c r="D76" s="6">
        <f t="shared" si="2"/>
        <v>648</v>
      </c>
      <c r="E76" s="6">
        <f t="shared" si="3"/>
        <v>88.441938844223145</v>
      </c>
      <c r="G76" s="199" t="s">
        <v>343</v>
      </c>
      <c r="H76" s="197">
        <v>88.680031553630954</v>
      </c>
      <c r="I76" s="94">
        <v>90.9</v>
      </c>
    </row>
    <row r="77" spans="2:9" x14ac:dyDescent="0.25">
      <c r="B77" s="6">
        <v>55</v>
      </c>
      <c r="C77" s="6"/>
      <c r="D77" s="6">
        <f t="shared" si="2"/>
        <v>660</v>
      </c>
      <c r="E77" s="6">
        <f t="shared" si="3"/>
        <v>88.295773912614564</v>
      </c>
      <c r="G77" s="199" t="s">
        <v>344</v>
      </c>
      <c r="H77" s="197">
        <v>88.521264033595671</v>
      </c>
      <c r="I77" s="94">
        <v>86.8</v>
      </c>
    </row>
    <row r="78" spans="2:9" x14ac:dyDescent="0.25">
      <c r="B78" s="6">
        <v>56</v>
      </c>
      <c r="C78" s="6"/>
      <c r="D78" s="6">
        <f t="shared" si="2"/>
        <v>672</v>
      </c>
      <c r="E78" s="6">
        <f t="shared" si="3"/>
        <v>88.12556746727239</v>
      </c>
      <c r="G78" s="199" t="s">
        <v>345</v>
      </c>
      <c r="H78" s="197">
        <v>88.338492103066571</v>
      </c>
      <c r="I78" s="94">
        <v>85.55</v>
      </c>
    </row>
    <row r="79" spans="2:9" x14ac:dyDescent="0.25">
      <c r="B79" s="6">
        <v>57</v>
      </c>
      <c r="C79" s="6"/>
      <c r="D79" s="6">
        <f t="shared" si="2"/>
        <v>684</v>
      </c>
      <c r="E79" s="6">
        <f t="shared" si="3"/>
        <v>87.931560540896228</v>
      </c>
      <c r="G79" s="199" t="s">
        <v>346</v>
      </c>
      <c r="H79" s="197">
        <v>88.131957635230222</v>
      </c>
      <c r="I79" s="94">
        <v>90.1</v>
      </c>
    </row>
    <row r="80" spans="2:9" x14ac:dyDescent="0.25">
      <c r="B80" s="6">
        <v>58</v>
      </c>
      <c r="C80" s="6"/>
      <c r="D80" s="6">
        <f t="shared" si="2"/>
        <v>696</v>
      </c>
      <c r="E80" s="6">
        <f t="shared" si="3"/>
        <v>87.713994166185643</v>
      </c>
      <c r="G80" s="199" t="s">
        <v>347</v>
      </c>
      <c r="H80" s="197">
        <v>87.901902503273121</v>
      </c>
      <c r="I80" s="94">
        <v>90.7</v>
      </c>
    </row>
    <row r="81" spans="2:9" x14ac:dyDescent="0.25">
      <c r="B81" s="6">
        <v>59</v>
      </c>
      <c r="C81" s="6"/>
      <c r="D81" s="6">
        <f t="shared" si="2"/>
        <v>708</v>
      </c>
      <c r="E81" s="6">
        <f t="shared" si="3"/>
        <v>87.473109375840153</v>
      </c>
      <c r="G81" s="199" t="s">
        <v>348</v>
      </c>
      <c r="H81" s="197">
        <v>87.648568580381848</v>
      </c>
      <c r="I81" s="94">
        <v>93.15</v>
      </c>
    </row>
    <row r="82" spans="2:9" x14ac:dyDescent="0.25">
      <c r="B82" s="6">
        <v>60</v>
      </c>
      <c r="C82" s="6"/>
      <c r="D82" s="6">
        <f t="shared" si="2"/>
        <v>720</v>
      </c>
      <c r="E82" s="6">
        <f t="shared" si="3"/>
        <v>87.209147202559322</v>
      </c>
      <c r="G82" s="199" t="s">
        <v>349</v>
      </c>
      <c r="H82" s="197">
        <v>87.372197739742944</v>
      </c>
      <c r="I82" s="94">
        <v>85.3</v>
      </c>
    </row>
  </sheetData>
  <mergeCells count="6">
    <mergeCell ref="I16:I17"/>
    <mergeCell ref="B1:F1"/>
    <mergeCell ref="B15:E15"/>
    <mergeCell ref="B16:E16"/>
    <mergeCell ref="H16:H17"/>
    <mergeCell ref="G16:G17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B3:G352"/>
  <sheetViews>
    <sheetView zoomScale="70" zoomScaleNormal="70" workbookViewId="0">
      <selection activeCell="B13" sqref="B13:G13"/>
    </sheetView>
  </sheetViews>
  <sheetFormatPr defaultColWidth="9.140625" defaultRowHeight="15.75" x14ac:dyDescent="0.25"/>
  <cols>
    <col min="1" max="1" width="9.140625" style="3"/>
    <col min="2" max="2" width="18.85546875" style="3" customWidth="1"/>
    <col min="3" max="3" width="46.140625" style="2" customWidth="1"/>
    <col min="4" max="4" width="25.5703125" style="3" customWidth="1"/>
    <col min="5" max="5" width="28.5703125" style="2" customWidth="1"/>
    <col min="6" max="6" width="18.85546875" style="3" customWidth="1"/>
    <col min="7" max="7" width="19.7109375" style="3" customWidth="1"/>
    <col min="8" max="16384" width="9.140625" style="3"/>
  </cols>
  <sheetData>
    <row r="3" spans="2:7" x14ac:dyDescent="0.25">
      <c r="B3" s="272" t="s">
        <v>77</v>
      </c>
      <c r="C3" s="272"/>
      <c r="D3" s="272"/>
      <c r="E3" s="272"/>
    </row>
    <row r="4" spans="2:7" x14ac:dyDescent="0.25">
      <c r="B4" s="21" t="s">
        <v>22</v>
      </c>
      <c r="C4" s="23" t="s">
        <v>82</v>
      </c>
      <c r="D4" s="23" t="s">
        <v>88</v>
      </c>
      <c r="E4" s="21"/>
    </row>
    <row r="5" spans="2:7" ht="78.75" x14ac:dyDescent="0.25">
      <c r="B5" s="21" t="s">
        <v>22</v>
      </c>
      <c r="C5" s="23" t="s">
        <v>83</v>
      </c>
      <c r="D5" s="23" t="s">
        <v>24</v>
      </c>
      <c r="E5" s="21"/>
    </row>
    <row r="6" spans="2:7" ht="31.5" x14ac:dyDescent="0.25">
      <c r="B6" s="10" t="s">
        <v>80</v>
      </c>
      <c r="C6" s="10" t="s">
        <v>78</v>
      </c>
      <c r="D6" s="10"/>
      <c r="E6" s="10">
        <v>2.0099999999999998</v>
      </c>
    </row>
    <row r="7" spans="2:7" ht="31.5" x14ac:dyDescent="0.25">
      <c r="B7" s="10" t="s">
        <v>89</v>
      </c>
      <c r="C7" s="10" t="s">
        <v>90</v>
      </c>
      <c r="D7" s="10" t="s">
        <v>91</v>
      </c>
      <c r="E7" s="8">
        <f>0.05012 * (E10^0.78)</f>
        <v>1.5470575888343197</v>
      </c>
    </row>
    <row r="8" spans="2:7" ht="15.75" customHeight="1" x14ac:dyDescent="0.25">
      <c r="B8" s="10" t="s">
        <v>79</v>
      </c>
      <c r="C8" s="10" t="s">
        <v>3</v>
      </c>
      <c r="D8" s="10"/>
      <c r="E8" s="8">
        <v>177</v>
      </c>
    </row>
    <row r="9" spans="2:7" x14ac:dyDescent="0.25">
      <c r="B9" s="10" t="s">
        <v>84</v>
      </c>
      <c r="C9" s="10" t="s">
        <v>105</v>
      </c>
      <c r="D9" s="10"/>
      <c r="E9" s="8">
        <v>2.0099999999999998</v>
      </c>
    </row>
    <row r="10" spans="2:7" x14ac:dyDescent="0.25">
      <c r="B10" s="10" t="s">
        <v>81</v>
      </c>
      <c r="C10" s="10"/>
      <c r="D10" s="10"/>
      <c r="E10" s="8">
        <v>81.209999999999994</v>
      </c>
    </row>
    <row r="11" spans="2:7" x14ac:dyDescent="0.25">
      <c r="C11" s="3"/>
    </row>
    <row r="13" spans="2:7" x14ac:dyDescent="0.25">
      <c r="B13" s="316" t="s">
        <v>15</v>
      </c>
      <c r="C13" s="311"/>
      <c r="D13" s="294" t="s">
        <v>11</v>
      </c>
      <c r="E13" s="294" t="s">
        <v>73</v>
      </c>
      <c r="F13" s="19" t="s">
        <v>23</v>
      </c>
      <c r="G13" s="325" t="s">
        <v>68</v>
      </c>
    </row>
    <row r="14" spans="2:7" x14ac:dyDescent="0.25">
      <c r="B14" s="87">
        <v>0.01</v>
      </c>
      <c r="C14" s="12"/>
      <c r="D14" s="10"/>
      <c r="E14" s="238">
        <f t="shared" ref="E14:E40" si="0">0.05012 * F14^0.78</f>
        <v>0.1714099030782105</v>
      </c>
      <c r="F14" s="31">
        <v>4.8377925320663246</v>
      </c>
      <c r="G14" s="50">
        <f t="shared" ref="G14:G41" si="1">E14/F14</f>
        <v>3.5431429095409694E-2</v>
      </c>
    </row>
    <row r="15" spans="2:7" s="29" customFormat="1" x14ac:dyDescent="0.25">
      <c r="B15" s="181">
        <v>0.5</v>
      </c>
      <c r="C15" s="25" t="s">
        <v>76</v>
      </c>
      <c r="D15" s="25"/>
      <c r="E15" s="150">
        <f t="shared" si="0"/>
        <v>0.23059132009394534</v>
      </c>
      <c r="F15" s="107">
        <v>7.0759454883143711</v>
      </c>
      <c r="G15" s="115">
        <f t="shared" si="1"/>
        <v>3.2588057733734285E-2</v>
      </c>
    </row>
    <row r="16" spans="2:7" s="29" customFormat="1" x14ac:dyDescent="0.25">
      <c r="B16" s="181">
        <v>1</v>
      </c>
      <c r="C16" s="25"/>
      <c r="D16" s="25"/>
      <c r="E16" s="150">
        <f t="shared" si="0"/>
        <v>0.28004487135201822</v>
      </c>
      <c r="F16" s="107">
        <v>9.0775771843511723</v>
      </c>
      <c r="G16" s="115">
        <f t="shared" si="1"/>
        <v>3.0850177934569078E-2</v>
      </c>
    </row>
    <row r="17" spans="2:7" s="29" customFormat="1" x14ac:dyDescent="0.25">
      <c r="B17" s="185">
        <v>1.5</v>
      </c>
      <c r="C17" s="36"/>
      <c r="D17" s="244"/>
      <c r="E17" s="238">
        <f t="shared" si="0"/>
        <v>0.3220452379566332</v>
      </c>
      <c r="F17" s="48">
        <v>10.85867141433374</v>
      </c>
      <c r="G17" s="50">
        <f t="shared" si="1"/>
        <v>2.9657885911486812E-2</v>
      </c>
    </row>
    <row r="18" spans="2:7" x14ac:dyDescent="0.25">
      <c r="B18" s="239">
        <v>2</v>
      </c>
      <c r="C18" s="240"/>
      <c r="E18" s="241">
        <f t="shared" si="0"/>
        <v>0.35873207532243589</v>
      </c>
      <c r="F18" s="242">
        <v>12.469385771384614</v>
      </c>
      <c r="G18" s="243">
        <f t="shared" si="1"/>
        <v>2.8769025347316839E-2</v>
      </c>
    </row>
    <row r="19" spans="2:7" x14ac:dyDescent="0.25">
      <c r="B19" s="180">
        <v>3</v>
      </c>
      <c r="C19" s="23"/>
      <c r="D19" s="36"/>
      <c r="E19" s="62">
        <f t="shared" si="0"/>
        <v>0.42147697011138369</v>
      </c>
      <c r="F19" s="22">
        <v>15.33180604994063</v>
      </c>
      <c r="G19" s="50">
        <f t="shared" si="1"/>
        <v>2.7490366675556516E-2</v>
      </c>
    </row>
    <row r="20" spans="2:7" x14ac:dyDescent="0.25">
      <c r="B20" s="180">
        <v>4</v>
      </c>
      <c r="C20" s="23"/>
      <c r="D20" s="36"/>
      <c r="E20" s="62">
        <f t="shared" si="0"/>
        <v>0.47577242862590485</v>
      </c>
      <c r="F20" s="22">
        <v>17.908606982755128</v>
      </c>
      <c r="G20" s="50">
        <f t="shared" si="1"/>
        <v>2.656669103766943E-2</v>
      </c>
    </row>
    <row r="21" spans="2:7" x14ac:dyDescent="0.25">
      <c r="B21" s="180">
        <v>4.5</v>
      </c>
      <c r="C21" s="23"/>
      <c r="D21" s="36"/>
      <c r="E21" s="62">
        <f t="shared" si="0"/>
        <v>0.50126687923182134</v>
      </c>
      <c r="F21" s="22">
        <v>19.148095016301134</v>
      </c>
      <c r="G21" s="50">
        <f t="shared" si="1"/>
        <v>2.6178420297428198E-2</v>
      </c>
    </row>
    <row r="22" spans="2:7" s="29" customFormat="1" x14ac:dyDescent="0.25">
      <c r="B22" s="181">
        <v>5</v>
      </c>
      <c r="C22" s="116"/>
      <c r="D22" s="25"/>
      <c r="E22" s="150">
        <f t="shared" si="0"/>
        <v>0.52627356726376739</v>
      </c>
      <c r="F22" s="107">
        <v>20.38127759653889</v>
      </c>
      <c r="G22" s="115">
        <f t="shared" si="1"/>
        <v>2.5821421879516433E-2</v>
      </c>
    </row>
    <row r="23" spans="2:7" x14ac:dyDescent="0.25">
      <c r="B23" s="180">
        <v>6</v>
      </c>
      <c r="C23" s="11"/>
      <c r="E23" s="62">
        <f t="shared" si="0"/>
        <v>0.57632652715466126</v>
      </c>
      <c r="F23" s="22">
        <v>22.899044891228044</v>
      </c>
      <c r="G23" s="50">
        <f t="shared" si="1"/>
        <v>2.5168146963869011E-2</v>
      </c>
    </row>
    <row r="24" spans="2:7" x14ac:dyDescent="0.25">
      <c r="B24" s="180">
        <v>7</v>
      </c>
      <c r="C24" s="11"/>
      <c r="D24" s="36"/>
      <c r="E24" s="62">
        <f t="shared" si="0"/>
        <v>0.62854743884439268</v>
      </c>
      <c r="F24" s="22">
        <v>25.592430754887268</v>
      </c>
      <c r="G24" s="50">
        <f t="shared" si="1"/>
        <v>2.4559896043651965E-2</v>
      </c>
    </row>
    <row r="25" spans="2:7" x14ac:dyDescent="0.25">
      <c r="B25" s="180">
        <v>8</v>
      </c>
      <c r="C25" s="11"/>
      <c r="D25" s="36"/>
      <c r="E25" s="62">
        <f t="shared" si="0"/>
        <v>0.68499919412842603</v>
      </c>
      <c r="F25" s="22">
        <v>28.575820928596343</v>
      </c>
      <c r="G25" s="50">
        <f t="shared" si="1"/>
        <v>2.3971286628652368E-2</v>
      </c>
    </row>
    <row r="26" spans="2:7" x14ac:dyDescent="0.25">
      <c r="B26" s="180">
        <v>9</v>
      </c>
      <c r="C26" s="11"/>
      <c r="D26" s="36"/>
      <c r="E26" s="62">
        <f t="shared" si="0"/>
        <v>0.74714083113590701</v>
      </c>
      <c r="F26" s="22">
        <v>31.940959644573518</v>
      </c>
      <c r="G26" s="50">
        <f t="shared" si="1"/>
        <v>2.3391308196428581E-2</v>
      </c>
    </row>
    <row r="27" spans="2:7" s="29" customFormat="1" x14ac:dyDescent="0.25">
      <c r="B27" s="181">
        <v>10</v>
      </c>
      <c r="C27" s="116"/>
      <c r="D27" s="25"/>
      <c r="E27" s="150">
        <f t="shared" si="0"/>
        <v>0.81564163989502314</v>
      </c>
      <c r="F27" s="107">
        <v>35.742930987515741</v>
      </c>
      <c r="G27" s="115">
        <f t="shared" si="1"/>
        <v>2.2819663003571522E-2</v>
      </c>
    </row>
    <row r="28" spans="2:7" s="29" customFormat="1" x14ac:dyDescent="0.25">
      <c r="B28" s="185">
        <v>10.5</v>
      </c>
      <c r="C28" s="245"/>
      <c r="D28" s="244"/>
      <c r="E28" s="238">
        <f t="shared" si="0"/>
        <v>0.85221391579069583</v>
      </c>
      <c r="F28" s="48">
        <v>37.81048562869546</v>
      </c>
      <c r="G28" s="50">
        <f t="shared" si="1"/>
        <v>2.2539089398627726E-2</v>
      </c>
    </row>
    <row r="29" spans="2:7" x14ac:dyDescent="0.25">
      <c r="B29" s="246">
        <v>11</v>
      </c>
      <c r="C29" s="247"/>
      <c r="D29" s="29"/>
      <c r="E29" s="248">
        <f t="shared" si="0"/>
        <v>0.89015931557335493</v>
      </c>
      <c r="F29" s="249">
        <v>39.982278220873482</v>
      </c>
      <c r="G29" s="243">
        <f t="shared" si="1"/>
        <v>2.22638467637052E-2</v>
      </c>
    </row>
    <row r="30" spans="2:7" x14ac:dyDescent="0.25">
      <c r="B30" s="180">
        <v>12</v>
      </c>
      <c r="C30" s="11"/>
      <c r="D30" s="36"/>
      <c r="E30" s="62">
        <f t="shared" si="0"/>
        <v>0.96921339792820604</v>
      </c>
      <c r="F30" s="22">
        <v>44.590410457317788</v>
      </c>
      <c r="G30" s="50">
        <f t="shared" si="1"/>
        <v>2.1735915592343405E-2</v>
      </c>
    </row>
    <row r="31" spans="2:7" x14ac:dyDescent="0.25">
      <c r="B31" s="180">
        <v>13</v>
      </c>
      <c r="C31" s="11"/>
      <c r="D31" s="36"/>
      <c r="E31" s="62">
        <f t="shared" si="0"/>
        <v>1.050287223562629</v>
      </c>
      <c r="F31" s="22">
        <v>49.42771554129417</v>
      </c>
      <c r="G31" s="50">
        <f t="shared" si="1"/>
        <v>2.1248953386995423E-2</v>
      </c>
    </row>
    <row r="32" spans="2:7" x14ac:dyDescent="0.25">
      <c r="B32" s="180">
        <v>14</v>
      </c>
      <c r="C32" s="11"/>
      <c r="D32" s="36"/>
      <c r="E32" s="62">
        <f t="shared" si="0"/>
        <v>1.130218973533881</v>
      </c>
      <c r="F32" s="22">
        <v>54.301228570926213</v>
      </c>
      <c r="G32" s="50">
        <f t="shared" si="1"/>
        <v>2.0813874810541932E-2</v>
      </c>
    </row>
    <row r="33" spans="2:7" x14ac:dyDescent="0.25">
      <c r="B33" s="180">
        <v>15</v>
      </c>
      <c r="C33" s="11"/>
      <c r="D33" s="36"/>
      <c r="E33" s="62">
        <f t="shared" si="0"/>
        <v>1.2058030554581338</v>
      </c>
      <c r="F33" s="22">
        <v>59.000130386011627</v>
      </c>
      <c r="G33" s="50">
        <f t="shared" si="1"/>
        <v>2.0437294757979355E-2</v>
      </c>
    </row>
    <row r="34" spans="2:7" x14ac:dyDescent="0.25">
      <c r="B34" s="180">
        <v>16</v>
      </c>
      <c r="C34" s="11"/>
      <c r="D34" s="36"/>
      <c r="E34" s="62">
        <f t="shared" si="0"/>
        <v>1.274399158749381</v>
      </c>
      <c r="F34" s="22">
        <v>63.337294009498862</v>
      </c>
      <c r="G34" s="50">
        <f t="shared" si="1"/>
        <v>2.0120833683836509E-2</v>
      </c>
    </row>
    <row r="35" spans="2:7" x14ac:dyDescent="0.25">
      <c r="B35" s="180">
        <v>17</v>
      </c>
      <c r="C35" s="11"/>
      <c r="D35" s="36"/>
      <c r="E35" s="62">
        <f t="shared" si="0"/>
        <v>1.3343346418761344</v>
      </c>
      <c r="F35" s="22">
        <v>67.181288947144452</v>
      </c>
      <c r="G35" s="50">
        <f t="shared" si="1"/>
        <v>1.986170052387556E-2</v>
      </c>
    </row>
    <row r="36" spans="2:7" x14ac:dyDescent="0.25">
      <c r="B36" s="180">
        <v>18</v>
      </c>
      <c r="C36" s="11"/>
      <c r="D36" s="36"/>
      <c r="E36" s="62">
        <f t="shared" si="0"/>
        <v>1.3849986495366367</v>
      </c>
      <c r="F36" s="22">
        <v>70.468950673819393</v>
      </c>
      <c r="G36" s="50">
        <f t="shared" si="1"/>
        <v>1.9654026862800881E-2</v>
      </c>
    </row>
    <row r="37" spans="2:7" x14ac:dyDescent="0.25">
      <c r="B37" s="180">
        <v>19</v>
      </c>
      <c r="C37" s="11"/>
      <c r="D37" s="36"/>
      <c r="E37" s="62">
        <f t="shared" si="0"/>
        <v>1.4266744549526464</v>
      </c>
      <c r="F37" s="22">
        <v>73.198958370421622</v>
      </c>
      <c r="G37" s="50">
        <f t="shared" si="1"/>
        <v>1.9490365528604843E-2</v>
      </c>
    </row>
    <row r="38" spans="2:7" x14ac:dyDescent="0.25">
      <c r="B38" s="180">
        <v>20</v>
      </c>
      <c r="C38" s="11"/>
      <c r="D38" s="36"/>
      <c r="E38" s="62">
        <f t="shared" si="0"/>
        <v>1.4602410989834831</v>
      </c>
      <c r="F38" s="22">
        <v>75.414214512323156</v>
      </c>
      <c r="G38" s="50">
        <f t="shared" si="1"/>
        <v>1.936294249600479E-2</v>
      </c>
    </row>
    <row r="39" spans="2:7" x14ac:dyDescent="0.25">
      <c r="B39" s="180">
        <v>21</v>
      </c>
      <c r="C39" s="11"/>
      <c r="D39" s="36"/>
      <c r="E39" s="62">
        <f t="shared" si="0"/>
        <v>1.4868710209054801</v>
      </c>
      <c r="F39" s="22">
        <v>77.181939133707928</v>
      </c>
      <c r="G39" s="50">
        <f t="shared" si="1"/>
        <v>1.9264494227459929E-2</v>
      </c>
    </row>
    <row r="40" spans="2:7" x14ac:dyDescent="0.25">
      <c r="B40" s="180">
        <v>22</v>
      </c>
      <c r="C40" s="11"/>
      <c r="D40" s="36"/>
      <c r="E40" s="62">
        <f t="shared" si="0"/>
        <v>1.5077968349909376</v>
      </c>
      <c r="F40" s="22">
        <v>78.577305924346987</v>
      </c>
      <c r="G40" s="50">
        <f t="shared" si="1"/>
        <v>1.918870616972566E-2</v>
      </c>
    </row>
    <row r="41" spans="2:7" ht="31.5" x14ac:dyDescent="0.25">
      <c r="B41" s="182">
        <v>23</v>
      </c>
      <c r="C41" s="13" t="s">
        <v>24</v>
      </c>
      <c r="D41" s="17">
        <v>1.9896665748206297</v>
      </c>
      <c r="E41" s="24">
        <f>(1.0728 * D41 - 0.3457) * 1.550355311 / ((1.0728 * 2.01) - 0.3457)</f>
        <v>1.5316772703575803</v>
      </c>
      <c r="F41" s="22">
        <v>79.672650885769443</v>
      </c>
      <c r="G41" s="111">
        <f t="shared" si="1"/>
        <v>1.9224630451340454E-2</v>
      </c>
    </row>
    <row r="42" spans="2:7" s="14" customFormat="1" x14ac:dyDescent="0.25">
      <c r="B42" s="180">
        <v>24</v>
      </c>
      <c r="C42" s="13"/>
      <c r="D42" s="17">
        <v>2.0006874593674868</v>
      </c>
      <c r="E42" s="24">
        <f t="shared" ref="E42:E78" si="2">(1.0728 * D42 - 0.3457) * 1.550355311 / ((1.0728 * 2.01) - 0.3457)</f>
        <v>1.5418009228000844</v>
      </c>
      <c r="F42" s="22">
        <v>80.531777651930497</v>
      </c>
      <c r="G42" s="111">
        <f t="shared" ref="G42:G43" si="3">E42/F42</f>
        <v>1.9145248841568624E-2</v>
      </c>
    </row>
    <row r="43" spans="2:7" s="29" customFormat="1" x14ac:dyDescent="0.25">
      <c r="B43" s="167">
        <v>25</v>
      </c>
      <c r="C43" s="116"/>
      <c r="D43" s="151">
        <v>2.0093205933567493</v>
      </c>
      <c r="E43" s="152">
        <f t="shared" si="2"/>
        <v>1.5497312162012427</v>
      </c>
      <c r="F43" s="107">
        <v>81.207903119037354</v>
      </c>
      <c r="G43" s="115">
        <f t="shared" si="3"/>
        <v>1.9083502426230525E-2</v>
      </c>
    </row>
    <row r="44" spans="2:7" x14ac:dyDescent="0.25">
      <c r="B44" s="180">
        <v>26</v>
      </c>
      <c r="C44" s="13"/>
      <c r="D44" s="17">
        <v>2.0167900740889615</v>
      </c>
      <c r="E44" s="24">
        <f t="shared" si="2"/>
        <v>1.5565925916686469</v>
      </c>
      <c r="F44" s="22">
        <v>81.795109593252207</v>
      </c>
      <c r="G44" s="111">
        <f>E44/F44</f>
        <v>1.9030387017136049E-2</v>
      </c>
    </row>
    <row r="45" spans="2:7" x14ac:dyDescent="0.25">
      <c r="B45" s="182">
        <v>27</v>
      </c>
      <c r="C45" s="13"/>
      <c r="D45" s="17">
        <v>2.0247099608044241</v>
      </c>
      <c r="E45" s="24">
        <f t="shared" si="2"/>
        <v>1.5638677046734573</v>
      </c>
      <c r="F45" s="22">
        <v>82.419966322202043</v>
      </c>
      <c r="G45" s="111">
        <f t="shared" ref="G45:G78" si="4">E45/F45</f>
        <v>1.8974379321630312E-2</v>
      </c>
    </row>
    <row r="46" spans="2:7" x14ac:dyDescent="0.25">
      <c r="B46" s="180">
        <v>28</v>
      </c>
      <c r="C46" s="13"/>
      <c r="D46" s="17">
        <v>2.032212625093889</v>
      </c>
      <c r="E46" s="24">
        <f t="shared" si="2"/>
        <v>1.5707595621587975</v>
      </c>
      <c r="F46" s="22">
        <v>83.014032621830779</v>
      </c>
      <c r="G46" s="111">
        <f t="shared" si="4"/>
        <v>1.8921614967367866E-2</v>
      </c>
    </row>
    <row r="47" spans="2:7" x14ac:dyDescent="0.25">
      <c r="B47" s="182">
        <v>29</v>
      </c>
      <c r="C47" s="13"/>
      <c r="D47" s="17">
        <v>2.0393054414853733</v>
      </c>
      <c r="E47" s="24">
        <f t="shared" si="2"/>
        <v>1.5772749382777105</v>
      </c>
      <c r="F47" s="22">
        <v>83.57754952483802</v>
      </c>
      <c r="G47" s="111">
        <f t="shared" si="4"/>
        <v>1.8871993103949134E-2</v>
      </c>
    </row>
    <row r="48" spans="2:7" s="2" customFormat="1" x14ac:dyDescent="0.25">
      <c r="B48" s="180">
        <v>30</v>
      </c>
      <c r="C48" s="13"/>
      <c r="D48" s="17">
        <v>2.0459954499931121</v>
      </c>
      <c r="E48" s="24">
        <f t="shared" si="2"/>
        <v>1.5834202999028861</v>
      </c>
      <c r="F48" s="16">
        <v>84.110758063923285</v>
      </c>
      <c r="G48" s="112">
        <f t="shared" si="4"/>
        <v>1.8825419439205428E-2</v>
      </c>
    </row>
    <row r="49" spans="2:7" s="2" customFormat="1" x14ac:dyDescent="0.25">
      <c r="B49" s="182">
        <v>31</v>
      </c>
      <c r="C49" s="13"/>
      <c r="D49" s="17">
        <v>2.0522893762016219</v>
      </c>
      <c r="E49" s="24">
        <f t="shared" si="2"/>
        <v>1.5892018250756448</v>
      </c>
      <c r="F49" s="16">
        <v>84.613899271786181</v>
      </c>
      <c r="G49" s="112">
        <f t="shared" si="4"/>
        <v>1.8781805811489784E-2</v>
      </c>
    </row>
    <row r="50" spans="2:7" s="2" customFormat="1" x14ac:dyDescent="0.25">
      <c r="B50" s="180">
        <v>32</v>
      </c>
      <c r="C50" s="13"/>
      <c r="D50" s="17">
        <v>2.058193648911907</v>
      </c>
      <c r="E50" s="24">
        <f t="shared" si="2"/>
        <v>1.5946254192155305</v>
      </c>
      <c r="F50" s="16">
        <v>85.0872141811262</v>
      </c>
      <c r="G50" s="112">
        <f t="shared" si="4"/>
        <v>1.8741069790121835E-2</v>
      </c>
    </row>
    <row r="51" spans="2:7" s="2" customFormat="1" x14ac:dyDescent="0.25">
      <c r="B51" s="182">
        <v>33</v>
      </c>
      <c r="C51" s="13"/>
      <c r="D51" s="17">
        <v>2.0637144162302161</v>
      </c>
      <c r="E51" s="24">
        <f t="shared" si="2"/>
        <v>1.5996967298992484</v>
      </c>
      <c r="F51" s="16">
        <v>85.530943824642932</v>
      </c>
      <c r="G51" s="112">
        <f t="shared" si="4"/>
        <v>1.8703134308665822E-2</v>
      </c>
    </row>
    <row r="52" spans="2:7" s="2" customFormat="1" x14ac:dyDescent="0.25">
      <c r="B52" s="180">
        <v>34</v>
      </c>
      <c r="C52" s="13"/>
      <c r="D52" s="17">
        <v>2.0688575603865131</v>
      </c>
      <c r="E52" s="24">
        <f t="shared" si="2"/>
        <v>1.6044211604727363</v>
      </c>
      <c r="F52" s="16">
        <v>85.945329235035928</v>
      </c>
      <c r="G52" s="112">
        <f t="shared" si="4"/>
        <v>1.8667927329536461E-2</v>
      </c>
    </row>
    <row r="53" spans="2:7" s="2" customFormat="1" x14ac:dyDescent="0.25">
      <c r="B53" s="182">
        <v>35</v>
      </c>
      <c r="C53" s="13"/>
      <c r="D53" s="17">
        <v>2.0736287114273169</v>
      </c>
      <c r="E53" s="24">
        <f t="shared" si="2"/>
        <v>1.6088038826292406</v>
      </c>
      <c r="F53" s="16">
        <v>86.330611445004706</v>
      </c>
      <c r="G53" s="112">
        <f t="shared" si="4"/>
        <v>1.8635381537336834E-2</v>
      </c>
    </row>
    <row r="54" spans="2:7" s="2" customFormat="1" x14ac:dyDescent="0.25">
      <c r="B54" s="180">
        <v>36</v>
      </c>
      <c r="C54" s="13"/>
      <c r="D54" s="17">
        <v>2.07803325988719</v>
      </c>
      <c r="E54" s="24">
        <f t="shared" si="2"/>
        <v>1.6128498480491977</v>
      </c>
      <c r="F54" s="16">
        <v>86.687031487248888</v>
      </c>
      <c r="G54" s="112">
        <f t="shared" si="4"/>
        <v>1.8605434058339369E-2</v>
      </c>
    </row>
    <row r="55" spans="2:7" s="2" customFormat="1" x14ac:dyDescent="0.25">
      <c r="B55" s="182">
        <v>37</v>
      </c>
      <c r="C55" s="13"/>
      <c r="D55" s="17">
        <v>2.0820763685267405</v>
      </c>
      <c r="E55" s="24">
        <f t="shared" si="2"/>
        <v>1.6165637991826181</v>
      </c>
      <c r="F55" s="16">
        <v>87.014830394467978</v>
      </c>
      <c r="G55" s="112">
        <f t="shared" si="4"/>
        <v>1.8578026203742302E-2</v>
      </c>
    </row>
    <row r="56" spans="2:7" s="2" customFormat="1" x14ac:dyDescent="0.25">
      <c r="B56" s="180">
        <v>38</v>
      </c>
      <c r="C56" s="13"/>
      <c r="D56" s="17">
        <v>2.0857629832146642</v>
      </c>
      <c r="E56" s="24">
        <f t="shared" si="2"/>
        <v>1.6199502792452023</v>
      </c>
      <c r="F56" s="16">
        <v>87.314249199361527</v>
      </c>
      <c r="G56" s="112">
        <f t="shared" si="4"/>
        <v>1.8553103234575461E-2</v>
      </c>
    </row>
    <row r="57" spans="2:7" s="2" customFormat="1" x14ac:dyDescent="0.25">
      <c r="B57" s="182">
        <v>39</v>
      </c>
      <c r="C57" s="13"/>
      <c r="D57" s="17">
        <v>2.089097843023298</v>
      </c>
      <c r="E57" s="24">
        <f t="shared" si="2"/>
        <v>1.6230136414919933</v>
      </c>
      <c r="F57" s="16">
        <v>87.58552893462911</v>
      </c>
      <c r="G57" s="112">
        <f t="shared" si="4"/>
        <v>1.8530614146354658E-2</v>
      </c>
    </row>
    <row r="58" spans="2:7" s="2" customFormat="1" x14ac:dyDescent="0.25">
      <c r="B58" s="180">
        <v>40</v>
      </c>
      <c r="C58" s="13"/>
      <c r="D58" s="17">
        <v>2.0920854896000871</v>
      </c>
      <c r="E58" s="24">
        <f t="shared" si="2"/>
        <v>1.6257580578258961</v>
      </c>
      <c r="F58" s="16">
        <v>87.828910632970278</v>
      </c>
      <c r="G58" s="112">
        <f t="shared" si="4"/>
        <v>1.8510511471784091E-2</v>
      </c>
    </row>
    <row r="59" spans="2:7" s="2" customFormat="1" x14ac:dyDescent="0.25">
      <c r="B59" s="182">
        <v>41</v>
      </c>
      <c r="C59" s="13"/>
      <c r="D59" s="17">
        <v>2.09473027587127</v>
      </c>
      <c r="E59" s="24">
        <f t="shared" si="2"/>
        <v>1.6281875267927768</v>
      </c>
      <c r="F59" s="16">
        <v>88.044635327084606</v>
      </c>
      <c r="G59" s="112">
        <f t="shared" si="4"/>
        <v>1.8492751099985622E-2</v>
      </c>
    </row>
    <row r="60" spans="2:7" s="2" customFormat="1" x14ac:dyDescent="0.25">
      <c r="B60" s="180">
        <v>42</v>
      </c>
      <c r="C60" s="13"/>
      <c r="D60" s="17">
        <v>2.097036374128507</v>
      </c>
      <c r="E60" s="24">
        <f t="shared" si="2"/>
        <v>1.6303058810097428</v>
      </c>
      <c r="F60" s="16">
        <v>88.232944049671602</v>
      </c>
      <c r="G60" s="112">
        <f t="shared" si="4"/>
        <v>1.8477292110891667E-2</v>
      </c>
    </row>
    <row r="61" spans="2:7" s="2" customFormat="1" x14ac:dyDescent="0.25">
      <c r="B61" s="182">
        <v>43</v>
      </c>
      <c r="C61" s="13"/>
      <c r="D61" s="17">
        <v>2.0990077835443399</v>
      </c>
      <c r="E61" s="24">
        <f t="shared" si="2"/>
        <v>1.6321167940687553</v>
      </c>
      <c r="F61" s="16">
        <v>88.394077833430842</v>
      </c>
      <c r="G61" s="112">
        <f t="shared" si="4"/>
        <v>1.8464096623580419E-2</v>
      </c>
    </row>
    <row r="62" spans="2:7" s="2" customFormat="1" x14ac:dyDescent="0.25">
      <c r="B62" s="180">
        <v>44</v>
      </c>
      <c r="C62" s="13"/>
      <c r="D62" s="17">
        <v>2.1006483371579097</v>
      </c>
      <c r="E62" s="24">
        <f t="shared" si="2"/>
        <v>1.6336237869536245</v>
      </c>
      <c r="F62" s="16">
        <v>88.528277711061889</v>
      </c>
      <c r="G62" s="112">
        <f t="shared" si="4"/>
        <v>1.8453129657457438E-2</v>
      </c>
    </row>
    <row r="63" spans="2:7" s="2" customFormat="1" x14ac:dyDescent="0.25">
      <c r="B63" s="182">
        <v>45</v>
      </c>
      <c r="C63" s="13"/>
      <c r="D63" s="17">
        <v>2.1019617083684641</v>
      </c>
      <c r="E63" s="24">
        <f t="shared" si="2"/>
        <v>1.6348302340048675</v>
      </c>
      <c r="F63" s="16">
        <v>88.635784715264279</v>
      </c>
      <c r="G63" s="112">
        <f t="shared" si="4"/>
        <v>1.8444359005300573E-2</v>
      </c>
    </row>
    <row r="64" spans="2:7" s="2" customFormat="1" x14ac:dyDescent="0.25">
      <c r="B64" s="180">
        <v>46</v>
      </c>
      <c r="C64" s="13"/>
      <c r="D64" s="17">
        <v>2.1029514169706109</v>
      </c>
      <c r="E64" s="24">
        <f t="shared" si="2"/>
        <v>1.6357393684636206</v>
      </c>
      <c r="F64" s="16">
        <v>88.716839878737574</v>
      </c>
      <c r="G64" s="112">
        <f t="shared" si="4"/>
        <v>1.843775511728582E-2</v>
      </c>
    </row>
    <row r="65" spans="2:7" s="2" customFormat="1" x14ac:dyDescent="0.25">
      <c r="B65" s="182">
        <v>47</v>
      </c>
      <c r="C65" s="13"/>
      <c r="D65" s="17">
        <v>2.1036208347620757</v>
      </c>
      <c r="E65" s="24">
        <f t="shared" si="2"/>
        <v>1.6363542876228592</v>
      </c>
      <c r="F65" s="16">
        <v>88.771684234181336</v>
      </c>
      <c r="G65" s="112">
        <f t="shared" si="4"/>
        <v>1.8433290995202103E-2</v>
      </c>
    </row>
    <row r="66" spans="2:7" s="2" customFormat="1" x14ac:dyDescent="0.25">
      <c r="B66" s="180">
        <v>48</v>
      </c>
      <c r="C66" s="13"/>
      <c r="D66" s="17">
        <v>2.1039731907518453</v>
      </c>
      <c r="E66" s="24">
        <f t="shared" si="2"/>
        <v>1.6366779576115336</v>
      </c>
      <c r="F66" s="16">
        <v>88.80055881429513</v>
      </c>
      <c r="G66" s="112">
        <f t="shared" si="4"/>
        <v>1.8430942096144341E-2</v>
      </c>
    </row>
    <row r="67" spans="2:7" s="2" customFormat="1" x14ac:dyDescent="0.25">
      <c r="B67" s="182">
        <v>49</v>
      </c>
      <c r="C67" s="13"/>
      <c r="D67" s="17">
        <v>2.1040115759939266</v>
      </c>
      <c r="E67" s="24">
        <f t="shared" si="2"/>
        <v>1.6367132178348034</v>
      </c>
      <c r="F67" s="16">
        <v>88.803704651778489</v>
      </c>
      <c r="G67" s="112">
        <f t="shared" si="4"/>
        <v>1.8430686245047602E-2</v>
      </c>
    </row>
    <row r="68" spans="2:7" s="2" customFormat="1" x14ac:dyDescent="0.25">
      <c r="B68" s="180">
        <v>50</v>
      </c>
      <c r="C68" s="13"/>
      <c r="D68" s="17">
        <v>2.1037389480696294</v>
      </c>
      <c r="E68" s="24">
        <f t="shared" si="2"/>
        <v>1.6364627850914086</v>
      </c>
      <c r="F68" s="16">
        <v>88.781362779330948</v>
      </c>
      <c r="G68" s="112">
        <f t="shared" si="4"/>
        <v>1.8432503555491614E-2</v>
      </c>
    </row>
    <row r="69" spans="2:7" s="2" customFormat="1" x14ac:dyDescent="0.25">
      <c r="B69" s="182">
        <v>51</v>
      </c>
      <c r="C69" s="13"/>
      <c r="D69" s="17">
        <v>2.1031581352390387</v>
      </c>
      <c r="E69" s="24">
        <f t="shared" si="2"/>
        <v>1.6359292573871624</v>
      </c>
      <c r="F69" s="16">
        <v>88.733774229652099</v>
      </c>
      <c r="G69" s="112">
        <f t="shared" si="4"/>
        <v>1.843637635826478E-2</v>
      </c>
    </row>
    <row r="70" spans="2:7" s="2" customFormat="1" x14ac:dyDescent="0.25">
      <c r="B70" s="180">
        <v>52</v>
      </c>
      <c r="C70" s="13"/>
      <c r="D70" s="17">
        <v>2.1022718402804421</v>
      </c>
      <c r="E70" s="24">
        <f t="shared" si="2"/>
        <v>1.6351151174618028</v>
      </c>
      <c r="F70" s="16">
        <v>88.661180035441461</v>
      </c>
      <c r="G70" s="112">
        <f t="shared" si="4"/>
        <v>1.8442289137232115E-2</v>
      </c>
    </row>
    <row r="71" spans="2:7" s="2" customFormat="1" x14ac:dyDescent="0.25">
      <c r="B71" s="182">
        <v>53</v>
      </c>
      <c r="C71" s="13"/>
      <c r="D71" s="17">
        <v>2.1010826440346118</v>
      </c>
      <c r="E71" s="24">
        <f t="shared" si="2"/>
        <v>1.6340227360447277</v>
      </c>
      <c r="F71" s="16">
        <v>88.563821229398641</v>
      </c>
      <c r="G71" s="112">
        <f t="shared" si="4"/>
        <v>1.8450228472101156E-2</v>
      </c>
    </row>
    <row r="72" spans="2:7" s="2" customFormat="1" x14ac:dyDescent="0.25">
      <c r="B72" s="180">
        <v>54</v>
      </c>
      <c r="C72" s="13"/>
      <c r="D72" s="17">
        <v>2.0995930086691916</v>
      </c>
      <c r="E72" s="24">
        <f t="shared" si="2"/>
        <v>1.632654374853622</v>
      </c>
      <c r="F72" s="16">
        <v>88.441938844223145</v>
      </c>
      <c r="G72" s="112">
        <f t="shared" si="4"/>
        <v>1.8460182987725893E-2</v>
      </c>
    </row>
    <row r="73" spans="2:7" s="2" customFormat="1" x14ac:dyDescent="0.25">
      <c r="B73" s="182">
        <v>55</v>
      </c>
      <c r="C73" s="13"/>
      <c r="D73" s="17">
        <v>2.097805280676921</v>
      </c>
      <c r="E73" s="24">
        <f t="shared" si="2"/>
        <v>1.6310121893485894</v>
      </c>
      <c r="F73" s="16">
        <v>88.295773912614564</v>
      </c>
      <c r="G73" s="112">
        <f t="shared" si="4"/>
        <v>1.8472143309630942E-2</v>
      </c>
    </row>
    <row r="74" spans="2:7" s="2" customFormat="1" x14ac:dyDescent="0.25">
      <c r="B74" s="180">
        <v>56</v>
      </c>
      <c r="C74" s="13"/>
      <c r="D74" s="17">
        <v>2.0957216936199803</v>
      </c>
      <c r="E74" s="24">
        <f t="shared" si="2"/>
        <v>1.6290982312530764</v>
      </c>
      <c r="F74" s="16">
        <v>88.12556746727239</v>
      </c>
      <c r="G74" s="112">
        <f t="shared" si="4"/>
        <v>1.8486102025477253E-2</v>
      </c>
    </row>
    <row r="75" spans="2:7" s="2" customFormat="1" x14ac:dyDescent="0.25">
      <c r="B75" s="182">
        <v>57</v>
      </c>
      <c r="C75" s="13"/>
      <c r="D75" s="17">
        <v>2.0933443706314439</v>
      </c>
      <c r="E75" s="24">
        <f t="shared" si="2"/>
        <v>1.6269144508516766</v>
      </c>
      <c r="F75" s="16">
        <v>87.931560540896228</v>
      </c>
      <c r="G75" s="112">
        <f t="shared" si="4"/>
        <v>1.8502053652226635E-2</v>
      </c>
    </row>
    <row r="76" spans="2:7" s="2" customFormat="1" x14ac:dyDescent="0.25">
      <c r="B76" s="180">
        <v>58</v>
      </c>
      <c r="C76" s="13"/>
      <c r="D76" s="17">
        <v>2.0906753266835714</v>
      </c>
      <c r="E76" s="24">
        <f t="shared" si="2"/>
        <v>1.6244626990737543</v>
      </c>
      <c r="F76" s="16">
        <v>87.713994166185643</v>
      </c>
      <c r="G76" s="112">
        <f t="shared" si="4"/>
        <v>1.8519994608796369E-2</v>
      </c>
    </row>
    <row r="77" spans="2:7" s="2" customFormat="1" x14ac:dyDescent="0.25">
      <c r="B77" s="182">
        <v>59</v>
      </c>
      <c r="C77" s="13"/>
      <c r="D77" s="17">
        <v>2.0877164706315328</v>
      </c>
      <c r="E77" s="24">
        <f t="shared" si="2"/>
        <v>1.621744729370789</v>
      </c>
      <c r="F77" s="16">
        <v>87.473109375840153</v>
      </c>
      <c r="G77" s="112">
        <f t="shared" si="4"/>
        <v>1.8539923194026881E-2</v>
      </c>
    </row>
    <row r="78" spans="2:7" s="30" customFormat="1" x14ac:dyDescent="0.25">
      <c r="B78" s="180">
        <v>60</v>
      </c>
      <c r="C78" s="110"/>
      <c r="D78" s="35">
        <v>2.0844696070400519</v>
      </c>
      <c r="E78" s="24">
        <f t="shared" si="2"/>
        <v>1.6187621993943044</v>
      </c>
      <c r="F78" s="60">
        <v>87.209147202559322</v>
      </c>
      <c r="G78" s="113">
        <f t="shared" si="4"/>
        <v>1.8561839569815202E-2</v>
      </c>
    </row>
    <row r="79" spans="2:7" s="2" customFormat="1" x14ac:dyDescent="0.25"/>
    <row r="80" spans="2:7" s="2" customFormat="1" x14ac:dyDescent="0.25"/>
    <row r="81" s="2" customFormat="1" x14ac:dyDescent="0.25"/>
    <row r="82" s="2" customFormat="1" x14ac:dyDescent="0.25"/>
    <row r="83" s="2" customFormat="1" x14ac:dyDescent="0.25"/>
    <row r="84" s="2" customFormat="1" x14ac:dyDescent="0.25"/>
    <row r="85" s="2" customFormat="1" x14ac:dyDescent="0.25"/>
    <row r="86" s="2" customFormat="1" x14ac:dyDescent="0.25"/>
    <row r="87" s="2" customFormat="1" x14ac:dyDescent="0.25"/>
    <row r="88" s="2" customFormat="1" x14ac:dyDescent="0.25"/>
    <row r="89" s="2" customFormat="1" x14ac:dyDescent="0.25"/>
    <row r="90" s="2" customFormat="1" x14ac:dyDescent="0.25"/>
    <row r="91" s="2" customFormat="1" x14ac:dyDescent="0.25"/>
    <row r="92" s="2" customFormat="1" x14ac:dyDescent="0.25"/>
    <row r="93" s="2" customFormat="1" x14ac:dyDescent="0.25"/>
    <row r="94" s="2" customFormat="1" x14ac:dyDescent="0.25"/>
    <row r="95" s="2" customFormat="1" x14ac:dyDescent="0.25"/>
    <row r="96" s="2" customFormat="1" x14ac:dyDescent="0.25"/>
    <row r="97" s="2" customFormat="1" x14ac:dyDescent="0.25"/>
    <row r="98" s="2" customFormat="1" x14ac:dyDescent="0.25"/>
    <row r="99" s="2" customFormat="1" x14ac:dyDescent="0.25"/>
    <row r="100" s="2" customFormat="1" x14ac:dyDescent="0.25"/>
    <row r="101" s="2" customFormat="1" x14ac:dyDescent="0.25"/>
    <row r="102" s="2" customFormat="1" x14ac:dyDescent="0.25"/>
    <row r="103" s="2" customFormat="1" x14ac:dyDescent="0.25"/>
    <row r="104" s="2" customFormat="1" x14ac:dyDescent="0.25"/>
    <row r="105" s="2" customFormat="1" x14ac:dyDescent="0.25"/>
    <row r="106" s="2" customFormat="1" x14ac:dyDescent="0.25"/>
    <row r="107" s="2" customFormat="1" x14ac:dyDescent="0.25"/>
    <row r="108" s="2" customFormat="1" x14ac:dyDescent="0.25"/>
    <row r="109" s="2" customFormat="1" x14ac:dyDescent="0.25"/>
    <row r="110" s="2" customFormat="1" x14ac:dyDescent="0.25"/>
    <row r="111" s="2" customFormat="1" x14ac:dyDescent="0.25"/>
    <row r="112" s="2" customFormat="1" x14ac:dyDescent="0.25"/>
    <row r="113" s="2" customFormat="1" x14ac:dyDescent="0.25"/>
    <row r="114" s="2" customFormat="1" x14ac:dyDescent="0.25"/>
    <row r="115" s="2" customFormat="1" x14ac:dyDescent="0.25"/>
    <row r="116" s="2" customFormat="1" x14ac:dyDescent="0.25"/>
    <row r="117" s="2" customFormat="1" x14ac:dyDescent="0.25"/>
    <row r="118" s="2" customFormat="1" x14ac:dyDescent="0.25"/>
    <row r="119" s="2" customFormat="1" x14ac:dyDescent="0.25"/>
    <row r="120" s="2" customFormat="1" x14ac:dyDescent="0.25"/>
    <row r="121" s="2" customFormat="1" x14ac:dyDescent="0.25"/>
    <row r="122" s="2" customFormat="1" x14ac:dyDescent="0.25"/>
    <row r="123" s="2" customFormat="1" x14ac:dyDescent="0.25"/>
    <row r="124" s="2" customFormat="1" x14ac:dyDescent="0.25"/>
    <row r="125" s="2" customFormat="1" x14ac:dyDescent="0.25"/>
    <row r="126" s="2" customFormat="1" x14ac:dyDescent="0.25"/>
    <row r="127" s="2" customFormat="1" x14ac:dyDescent="0.25"/>
    <row r="128" s="2" customFormat="1" x14ac:dyDescent="0.25"/>
    <row r="129" s="2" customFormat="1" x14ac:dyDescent="0.25"/>
    <row r="130" s="2" customFormat="1" x14ac:dyDescent="0.25"/>
    <row r="131" s="2" customFormat="1" x14ac:dyDescent="0.25"/>
    <row r="132" s="2" customFormat="1" x14ac:dyDescent="0.25"/>
    <row r="133" s="2" customFormat="1" x14ac:dyDescent="0.25"/>
    <row r="134" s="2" customFormat="1" x14ac:dyDescent="0.25"/>
    <row r="135" s="2" customFormat="1" x14ac:dyDescent="0.25"/>
    <row r="136" s="2" customFormat="1" x14ac:dyDescent="0.25"/>
    <row r="137" s="2" customFormat="1" x14ac:dyDescent="0.25"/>
    <row r="138" s="2" customFormat="1" x14ac:dyDescent="0.25"/>
    <row r="139" s="2" customFormat="1" x14ac:dyDescent="0.25"/>
    <row r="140" s="2" customFormat="1" x14ac:dyDescent="0.25"/>
    <row r="141" s="2" customFormat="1" x14ac:dyDescent="0.25"/>
    <row r="142" s="2" customFormat="1" x14ac:dyDescent="0.25"/>
    <row r="143" s="2" customFormat="1" x14ac:dyDescent="0.25"/>
    <row r="144" s="2" customFormat="1" x14ac:dyDescent="0.25"/>
    <row r="145" s="2" customFormat="1" x14ac:dyDescent="0.25"/>
    <row r="146" s="2" customFormat="1" x14ac:dyDescent="0.25"/>
    <row r="147" s="2" customFormat="1" x14ac:dyDescent="0.25"/>
    <row r="148" s="2" customFormat="1" x14ac:dyDescent="0.25"/>
    <row r="149" s="2" customFormat="1" x14ac:dyDescent="0.25"/>
    <row r="150" s="2" customFormat="1" x14ac:dyDescent="0.25"/>
    <row r="151" s="2" customFormat="1" x14ac:dyDescent="0.25"/>
    <row r="152" s="2" customFormat="1" x14ac:dyDescent="0.25"/>
    <row r="153" s="2" customFormat="1" x14ac:dyDescent="0.25"/>
    <row r="154" s="2" customFormat="1" x14ac:dyDescent="0.25"/>
    <row r="155" s="2" customFormat="1" x14ac:dyDescent="0.25"/>
    <row r="156" s="2" customFormat="1" x14ac:dyDescent="0.25"/>
    <row r="157" s="2" customFormat="1" x14ac:dyDescent="0.25"/>
    <row r="158" s="2" customFormat="1" x14ac:dyDescent="0.25"/>
    <row r="159" s="2" customFormat="1" x14ac:dyDescent="0.25"/>
    <row r="160" s="2" customFormat="1" x14ac:dyDescent="0.25"/>
    <row r="161" s="2" customFormat="1" x14ac:dyDescent="0.25"/>
    <row r="162" s="2" customFormat="1" x14ac:dyDescent="0.25"/>
    <row r="163" s="2" customFormat="1" x14ac:dyDescent="0.25"/>
    <row r="164" s="2" customFormat="1" x14ac:dyDescent="0.25"/>
    <row r="165" s="2" customFormat="1" x14ac:dyDescent="0.25"/>
    <row r="166" s="2" customFormat="1" x14ac:dyDescent="0.25"/>
    <row r="167" s="2" customFormat="1" x14ac:dyDescent="0.25"/>
    <row r="168" s="2" customFormat="1" x14ac:dyDescent="0.25"/>
    <row r="169" s="2" customFormat="1" x14ac:dyDescent="0.25"/>
    <row r="170" s="2" customFormat="1" x14ac:dyDescent="0.25"/>
    <row r="171" s="2" customFormat="1" x14ac:dyDescent="0.25"/>
    <row r="172" s="2" customFormat="1" x14ac:dyDescent="0.25"/>
    <row r="173" s="2" customFormat="1" x14ac:dyDescent="0.25"/>
    <row r="174" s="2" customFormat="1" x14ac:dyDescent="0.25"/>
    <row r="175" s="2" customFormat="1" x14ac:dyDescent="0.25"/>
    <row r="176" s="2" customFormat="1" x14ac:dyDescent="0.25"/>
    <row r="177" s="2" customFormat="1" x14ac:dyDescent="0.25"/>
    <row r="178" s="2" customFormat="1" x14ac:dyDescent="0.25"/>
    <row r="179" s="2" customFormat="1" x14ac:dyDescent="0.25"/>
    <row r="180" s="2" customFormat="1" x14ac:dyDescent="0.25"/>
    <row r="181" s="2" customFormat="1" x14ac:dyDescent="0.25"/>
    <row r="182" s="2" customFormat="1" x14ac:dyDescent="0.25"/>
    <row r="183" s="2" customFormat="1" x14ac:dyDescent="0.25"/>
    <row r="184" s="2" customFormat="1" x14ac:dyDescent="0.25"/>
    <row r="185" s="2" customFormat="1" x14ac:dyDescent="0.25"/>
    <row r="186" s="2" customFormat="1" x14ac:dyDescent="0.25"/>
    <row r="187" s="2" customFormat="1" x14ac:dyDescent="0.25"/>
    <row r="188" s="2" customFormat="1" x14ac:dyDescent="0.25"/>
    <row r="189" s="2" customFormat="1" x14ac:dyDescent="0.25"/>
    <row r="190" s="2" customFormat="1" x14ac:dyDescent="0.25"/>
    <row r="191" s="2" customFormat="1" x14ac:dyDescent="0.25"/>
    <row r="192" s="2" customFormat="1" x14ac:dyDescent="0.25"/>
    <row r="193" s="2" customFormat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  <row r="205" s="2" customFormat="1" x14ac:dyDescent="0.25"/>
    <row r="206" s="2" customFormat="1" x14ac:dyDescent="0.25"/>
    <row r="207" s="2" customFormat="1" x14ac:dyDescent="0.25"/>
    <row r="208" s="2" customFormat="1" x14ac:dyDescent="0.25"/>
    <row r="209" s="2" customFormat="1" x14ac:dyDescent="0.25"/>
    <row r="210" s="2" customFormat="1" x14ac:dyDescent="0.25"/>
    <row r="211" s="2" customFormat="1" x14ac:dyDescent="0.25"/>
    <row r="212" s="2" customFormat="1" x14ac:dyDescent="0.25"/>
    <row r="213" s="2" customFormat="1" x14ac:dyDescent="0.25"/>
    <row r="214" s="2" customFormat="1" x14ac:dyDescent="0.25"/>
    <row r="215" s="2" customFormat="1" x14ac:dyDescent="0.25"/>
    <row r="216" s="2" customFormat="1" x14ac:dyDescent="0.25"/>
    <row r="217" s="2" customFormat="1" x14ac:dyDescent="0.25"/>
    <row r="218" s="2" customFormat="1" x14ac:dyDescent="0.25"/>
    <row r="219" s="2" customFormat="1" x14ac:dyDescent="0.25"/>
    <row r="220" s="2" customFormat="1" x14ac:dyDescent="0.25"/>
    <row r="221" s="2" customFormat="1" x14ac:dyDescent="0.25"/>
    <row r="222" s="2" customFormat="1" x14ac:dyDescent="0.25"/>
    <row r="223" s="2" customFormat="1" x14ac:dyDescent="0.25"/>
    <row r="224" s="2" customFormat="1" x14ac:dyDescent="0.25"/>
    <row r="225" s="2" customFormat="1" x14ac:dyDescent="0.25"/>
    <row r="226" s="2" customFormat="1" x14ac:dyDescent="0.25"/>
    <row r="227" s="2" customFormat="1" x14ac:dyDescent="0.25"/>
    <row r="228" s="2" customFormat="1" x14ac:dyDescent="0.25"/>
    <row r="229" s="2" customFormat="1" x14ac:dyDescent="0.25"/>
    <row r="230" s="2" customFormat="1" x14ac:dyDescent="0.25"/>
    <row r="231" s="2" customFormat="1" x14ac:dyDescent="0.25"/>
    <row r="232" s="2" customFormat="1" x14ac:dyDescent="0.25"/>
    <row r="233" s="2" customFormat="1" x14ac:dyDescent="0.25"/>
    <row r="234" s="2" customFormat="1" x14ac:dyDescent="0.25"/>
    <row r="235" s="2" customFormat="1" x14ac:dyDescent="0.25"/>
    <row r="236" s="2" customFormat="1" x14ac:dyDescent="0.25"/>
    <row r="237" s="2" customFormat="1" x14ac:dyDescent="0.25"/>
    <row r="238" s="2" customFormat="1" x14ac:dyDescent="0.25"/>
    <row r="239" s="2" customFormat="1" x14ac:dyDescent="0.25"/>
    <row r="240" s="2" customFormat="1" x14ac:dyDescent="0.25"/>
    <row r="241" s="2" customFormat="1" x14ac:dyDescent="0.25"/>
    <row r="242" s="2" customFormat="1" x14ac:dyDescent="0.25"/>
    <row r="243" s="2" customFormat="1" x14ac:dyDescent="0.25"/>
    <row r="244" s="2" customFormat="1" x14ac:dyDescent="0.25"/>
    <row r="245" s="2" customFormat="1" x14ac:dyDescent="0.25"/>
    <row r="246" s="2" customFormat="1" x14ac:dyDescent="0.25"/>
    <row r="247" s="2" customFormat="1" x14ac:dyDescent="0.25"/>
    <row r="248" s="2" customFormat="1" x14ac:dyDescent="0.25"/>
    <row r="249" s="2" customFormat="1" x14ac:dyDescent="0.25"/>
    <row r="250" s="2" customFormat="1" x14ac:dyDescent="0.25"/>
    <row r="251" s="2" customFormat="1" x14ac:dyDescent="0.25"/>
    <row r="252" s="2" customFormat="1" x14ac:dyDescent="0.25"/>
    <row r="253" s="2" customFormat="1" x14ac:dyDescent="0.25"/>
    <row r="254" s="2" customFormat="1" x14ac:dyDescent="0.25"/>
    <row r="255" s="2" customFormat="1" x14ac:dyDescent="0.25"/>
    <row r="256" s="2" customFormat="1" x14ac:dyDescent="0.25"/>
    <row r="257" s="2" customFormat="1" x14ac:dyDescent="0.25"/>
    <row r="258" s="2" customFormat="1" x14ac:dyDescent="0.25"/>
    <row r="259" s="2" customFormat="1" x14ac:dyDescent="0.25"/>
    <row r="260" s="2" customFormat="1" x14ac:dyDescent="0.25"/>
    <row r="261" s="2" customFormat="1" x14ac:dyDescent="0.25"/>
    <row r="262" s="2" customFormat="1" x14ac:dyDescent="0.25"/>
    <row r="263" s="2" customFormat="1" x14ac:dyDescent="0.25"/>
    <row r="264" s="2" customFormat="1" x14ac:dyDescent="0.25"/>
    <row r="265" s="2" customFormat="1" x14ac:dyDescent="0.25"/>
    <row r="266" s="2" customFormat="1" x14ac:dyDescent="0.25"/>
    <row r="267" s="2" customFormat="1" x14ac:dyDescent="0.25"/>
    <row r="268" s="2" customFormat="1" x14ac:dyDescent="0.25"/>
    <row r="269" s="2" customFormat="1" x14ac:dyDescent="0.25"/>
    <row r="270" s="2" customFormat="1" x14ac:dyDescent="0.25"/>
    <row r="271" s="2" customFormat="1" x14ac:dyDescent="0.25"/>
    <row r="272" s="2" customFormat="1" x14ac:dyDescent="0.25"/>
    <row r="273" s="2" customFormat="1" x14ac:dyDescent="0.25"/>
    <row r="274" s="2" customFormat="1" x14ac:dyDescent="0.25"/>
    <row r="275" s="2" customFormat="1" x14ac:dyDescent="0.25"/>
    <row r="276" s="2" customFormat="1" x14ac:dyDescent="0.25"/>
    <row r="277" s="2" customFormat="1" x14ac:dyDescent="0.25"/>
    <row r="278" s="2" customFormat="1" x14ac:dyDescent="0.25"/>
    <row r="279" s="2" customFormat="1" x14ac:dyDescent="0.25"/>
    <row r="280" s="2" customFormat="1" x14ac:dyDescent="0.25"/>
    <row r="281" s="2" customFormat="1" x14ac:dyDescent="0.25"/>
    <row r="282" s="2" customFormat="1" x14ac:dyDescent="0.25"/>
    <row r="283" s="2" customFormat="1" x14ac:dyDescent="0.25"/>
    <row r="284" s="2" customFormat="1" x14ac:dyDescent="0.25"/>
    <row r="285" s="2" customFormat="1" x14ac:dyDescent="0.25"/>
    <row r="286" s="2" customFormat="1" x14ac:dyDescent="0.25"/>
    <row r="287" s="2" customFormat="1" x14ac:dyDescent="0.25"/>
    <row r="288" s="2" customFormat="1" x14ac:dyDescent="0.25"/>
    <row r="289" s="2" customFormat="1" x14ac:dyDescent="0.25"/>
    <row r="290" s="2" customFormat="1" x14ac:dyDescent="0.25"/>
    <row r="291" s="2" customFormat="1" x14ac:dyDescent="0.25"/>
    <row r="292" s="2" customFormat="1" x14ac:dyDescent="0.25"/>
    <row r="293" s="2" customFormat="1" x14ac:dyDescent="0.25"/>
    <row r="294" s="2" customFormat="1" x14ac:dyDescent="0.25"/>
    <row r="295" s="2" customFormat="1" x14ac:dyDescent="0.25"/>
    <row r="296" s="2" customFormat="1" x14ac:dyDescent="0.25"/>
    <row r="297" s="2" customFormat="1" x14ac:dyDescent="0.25"/>
    <row r="298" s="2" customFormat="1" x14ac:dyDescent="0.25"/>
    <row r="299" s="2" customFormat="1" x14ac:dyDescent="0.25"/>
    <row r="300" s="2" customFormat="1" x14ac:dyDescent="0.25"/>
    <row r="301" s="2" customFormat="1" x14ac:dyDescent="0.25"/>
    <row r="302" s="2" customFormat="1" x14ac:dyDescent="0.25"/>
    <row r="303" s="2" customFormat="1" x14ac:dyDescent="0.25"/>
    <row r="304" s="2" customFormat="1" x14ac:dyDescent="0.25"/>
    <row r="305" s="2" customFormat="1" x14ac:dyDescent="0.25"/>
    <row r="306" s="2" customFormat="1" x14ac:dyDescent="0.25"/>
    <row r="307" s="2" customFormat="1" x14ac:dyDescent="0.25"/>
    <row r="308" s="2" customFormat="1" x14ac:dyDescent="0.25"/>
    <row r="309" s="2" customFormat="1" x14ac:dyDescent="0.25"/>
    <row r="310" s="2" customFormat="1" x14ac:dyDescent="0.25"/>
    <row r="311" s="2" customFormat="1" x14ac:dyDescent="0.25"/>
    <row r="312" s="2" customFormat="1" x14ac:dyDescent="0.25"/>
    <row r="313" s="2" customFormat="1" x14ac:dyDescent="0.25"/>
    <row r="314" s="2" customFormat="1" x14ac:dyDescent="0.25"/>
    <row r="315" s="2" customFormat="1" x14ac:dyDescent="0.25"/>
    <row r="316" s="2" customFormat="1" x14ac:dyDescent="0.25"/>
    <row r="317" s="2" customFormat="1" x14ac:dyDescent="0.25"/>
    <row r="318" s="2" customFormat="1" x14ac:dyDescent="0.25"/>
    <row r="319" s="2" customFormat="1" x14ac:dyDescent="0.25"/>
    <row r="320" s="2" customFormat="1" x14ac:dyDescent="0.25"/>
    <row r="321" s="2" customFormat="1" x14ac:dyDescent="0.25"/>
    <row r="322" s="2" customFormat="1" x14ac:dyDescent="0.25"/>
    <row r="323" s="2" customFormat="1" x14ac:dyDescent="0.25"/>
    <row r="324" s="2" customFormat="1" x14ac:dyDescent="0.25"/>
    <row r="325" s="2" customFormat="1" x14ac:dyDescent="0.25"/>
    <row r="326" s="2" customFormat="1" x14ac:dyDescent="0.25"/>
    <row r="327" s="2" customFormat="1" x14ac:dyDescent="0.25"/>
    <row r="328" s="2" customFormat="1" x14ac:dyDescent="0.25"/>
    <row r="329" s="2" customFormat="1" x14ac:dyDescent="0.25"/>
    <row r="330" s="2" customFormat="1" x14ac:dyDescent="0.25"/>
    <row r="331" s="2" customFormat="1" x14ac:dyDescent="0.25"/>
    <row r="332" s="2" customFormat="1" x14ac:dyDescent="0.25"/>
    <row r="333" s="2" customFormat="1" x14ac:dyDescent="0.25"/>
    <row r="334" s="2" customFormat="1" x14ac:dyDescent="0.25"/>
    <row r="335" s="2" customFormat="1" x14ac:dyDescent="0.25"/>
    <row r="336" s="2" customFormat="1" x14ac:dyDescent="0.25"/>
    <row r="337" s="2" customFormat="1" x14ac:dyDescent="0.25"/>
    <row r="338" s="2" customFormat="1" x14ac:dyDescent="0.25"/>
    <row r="339" s="2" customFormat="1" x14ac:dyDescent="0.25"/>
    <row r="340" s="2" customFormat="1" x14ac:dyDescent="0.25"/>
    <row r="341" s="2" customFormat="1" x14ac:dyDescent="0.25"/>
    <row r="342" s="2" customFormat="1" x14ac:dyDescent="0.25"/>
    <row r="343" s="2" customFormat="1" x14ac:dyDescent="0.25"/>
    <row r="344" s="2" customFormat="1" x14ac:dyDescent="0.25"/>
    <row r="345" s="2" customFormat="1" x14ac:dyDescent="0.25"/>
    <row r="346" s="2" customFormat="1" x14ac:dyDescent="0.25"/>
    <row r="347" s="2" customFormat="1" x14ac:dyDescent="0.25"/>
    <row r="348" s="2" customFormat="1" x14ac:dyDescent="0.25"/>
    <row r="349" s="2" customFormat="1" x14ac:dyDescent="0.25"/>
    <row r="350" s="2" customFormat="1" x14ac:dyDescent="0.25"/>
    <row r="351" s="2" customFormat="1" x14ac:dyDescent="0.25"/>
    <row r="352" s="2" customFormat="1" x14ac:dyDescent="0.25"/>
  </sheetData>
  <mergeCells count="1">
    <mergeCell ref="B3:E3"/>
  </mergeCell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B1:V289"/>
  <sheetViews>
    <sheetView zoomScale="70" zoomScaleNormal="70" workbookViewId="0">
      <selection activeCell="E8" sqref="E8:G8"/>
    </sheetView>
  </sheetViews>
  <sheetFormatPr defaultColWidth="9.140625" defaultRowHeight="15.75" x14ac:dyDescent="0.25"/>
  <cols>
    <col min="1" max="1" width="9.140625" style="3"/>
    <col min="2" max="2" width="15.5703125" style="3" customWidth="1"/>
    <col min="3" max="3" width="17.85546875" style="3" customWidth="1"/>
    <col min="4" max="4" width="20.28515625" style="3" customWidth="1"/>
    <col min="5" max="5" width="10.7109375" style="3" customWidth="1"/>
    <col min="6" max="6" width="22.5703125" style="2" customWidth="1"/>
    <col min="7" max="7" width="20.5703125" style="3" customWidth="1"/>
    <col min="8" max="16384" width="9.140625" style="3"/>
  </cols>
  <sheetData>
    <row r="1" spans="2:22" ht="36" customHeight="1" x14ac:dyDescent="0.25">
      <c r="B1" s="273" t="s">
        <v>141</v>
      </c>
      <c r="C1" s="273"/>
      <c r="D1" s="273"/>
      <c r="E1" s="273"/>
    </row>
    <row r="2" spans="2:22" ht="59.25" customHeight="1" x14ac:dyDescent="0.25">
      <c r="B2" s="61" t="s">
        <v>115</v>
      </c>
      <c r="C2" s="61" t="s">
        <v>116</v>
      </c>
      <c r="D2" s="61" t="s">
        <v>117</v>
      </c>
      <c r="E2" s="61"/>
    </row>
    <row r="3" spans="2:22" ht="33" customHeight="1" x14ac:dyDescent="0.25">
      <c r="B3" s="61" t="s">
        <v>118</v>
      </c>
      <c r="C3" s="61"/>
      <c r="D3" s="61" t="s">
        <v>119</v>
      </c>
      <c r="E3" s="61"/>
    </row>
    <row r="4" spans="2:22" ht="78.75" x14ac:dyDescent="0.25">
      <c r="B4" s="61" t="s">
        <v>133</v>
      </c>
      <c r="C4" s="61" t="s">
        <v>134</v>
      </c>
      <c r="D4" s="61" t="s">
        <v>132</v>
      </c>
      <c r="E4" s="61"/>
    </row>
    <row r="7" spans="2:22" ht="39" customHeight="1" x14ac:dyDescent="0.25">
      <c r="B7" s="317" t="s">
        <v>15</v>
      </c>
      <c r="C7" s="312" t="s">
        <v>23</v>
      </c>
      <c r="D7" s="312" t="s">
        <v>70</v>
      </c>
      <c r="E7" s="312" t="s">
        <v>131</v>
      </c>
      <c r="F7" s="314" t="s">
        <v>120</v>
      </c>
      <c r="G7" s="327" t="s">
        <v>121</v>
      </c>
      <c r="T7" s="274" t="s">
        <v>204</v>
      </c>
      <c r="U7" s="275"/>
      <c r="V7" s="276"/>
    </row>
    <row r="8" spans="2:22" x14ac:dyDescent="0.25">
      <c r="B8" s="234">
        <v>0.01</v>
      </c>
      <c r="C8" s="31">
        <v>4.8377925320663246</v>
      </c>
      <c r="D8" s="31">
        <v>1.8076665904496609</v>
      </c>
      <c r="E8" s="48">
        <f>C8-D8</f>
        <v>3.0301259416166637</v>
      </c>
      <c r="F8" s="49">
        <f>0.021 * E8</f>
        <v>6.3632644773949948E-2</v>
      </c>
      <c r="G8" s="50">
        <f>F8/C8</f>
        <v>1.3153239696033655E-2</v>
      </c>
      <c r="T8" s="229"/>
      <c r="U8" s="230"/>
      <c r="V8" s="231"/>
    </row>
    <row r="9" spans="2:22" s="29" customFormat="1" ht="30" x14ac:dyDescent="0.25">
      <c r="B9" s="181">
        <v>0.5</v>
      </c>
      <c r="C9" s="107">
        <v>7.0759454883143711</v>
      </c>
      <c r="D9" s="107">
        <v>2.6867900809372367</v>
      </c>
      <c r="E9" s="107">
        <f>C9-D9</f>
        <v>4.3891554073771344</v>
      </c>
      <c r="F9" s="114">
        <f>0.021 * E9</f>
        <v>9.2172263554919823E-2</v>
      </c>
      <c r="G9" s="115">
        <f>F9/C9</f>
        <v>1.3026140988103776E-2</v>
      </c>
      <c r="T9" s="183" t="s">
        <v>15</v>
      </c>
      <c r="U9" s="186" t="s">
        <v>205</v>
      </c>
      <c r="V9" s="183" t="s">
        <v>203</v>
      </c>
    </row>
    <row r="10" spans="2:22" s="29" customFormat="1" x14ac:dyDescent="0.25">
      <c r="B10" s="181">
        <v>1</v>
      </c>
      <c r="C10" s="107">
        <v>9.0775771843511723</v>
      </c>
      <c r="D10" s="107">
        <v>3.5824867043128239</v>
      </c>
      <c r="E10" s="107">
        <f t="shared" ref="E10:E72" si="0">C10-D10</f>
        <v>5.495090480038348</v>
      </c>
      <c r="F10" s="114">
        <f t="shared" ref="F10:F72" si="1">0.021 * E10</f>
        <v>0.11539690008080532</v>
      </c>
      <c r="G10" s="115">
        <f t="shared" ref="G10:G72" si="2">F10/C10</f>
        <v>1.2712301722946287E-2</v>
      </c>
      <c r="T10" s="183" t="s">
        <v>201</v>
      </c>
      <c r="U10" s="183">
        <v>4.3999999999999997E-2</v>
      </c>
      <c r="V10" s="184"/>
    </row>
    <row r="11" spans="2:22" s="29" customFormat="1" x14ac:dyDescent="0.25">
      <c r="B11" s="185">
        <v>1.5</v>
      </c>
      <c r="C11" s="48">
        <v>10.85867141433374</v>
      </c>
      <c r="D11" s="48">
        <v>4.4283266435761623</v>
      </c>
      <c r="E11" s="48">
        <f t="shared" si="0"/>
        <v>6.4303447707575776</v>
      </c>
      <c r="F11" s="49">
        <f t="shared" si="1"/>
        <v>0.13503724018590912</v>
      </c>
      <c r="G11" s="50">
        <f t="shared" si="2"/>
        <v>1.2435889717378898E-2</v>
      </c>
      <c r="T11" s="183"/>
      <c r="U11" s="183"/>
      <c r="V11" s="184"/>
    </row>
    <row r="12" spans="2:22" x14ac:dyDescent="0.25">
      <c r="B12" s="185">
        <v>2</v>
      </c>
      <c r="C12" s="48">
        <v>12.469385771384614</v>
      </c>
      <c r="D12" s="48">
        <v>5.2095209179747268</v>
      </c>
      <c r="E12" s="48">
        <f t="shared" si="0"/>
        <v>7.2598648534098871</v>
      </c>
      <c r="F12" s="49">
        <f t="shared" si="1"/>
        <v>0.15245716192160763</v>
      </c>
      <c r="G12" s="50">
        <f t="shared" si="2"/>
        <v>1.2226517385601635E-2</v>
      </c>
      <c r="T12" s="183">
        <v>1</v>
      </c>
      <c r="U12" s="183">
        <v>0.125</v>
      </c>
      <c r="V12" s="184">
        <v>0.12989392147178283</v>
      </c>
    </row>
    <row r="13" spans="2:22" x14ac:dyDescent="0.25">
      <c r="B13" s="185">
        <v>3</v>
      </c>
      <c r="C13" s="48">
        <v>15.33180604994063</v>
      </c>
      <c r="D13" s="48">
        <v>6.5873936003014713</v>
      </c>
      <c r="E13" s="48">
        <f t="shared" si="0"/>
        <v>8.7444124496391584</v>
      </c>
      <c r="F13" s="49">
        <f t="shared" si="1"/>
        <v>0.18363266144242235</v>
      </c>
      <c r="G13" s="50">
        <f t="shared" si="2"/>
        <v>1.1977236135408421E-2</v>
      </c>
      <c r="T13" s="183">
        <v>5</v>
      </c>
      <c r="U13" s="183">
        <v>0.31900000000000001</v>
      </c>
      <c r="V13" s="184">
        <v>0.31043542611345959</v>
      </c>
    </row>
    <row r="14" spans="2:22" x14ac:dyDescent="0.25">
      <c r="B14" s="185">
        <v>4</v>
      </c>
      <c r="C14" s="48">
        <v>17.908606982755128</v>
      </c>
      <c r="D14" s="48">
        <v>6.5519332374067245</v>
      </c>
      <c r="E14" s="48">
        <f t="shared" si="0"/>
        <v>11.356673745348402</v>
      </c>
      <c r="F14" s="49">
        <f t="shared" si="1"/>
        <v>0.23849014865231646</v>
      </c>
      <c r="G14" s="50">
        <f t="shared" si="2"/>
        <v>1.3317068652071466E-2</v>
      </c>
      <c r="T14" s="183">
        <v>10</v>
      </c>
      <c r="U14" s="183">
        <v>0.54</v>
      </c>
      <c r="V14" s="184">
        <v>0.60405921739703439</v>
      </c>
    </row>
    <row r="15" spans="2:22" x14ac:dyDescent="0.25">
      <c r="B15" s="185">
        <v>4.5</v>
      </c>
      <c r="C15" s="48">
        <v>19.148095016301134</v>
      </c>
      <c r="D15" s="48">
        <v>6.5188030025341366</v>
      </c>
      <c r="E15" s="48">
        <f t="shared" si="0"/>
        <v>12.629292013766998</v>
      </c>
      <c r="F15" s="49">
        <f t="shared" si="1"/>
        <v>0.26521513228910698</v>
      </c>
      <c r="G15" s="50">
        <f t="shared" si="2"/>
        <v>1.3850731995184083E-2</v>
      </c>
      <c r="T15" s="183"/>
      <c r="U15" s="183"/>
      <c r="V15" s="184"/>
    </row>
    <row r="16" spans="2:22" s="29" customFormat="1" x14ac:dyDescent="0.25">
      <c r="B16" s="181">
        <v>5</v>
      </c>
      <c r="C16" s="107">
        <v>20.38127759653889</v>
      </c>
      <c r="D16" s="107">
        <v>6.4969002958229121</v>
      </c>
      <c r="E16" s="107">
        <f t="shared" si="0"/>
        <v>13.884377300715979</v>
      </c>
      <c r="F16" s="114">
        <f t="shared" si="1"/>
        <v>0.29157192331503556</v>
      </c>
      <c r="G16" s="115">
        <f t="shared" si="2"/>
        <v>1.430587076467423E-2</v>
      </c>
      <c r="T16" s="183">
        <v>15</v>
      </c>
      <c r="U16" s="183">
        <v>0.76200000000000001</v>
      </c>
      <c r="V16" s="184">
        <v>1.0197904215061933</v>
      </c>
    </row>
    <row r="17" spans="2:22" x14ac:dyDescent="0.25">
      <c r="B17" s="185">
        <v>6</v>
      </c>
      <c r="C17" s="48">
        <v>22.899044891228044</v>
      </c>
      <c r="D17" s="48">
        <v>6.5249972354425863</v>
      </c>
      <c r="E17" s="48">
        <f t="shared" si="0"/>
        <v>16.374047655785457</v>
      </c>
      <c r="F17" s="49">
        <f t="shared" si="1"/>
        <v>0.34385500077149461</v>
      </c>
      <c r="G17" s="50">
        <f t="shared" si="2"/>
        <v>1.5016128506880016E-2</v>
      </c>
      <c r="T17" s="183" t="s">
        <v>202</v>
      </c>
      <c r="U17" s="183">
        <v>0.95</v>
      </c>
      <c r="V17" s="184">
        <v>1.2879173039802132</v>
      </c>
    </row>
    <row r="18" spans="2:22" x14ac:dyDescent="0.25">
      <c r="B18" s="185">
        <v>7</v>
      </c>
      <c r="C18" s="48">
        <v>25.592430754887268</v>
      </c>
      <c r="D18" s="48">
        <v>6.6911391322573452</v>
      </c>
      <c r="E18" s="48">
        <f t="shared" si="0"/>
        <v>18.901291622629923</v>
      </c>
      <c r="F18" s="49">
        <f t="shared" si="1"/>
        <v>0.3969271240752284</v>
      </c>
      <c r="G18" s="50">
        <f t="shared" si="2"/>
        <v>1.5509551549706901E-2</v>
      </c>
    </row>
    <row r="19" spans="2:22" x14ac:dyDescent="0.25">
      <c r="B19" s="185">
        <v>8</v>
      </c>
      <c r="C19" s="48">
        <v>28.575820928596343</v>
      </c>
      <c r="D19" s="48">
        <v>7.0304274042577655</v>
      </c>
      <c r="E19" s="48">
        <f t="shared" si="0"/>
        <v>21.545393524338579</v>
      </c>
      <c r="F19" s="49">
        <f t="shared" si="1"/>
        <v>0.45245326401111019</v>
      </c>
      <c r="G19" s="50">
        <f t="shared" si="2"/>
        <v>1.5833430127577961E-2</v>
      </c>
    </row>
    <row r="20" spans="2:22" x14ac:dyDescent="0.25">
      <c r="B20" s="185">
        <v>9</v>
      </c>
      <c r="C20" s="48">
        <v>31.940959644573518</v>
      </c>
      <c r="D20" s="48">
        <v>7.5675436528104765</v>
      </c>
      <c r="E20" s="48">
        <f t="shared" si="0"/>
        <v>24.373415991763039</v>
      </c>
      <c r="F20" s="49">
        <f t="shared" si="1"/>
        <v>0.51184173582702386</v>
      </c>
      <c r="G20" s="50">
        <f t="shared" si="2"/>
        <v>1.6024619846197425E-2</v>
      </c>
    </row>
    <row r="21" spans="2:22" s="29" customFormat="1" x14ac:dyDescent="0.25">
      <c r="B21" s="181">
        <v>10</v>
      </c>
      <c r="C21" s="107">
        <v>35.742930987515741</v>
      </c>
      <c r="D21" s="107">
        <v>8.3155403358110203</v>
      </c>
      <c r="E21" s="107">
        <f t="shared" si="0"/>
        <v>27.427390651704719</v>
      </c>
      <c r="F21" s="114">
        <f t="shared" si="1"/>
        <v>0.57597520368579913</v>
      </c>
      <c r="G21" s="115">
        <f t="shared" si="2"/>
        <v>1.6114380879591973E-2</v>
      </c>
    </row>
    <row r="22" spans="2:22" s="29" customFormat="1" x14ac:dyDescent="0.25">
      <c r="B22" s="185">
        <v>10.5</v>
      </c>
      <c r="C22" s="48">
        <v>37.81048562869546</v>
      </c>
      <c r="D22" s="48">
        <v>8.7672499497329532</v>
      </c>
      <c r="E22" s="48">
        <f t="shared" si="0"/>
        <v>29.043235678962507</v>
      </c>
      <c r="F22" s="49">
        <f t="shared" si="1"/>
        <v>0.60990794925821268</v>
      </c>
      <c r="G22" s="50">
        <f t="shared" si="2"/>
        <v>1.6130656327654678E-2</v>
      </c>
    </row>
    <row r="23" spans="2:22" x14ac:dyDescent="0.25">
      <c r="B23" s="185">
        <v>11</v>
      </c>
      <c r="C23" s="48">
        <v>39.982278220873482</v>
      </c>
      <c r="D23" s="48">
        <v>9.2657636287149732</v>
      </c>
      <c r="E23" s="48">
        <f t="shared" si="0"/>
        <v>30.716514592158511</v>
      </c>
      <c r="F23" s="49">
        <f t="shared" si="1"/>
        <v>0.64504680643532875</v>
      </c>
      <c r="G23" s="50">
        <f t="shared" si="2"/>
        <v>1.6133317938310233E-2</v>
      </c>
    </row>
    <row r="24" spans="2:22" x14ac:dyDescent="0.25">
      <c r="B24" s="185">
        <v>12</v>
      </c>
      <c r="C24" s="48">
        <v>44.590410457317788</v>
      </c>
      <c r="D24" s="48">
        <v>10.365286348686164</v>
      </c>
      <c r="E24" s="48">
        <f t="shared" si="0"/>
        <v>34.225124108631626</v>
      </c>
      <c r="F24" s="49">
        <f t="shared" si="1"/>
        <v>0.7187276062812642</v>
      </c>
      <c r="G24" s="50">
        <f t="shared" si="2"/>
        <v>1.6118434410224473E-2</v>
      </c>
    </row>
    <row r="25" spans="2:22" x14ac:dyDescent="0.25">
      <c r="B25" s="185">
        <v>13</v>
      </c>
      <c r="C25" s="48">
        <v>49.42771554129417</v>
      </c>
      <c r="D25" s="48">
        <v>11.470403631271822</v>
      </c>
      <c r="E25" s="48">
        <f t="shared" si="0"/>
        <v>37.957311910022348</v>
      </c>
      <c r="F25" s="49">
        <f t="shared" si="1"/>
        <v>0.79710355011046941</v>
      </c>
      <c r="G25" s="50">
        <f t="shared" si="2"/>
        <v>1.6126651644349874E-2</v>
      </c>
    </row>
    <row r="26" spans="2:22" x14ac:dyDescent="0.25">
      <c r="B26" s="185">
        <v>14</v>
      </c>
      <c r="C26" s="48">
        <v>54.301228570926213</v>
      </c>
      <c r="D26" s="48">
        <v>12.311694979988527</v>
      </c>
      <c r="E26" s="48">
        <f t="shared" si="0"/>
        <v>41.989533590937683</v>
      </c>
      <c r="F26" s="49">
        <f t="shared" si="1"/>
        <v>0.88178020540969138</v>
      </c>
      <c r="G26" s="50">
        <f t="shared" si="2"/>
        <v>1.6238678730039108E-2</v>
      </c>
    </row>
    <row r="27" spans="2:22" x14ac:dyDescent="0.25">
      <c r="B27" s="185">
        <v>15</v>
      </c>
      <c r="C27" s="48">
        <v>59.000130386011627</v>
      </c>
      <c r="D27" s="48">
        <v>12.803190542333322</v>
      </c>
      <c r="E27" s="48">
        <f t="shared" si="0"/>
        <v>46.196939843678308</v>
      </c>
      <c r="F27" s="49">
        <f t="shared" si="1"/>
        <v>0.97013573671724451</v>
      </c>
      <c r="G27" s="50">
        <f t="shared" si="2"/>
        <v>1.6442942250637034E-2</v>
      </c>
    </row>
    <row r="28" spans="2:22" x14ac:dyDescent="0.25">
      <c r="B28" s="185">
        <v>16</v>
      </c>
      <c r="C28" s="48">
        <v>63.337294009498862</v>
      </c>
      <c r="D28" s="48">
        <v>13.422479679772673</v>
      </c>
      <c r="E28" s="48">
        <f t="shared" si="0"/>
        <v>49.914814329726191</v>
      </c>
      <c r="F28" s="49">
        <f t="shared" si="1"/>
        <v>1.0482111009242501</v>
      </c>
      <c r="G28" s="50">
        <f t="shared" si="2"/>
        <v>1.654966662716988E-2</v>
      </c>
    </row>
    <row r="29" spans="2:22" x14ac:dyDescent="0.25">
      <c r="B29" s="185">
        <v>17</v>
      </c>
      <c r="C29" s="48">
        <v>67.181288947144452</v>
      </c>
      <c r="D29" s="48">
        <v>14.314416583687683</v>
      </c>
      <c r="E29" s="48">
        <f t="shared" si="0"/>
        <v>52.866872363456771</v>
      </c>
      <c r="F29" s="49">
        <f t="shared" si="1"/>
        <v>1.1102043196325924</v>
      </c>
      <c r="G29" s="50">
        <f t="shared" si="2"/>
        <v>1.6525498945190776E-2</v>
      </c>
    </row>
    <row r="30" spans="2:22" x14ac:dyDescent="0.25">
      <c r="B30" s="185">
        <v>18</v>
      </c>
      <c r="C30" s="48">
        <v>70.468950673819393</v>
      </c>
      <c r="D30" s="48">
        <v>15.219259827352367</v>
      </c>
      <c r="E30" s="48">
        <f t="shared" si="0"/>
        <v>55.249690846467026</v>
      </c>
      <c r="F30" s="49">
        <f t="shared" si="1"/>
        <v>1.1602435077758075</v>
      </c>
      <c r="G30" s="50">
        <f t="shared" si="2"/>
        <v>1.6464605995713526E-2</v>
      </c>
    </row>
    <row r="31" spans="2:22" x14ac:dyDescent="0.25">
      <c r="B31" s="185">
        <v>19</v>
      </c>
      <c r="C31" s="48">
        <v>73.198958370421622</v>
      </c>
      <c r="D31" s="48">
        <v>15.989084297515131</v>
      </c>
      <c r="E31" s="48">
        <f t="shared" si="0"/>
        <v>57.209874072906487</v>
      </c>
      <c r="F31" s="49">
        <f t="shared" si="1"/>
        <v>1.2014073555310363</v>
      </c>
      <c r="G31" s="50">
        <f t="shared" si="2"/>
        <v>1.6412902345568123E-2</v>
      </c>
    </row>
    <row r="32" spans="2:22" x14ac:dyDescent="0.25">
      <c r="B32" s="185">
        <v>20</v>
      </c>
      <c r="C32" s="48">
        <v>75.414214512323156</v>
      </c>
      <c r="D32" s="48">
        <v>16.901012701953192</v>
      </c>
      <c r="E32" s="48">
        <f t="shared" si="0"/>
        <v>58.513201810369964</v>
      </c>
      <c r="F32" s="49">
        <f t="shared" si="1"/>
        <v>1.2287772380177693</v>
      </c>
      <c r="G32" s="50">
        <f t="shared" si="2"/>
        <v>1.6293708632567929E-2</v>
      </c>
    </row>
    <row r="33" spans="2:7" x14ac:dyDescent="0.25">
      <c r="B33" s="185">
        <v>21</v>
      </c>
      <c r="C33" s="48">
        <v>77.181939133707928</v>
      </c>
      <c r="D33" s="48">
        <v>17.772822409548208</v>
      </c>
      <c r="E33" s="48">
        <f t="shared" si="0"/>
        <v>59.409116724159716</v>
      </c>
      <c r="F33" s="49">
        <f t="shared" si="1"/>
        <v>1.247591451207354</v>
      </c>
      <c r="G33" s="50">
        <f t="shared" si="2"/>
        <v>1.6164292646833608E-2</v>
      </c>
    </row>
    <row r="34" spans="2:7" x14ac:dyDescent="0.25">
      <c r="B34" s="185">
        <v>22</v>
      </c>
      <c r="C34" s="48">
        <v>78.577305924346987</v>
      </c>
      <c r="D34" s="48">
        <v>18.246991564773133</v>
      </c>
      <c r="E34" s="48">
        <f t="shared" si="0"/>
        <v>60.330314359573855</v>
      </c>
      <c r="F34" s="49">
        <f t="shared" si="1"/>
        <v>1.266936601551051</v>
      </c>
      <c r="G34" s="50">
        <f t="shared" si="2"/>
        <v>1.6123441579568E-2</v>
      </c>
    </row>
    <row r="35" spans="2:7" s="2" customFormat="1" x14ac:dyDescent="0.25">
      <c r="B35" s="185">
        <v>23</v>
      </c>
      <c r="C35" s="48">
        <v>79.672650885769443</v>
      </c>
      <c r="D35" s="48">
        <v>18.66216891499036</v>
      </c>
      <c r="E35" s="48">
        <f t="shared" si="0"/>
        <v>61.010481970779082</v>
      </c>
      <c r="F35" s="49">
        <f t="shared" si="1"/>
        <v>1.2812201213863608</v>
      </c>
      <c r="G35" s="50">
        <f t="shared" si="2"/>
        <v>1.6081052998014444E-2</v>
      </c>
    </row>
    <row r="36" spans="2:7" s="2" customFormat="1" x14ac:dyDescent="0.25">
      <c r="B36" s="185">
        <v>24</v>
      </c>
      <c r="C36" s="48">
        <v>80.531777651930497</v>
      </c>
      <c r="D36" s="48">
        <v>19.021465154081717</v>
      </c>
      <c r="E36" s="48">
        <f t="shared" si="0"/>
        <v>61.51031249784878</v>
      </c>
      <c r="F36" s="49">
        <f t="shared" si="1"/>
        <v>1.2917165624548244</v>
      </c>
      <c r="G36" s="50">
        <f t="shared" si="2"/>
        <v>1.6039836696984416E-2</v>
      </c>
    </row>
    <row r="37" spans="2:7" s="30" customFormat="1" x14ac:dyDescent="0.25">
      <c r="B37" s="181">
        <v>25</v>
      </c>
      <c r="C37" s="107">
        <v>81.207903119037354</v>
      </c>
      <c r="D37" s="107">
        <v>19.331630444138099</v>
      </c>
      <c r="E37" s="107">
        <f t="shared" si="0"/>
        <v>61.876272674899255</v>
      </c>
      <c r="F37" s="107">
        <f t="shared" si="1"/>
        <v>1.2994017261728845</v>
      </c>
      <c r="G37" s="117">
        <f t="shared" si="2"/>
        <v>1.6000926957419115E-2</v>
      </c>
    </row>
    <row r="38" spans="2:7" s="2" customFormat="1" x14ac:dyDescent="0.25">
      <c r="B38" s="185">
        <v>26</v>
      </c>
      <c r="C38" s="48">
        <v>81.795109593252207</v>
      </c>
      <c r="D38" s="48">
        <v>19.619488437154917</v>
      </c>
      <c r="E38" s="48">
        <f t="shared" si="0"/>
        <v>62.175621156097293</v>
      </c>
      <c r="F38" s="49">
        <f t="shared" si="1"/>
        <v>1.3056880442780432</v>
      </c>
      <c r="G38" s="50">
        <f t="shared" si="2"/>
        <v>1.5962910872922866E-2</v>
      </c>
    </row>
    <row r="39" spans="2:7" s="2" customFormat="1" x14ac:dyDescent="0.25">
      <c r="B39" s="185">
        <v>27</v>
      </c>
      <c r="C39" s="48">
        <v>82.419966322202043</v>
      </c>
      <c r="D39" s="48">
        <v>19.929945084984261</v>
      </c>
      <c r="E39" s="48">
        <f t="shared" si="0"/>
        <v>62.490021237217782</v>
      </c>
      <c r="F39" s="49">
        <f t="shared" si="1"/>
        <v>1.3122904459815734</v>
      </c>
      <c r="G39" s="50">
        <f t="shared" si="2"/>
        <v>1.5921996872110739E-2</v>
      </c>
    </row>
    <row r="40" spans="2:7" s="2" customFormat="1" x14ac:dyDescent="0.25">
      <c r="B40" s="185">
        <v>28</v>
      </c>
      <c r="C40" s="48">
        <v>83.014032621830779</v>
      </c>
      <c r="D40" s="48">
        <v>20.237587541934758</v>
      </c>
      <c r="E40" s="48">
        <f t="shared" si="0"/>
        <v>62.776445079896021</v>
      </c>
      <c r="F40" s="49">
        <f t="shared" si="1"/>
        <v>1.3183053466778165</v>
      </c>
      <c r="G40" s="50">
        <f t="shared" si="2"/>
        <v>1.5880512065753236E-2</v>
      </c>
    </row>
    <row r="41" spans="2:7" s="2" customFormat="1" x14ac:dyDescent="0.25">
      <c r="B41" s="185">
        <v>29</v>
      </c>
      <c r="C41" s="48">
        <v>83.57754952483802</v>
      </c>
      <c r="D41" s="48">
        <v>20.541396960438096</v>
      </c>
      <c r="E41" s="48">
        <f t="shared" si="0"/>
        <v>63.036152564399927</v>
      </c>
      <c r="F41" s="49">
        <f t="shared" si="1"/>
        <v>1.3237592038523986</v>
      </c>
      <c r="G41" s="50">
        <f t="shared" si="2"/>
        <v>1.5838693660897497E-2</v>
      </c>
    </row>
    <row r="42" spans="2:7" s="2" customFormat="1" x14ac:dyDescent="0.25">
      <c r="B42" s="185">
        <v>30</v>
      </c>
      <c r="C42" s="48">
        <v>84.110758063923285</v>
      </c>
      <c r="D42" s="48">
        <v>20.840387931020924</v>
      </c>
      <c r="E42" s="48">
        <f t="shared" si="0"/>
        <v>63.270370132902357</v>
      </c>
      <c r="F42" s="49">
        <f t="shared" si="1"/>
        <v>1.3286777727909496</v>
      </c>
      <c r="G42" s="50">
        <f t="shared" si="2"/>
        <v>1.5796763735991638E-2</v>
      </c>
    </row>
    <row r="43" spans="2:7" s="2" customFormat="1" x14ac:dyDescent="0.25">
      <c r="B43" s="185">
        <v>31</v>
      </c>
      <c r="C43" s="48">
        <v>84.613899271786181</v>
      </c>
      <c r="D43" s="48">
        <v>21.133612398330193</v>
      </c>
      <c r="E43" s="48">
        <f t="shared" si="0"/>
        <v>63.480286873455988</v>
      </c>
      <c r="F43" s="49">
        <f t="shared" si="1"/>
        <v>1.3330860243425757</v>
      </c>
      <c r="G43" s="50">
        <f t="shared" si="2"/>
        <v>1.5754929577947985E-2</v>
      </c>
    </row>
    <row r="44" spans="2:7" s="2" customFormat="1" x14ac:dyDescent="0.25">
      <c r="B44" s="185">
        <v>32</v>
      </c>
      <c r="C44" s="48">
        <v>85.0872141811262</v>
      </c>
      <c r="D44" s="48">
        <v>21.420163186179792</v>
      </c>
      <c r="E44" s="48">
        <f t="shared" si="0"/>
        <v>63.667050994946408</v>
      </c>
      <c r="F44" s="49">
        <f t="shared" si="1"/>
        <v>1.3370080708938747</v>
      </c>
      <c r="G44" s="50">
        <f t="shared" si="2"/>
        <v>1.5713384011465804E-2</v>
      </c>
    </row>
    <row r="45" spans="2:7" s="2" customFormat="1" x14ac:dyDescent="0.25">
      <c r="B45" s="185">
        <v>33</v>
      </c>
      <c r="C45" s="48">
        <v>85.530943824642932</v>
      </c>
      <c r="D45" s="48">
        <v>21.699177133152116</v>
      </c>
      <c r="E45" s="48">
        <f t="shared" si="0"/>
        <v>63.831766691490813</v>
      </c>
      <c r="F45" s="49">
        <f t="shared" si="1"/>
        <v>1.3404671005213071</v>
      </c>
      <c r="G45" s="50">
        <f t="shared" si="2"/>
        <v>1.5672305724458702E-2</v>
      </c>
    </row>
    <row r="46" spans="2:7" s="2" customFormat="1" x14ac:dyDescent="0.25">
      <c r="B46" s="185">
        <v>34</v>
      </c>
      <c r="C46" s="48">
        <v>85.945329235035928</v>
      </c>
      <c r="D46" s="48">
        <v>21.969837850950501</v>
      </c>
      <c r="E46" s="48">
        <f t="shared" si="0"/>
        <v>63.97549138408543</v>
      </c>
      <c r="F46" s="49">
        <f t="shared" si="1"/>
        <v>1.343485319065794</v>
      </c>
      <c r="G46" s="50">
        <f t="shared" si="2"/>
        <v>1.5631859590551401E-2</v>
      </c>
    </row>
    <row r="47" spans="2:7" s="2" customFormat="1" x14ac:dyDescent="0.25">
      <c r="B47" s="185">
        <v>35</v>
      </c>
      <c r="C47" s="48">
        <v>86.330611445004706</v>
      </c>
      <c r="D47" s="48">
        <v>22.23137812018059</v>
      </c>
      <c r="E47" s="48">
        <f t="shared" si="0"/>
        <v>64.099233324824112</v>
      </c>
      <c r="F47" s="49">
        <f t="shared" si="1"/>
        <v>1.3460838998213065</v>
      </c>
      <c r="G47" s="50">
        <f t="shared" si="2"/>
        <v>1.5592196988883878E-2</v>
      </c>
    </row>
    <row r="48" spans="2:7" s="2" customFormat="1" x14ac:dyDescent="0.25">
      <c r="B48" s="185">
        <v>36</v>
      </c>
      <c r="C48" s="48">
        <v>86.687031487248888</v>
      </c>
      <c r="D48" s="48">
        <v>22.483081938627635</v>
      </c>
      <c r="E48" s="48">
        <f t="shared" si="0"/>
        <v>64.203949548621253</v>
      </c>
      <c r="F48" s="49">
        <f t="shared" si="1"/>
        <v>1.3482829405210464</v>
      </c>
      <c r="G48" s="50">
        <f t="shared" si="2"/>
        <v>1.5553456121281188E-2</v>
      </c>
    </row>
    <row r="49" spans="2:7" s="2" customFormat="1" x14ac:dyDescent="0.25">
      <c r="B49" s="185">
        <v>37</v>
      </c>
      <c r="C49" s="48">
        <v>87.014830394467978</v>
      </c>
      <c r="D49" s="48">
        <v>22.724286236961245</v>
      </c>
      <c r="E49" s="48">
        <f t="shared" si="0"/>
        <v>64.29054415750673</v>
      </c>
      <c r="F49" s="49">
        <f t="shared" si="1"/>
        <v>1.3501014273076415</v>
      </c>
      <c r="G49" s="50">
        <f t="shared" si="2"/>
        <v>1.551576232680303E-2</v>
      </c>
    </row>
    <row r="50" spans="2:7" s="2" customFormat="1" x14ac:dyDescent="0.25">
      <c r="B50" s="185">
        <v>38</v>
      </c>
      <c r="C50" s="48">
        <v>87.314249199361527</v>
      </c>
      <c r="D50" s="48">
        <v>22.954382276538777</v>
      </c>
      <c r="E50" s="48">
        <f t="shared" si="0"/>
        <v>64.359866922822746</v>
      </c>
      <c r="F50" s="49">
        <f t="shared" si="1"/>
        <v>1.3515572053792777</v>
      </c>
      <c r="G50" s="50">
        <f t="shared" si="2"/>
        <v>1.5479228393676216E-2</v>
      </c>
    </row>
    <row r="51" spans="2:7" s="2" customFormat="1" x14ac:dyDescent="0.25">
      <c r="B51" s="185">
        <v>39</v>
      </c>
      <c r="C51" s="48">
        <v>87.58552893462911</v>
      </c>
      <c r="D51" s="48">
        <v>23.172816743684315</v>
      </c>
      <c r="E51" s="48">
        <f t="shared" si="0"/>
        <v>64.412712190944802</v>
      </c>
      <c r="F51" s="49">
        <f t="shared" si="1"/>
        <v>1.352666956009841</v>
      </c>
      <c r="G51" s="50">
        <f t="shared" si="2"/>
        <v>1.544395486861107E-2</v>
      </c>
    </row>
    <row r="52" spans="2:7" s="2" customFormat="1" x14ac:dyDescent="0.25">
      <c r="B52" s="185">
        <v>40</v>
      </c>
      <c r="C52" s="48">
        <v>87.828910632970278</v>
      </c>
      <c r="D52" s="48">
        <v>23.379092554524572</v>
      </c>
      <c r="E52" s="48">
        <f t="shared" si="0"/>
        <v>64.449818078445702</v>
      </c>
      <c r="F52" s="49">
        <f t="shared" si="1"/>
        <v>1.3534461796473598</v>
      </c>
      <c r="G52" s="50">
        <f t="shared" si="2"/>
        <v>1.5410030363501821E-2</v>
      </c>
    </row>
    <row r="53" spans="2:7" s="2" customFormat="1" x14ac:dyDescent="0.25">
      <c r="B53" s="185">
        <v>41</v>
      </c>
      <c r="C53" s="48">
        <v>88.044635327084606</v>
      </c>
      <c r="D53" s="48">
        <v>23.572769384166669</v>
      </c>
      <c r="E53" s="48">
        <f t="shared" si="0"/>
        <v>64.47186594291793</v>
      </c>
      <c r="F53" s="49">
        <f t="shared" si="1"/>
        <v>1.3539091848012765</v>
      </c>
      <c r="G53" s="50">
        <f t="shared" si="2"/>
        <v>1.5377531859511061E-2</v>
      </c>
    </row>
    <row r="54" spans="2:7" s="2" customFormat="1" x14ac:dyDescent="0.25">
      <c r="B54" s="185">
        <v>42</v>
      </c>
      <c r="C54" s="48">
        <v>88.232944049671602</v>
      </c>
      <c r="D54" s="48">
        <v>23.753463933707497</v>
      </c>
      <c r="E54" s="48">
        <f t="shared" si="0"/>
        <v>64.479480115964108</v>
      </c>
      <c r="F54" s="49">
        <f t="shared" si="1"/>
        <v>1.3540690824352464</v>
      </c>
      <c r="G54" s="50">
        <f t="shared" si="2"/>
        <v>1.5346525008538307E-2</v>
      </c>
    </row>
    <row r="55" spans="2:7" s="2" customFormat="1" x14ac:dyDescent="0.25">
      <c r="B55" s="185">
        <v>43</v>
      </c>
      <c r="C55" s="48">
        <v>88.394077833430842</v>
      </c>
      <c r="D55" s="48">
        <v>23.920849948273897</v>
      </c>
      <c r="E55" s="48">
        <f t="shared" si="0"/>
        <v>64.473227885156945</v>
      </c>
      <c r="F55" s="49">
        <f t="shared" si="1"/>
        <v>1.3539377855882959</v>
      </c>
      <c r="G55" s="50">
        <f t="shared" si="2"/>
        <v>1.5317064432072548E-2</v>
      </c>
    </row>
    <row r="56" spans="2:7" s="2" customFormat="1" x14ac:dyDescent="0.25">
      <c r="B56" s="185">
        <v>44</v>
      </c>
      <c r="C56" s="48">
        <v>88.528277711061889</v>
      </c>
      <c r="D56" s="48">
        <v>24.07465799900185</v>
      </c>
      <c r="E56" s="48">
        <f t="shared" si="0"/>
        <v>64.453619712060032</v>
      </c>
      <c r="F56" s="49">
        <f t="shared" si="1"/>
        <v>1.3535260139532608</v>
      </c>
      <c r="G56" s="50">
        <f t="shared" si="2"/>
        <v>1.5289194017429003E-2</v>
      </c>
    </row>
    <row r="57" spans="2:7" s="2" customFormat="1" x14ac:dyDescent="0.25">
      <c r="B57" s="185">
        <v>45</v>
      </c>
      <c r="C57" s="48">
        <v>88.635784715264279</v>
      </c>
      <c r="D57" s="48">
        <v>24.214675041577408</v>
      </c>
      <c r="E57" s="48">
        <f t="shared" si="0"/>
        <v>64.421109673686871</v>
      </c>
      <c r="F57" s="49">
        <f t="shared" si="1"/>
        <v>1.3528433031474243</v>
      </c>
      <c r="G57" s="50">
        <f t="shared" si="2"/>
        <v>1.5262947211369884E-2</v>
      </c>
    </row>
    <row r="58" spans="2:7" s="2" customFormat="1" x14ac:dyDescent="0.25">
      <c r="B58" s="185">
        <v>46</v>
      </c>
      <c r="C58" s="48">
        <v>88.716839878737574</v>
      </c>
      <c r="D58" s="48">
        <v>24.34074376367716</v>
      </c>
      <c r="E58" s="48">
        <f t="shared" si="0"/>
        <v>64.37609611506042</v>
      </c>
      <c r="F58" s="49">
        <f t="shared" si="1"/>
        <v>1.351898018416269</v>
      </c>
      <c r="G58" s="50">
        <f t="shared" si="2"/>
        <v>1.5238347311109231E-2</v>
      </c>
    </row>
    <row r="59" spans="2:7" s="2" customFormat="1" x14ac:dyDescent="0.25">
      <c r="B59" s="185">
        <v>47</v>
      </c>
      <c r="C59" s="48">
        <v>88.771684234181336</v>
      </c>
      <c r="D59" s="48">
        <v>24.452761733364081</v>
      </c>
      <c r="E59" s="48">
        <f t="shared" si="0"/>
        <v>64.318922500817251</v>
      </c>
      <c r="F59" s="49">
        <f t="shared" si="1"/>
        <v>1.3506973725171623</v>
      </c>
      <c r="G59" s="50">
        <f t="shared" si="2"/>
        <v>1.5215407752701839E-2</v>
      </c>
    </row>
    <row r="60" spans="2:7" s="2" customFormat="1" x14ac:dyDescent="0.25">
      <c r="B60" s="185">
        <v>48</v>
      </c>
      <c r="C60" s="48">
        <v>88.80055881429513</v>
      </c>
      <c r="D60" s="48">
        <v>24.550680360215335</v>
      </c>
      <c r="E60" s="48">
        <f t="shared" si="0"/>
        <v>64.249878454079791</v>
      </c>
      <c r="F60" s="49">
        <f t="shared" si="1"/>
        <v>1.3492474475356757</v>
      </c>
      <c r="G60" s="50">
        <f t="shared" si="2"/>
        <v>1.5194132396816332E-2</v>
      </c>
    </row>
    <row r="61" spans="2:7" s="2" customFormat="1" x14ac:dyDescent="0.25">
      <c r="B61" s="185">
        <v>49</v>
      </c>
      <c r="C61" s="48">
        <v>88.803704651778489</v>
      </c>
      <c r="D61" s="48">
        <v>24.634503680682545</v>
      </c>
      <c r="E61" s="48">
        <f t="shared" si="0"/>
        <v>64.169200971095947</v>
      </c>
      <c r="F61" s="49">
        <f t="shared" si="1"/>
        <v>1.3475532203930149</v>
      </c>
      <c r="G61" s="50">
        <f t="shared" si="2"/>
        <v>1.5174515811892171E-2</v>
      </c>
    </row>
    <row r="62" spans="2:7" s="2" customFormat="1" x14ac:dyDescent="0.25">
      <c r="B62" s="185">
        <v>50</v>
      </c>
      <c r="C62" s="48">
        <v>88.781362779330948</v>
      </c>
      <c r="D62" s="48">
        <v>24.704286978909231</v>
      </c>
      <c r="E62" s="48">
        <f t="shared" si="0"/>
        <v>64.07707580042171</v>
      </c>
      <c r="F62" s="49">
        <f t="shared" si="1"/>
        <v>1.3456185918088559</v>
      </c>
      <c r="G62" s="50">
        <f t="shared" si="2"/>
        <v>1.5156543554680907E-2</v>
      </c>
    </row>
    <row r="63" spans="2:7" s="2" customFormat="1" x14ac:dyDescent="0.25">
      <c r="B63" s="185">
        <v>51</v>
      </c>
      <c r="C63" s="48">
        <v>88.733774229652099</v>
      </c>
      <c r="D63" s="48">
        <v>24.760135253960499</v>
      </c>
      <c r="E63" s="48">
        <f t="shared" si="0"/>
        <v>63.9736389756916</v>
      </c>
      <c r="F63" s="49">
        <f t="shared" si="1"/>
        <v>1.3434464184895236</v>
      </c>
      <c r="G63" s="50">
        <f t="shared" si="2"/>
        <v>1.5140192448171387E-2</v>
      </c>
    </row>
    <row r="64" spans="2:7" s="2" customFormat="1" x14ac:dyDescent="0.25">
      <c r="B64" s="185">
        <v>52</v>
      </c>
      <c r="C64" s="48">
        <v>88.661180035441461</v>
      </c>
      <c r="D64" s="48">
        <v>24.802201544148478</v>
      </c>
      <c r="E64" s="48">
        <f t="shared" si="0"/>
        <v>63.858978491292987</v>
      </c>
      <c r="F64" s="49">
        <f t="shared" si="1"/>
        <v>1.3410385483171527</v>
      </c>
      <c r="G64" s="50">
        <f t="shared" si="2"/>
        <v>1.5125430856899101E-2</v>
      </c>
    </row>
    <row r="65" spans="2:7" s="2" customFormat="1" x14ac:dyDescent="0.25">
      <c r="B65" s="185">
        <v>53</v>
      </c>
      <c r="C65" s="48">
        <v>88.563821229398641</v>
      </c>
      <c r="D65" s="48">
        <v>24.830685118872466</v>
      </c>
      <c r="E65" s="48">
        <f t="shared" si="0"/>
        <v>63.733136110526175</v>
      </c>
      <c r="F65" s="49">
        <f t="shared" si="1"/>
        <v>1.3383958583210498</v>
      </c>
      <c r="G65" s="50">
        <f t="shared" si="2"/>
        <v>1.5112218959639595E-2</v>
      </c>
    </row>
    <row r="66" spans="2:7" s="2" customFormat="1" x14ac:dyDescent="0.25">
      <c r="B66" s="185">
        <v>54</v>
      </c>
      <c r="C66" s="48">
        <v>88.441938844223145</v>
      </c>
      <c r="D66" s="48">
        <v>24.845829548127071</v>
      </c>
      <c r="E66" s="48">
        <f t="shared" si="0"/>
        <v>63.596109296096074</v>
      </c>
      <c r="F66" s="49">
        <f t="shared" si="1"/>
        <v>1.3355182952180176</v>
      </c>
      <c r="G66" s="50">
        <f t="shared" si="2"/>
        <v>1.5100509019485963E-2</v>
      </c>
    </row>
    <row r="67" spans="2:7" s="2" customFormat="1" x14ac:dyDescent="0.25">
      <c r="B67" s="185">
        <v>55</v>
      </c>
      <c r="C67" s="48">
        <v>88.295773912614564</v>
      </c>
      <c r="D67" s="48">
        <v>24.84792065957069</v>
      </c>
      <c r="E67" s="48">
        <f t="shared" si="0"/>
        <v>63.447853253043874</v>
      </c>
      <c r="F67" s="49">
        <f t="shared" si="1"/>
        <v>1.3324049183139215</v>
      </c>
      <c r="G67" s="50">
        <f t="shared" si="2"/>
        <v>1.5090245651310438E-2</v>
      </c>
    </row>
    <row r="68" spans="2:7" s="2" customFormat="1" x14ac:dyDescent="0.25">
      <c r="B68" s="185">
        <v>56</v>
      </c>
      <c r="C68" s="48">
        <v>88.12556746727239</v>
      </c>
      <c r="D68" s="48">
        <v>24.837284392787382</v>
      </c>
      <c r="E68" s="48">
        <f t="shared" si="0"/>
        <v>63.288283074485008</v>
      </c>
      <c r="F68" s="49">
        <f t="shared" si="1"/>
        <v>1.3290539445641854</v>
      </c>
      <c r="G68" s="50">
        <f t="shared" si="2"/>
        <v>1.5081366086610024E-2</v>
      </c>
    </row>
    <row r="69" spans="2:7" s="2" customFormat="1" x14ac:dyDescent="0.25">
      <c r="B69" s="185">
        <v>57</v>
      </c>
      <c r="C69" s="48">
        <v>87.931560540896228</v>
      </c>
      <c r="D69" s="48">
        <v>24.814284560118743</v>
      </c>
      <c r="E69" s="48">
        <f t="shared" si="0"/>
        <v>63.117275980777485</v>
      </c>
      <c r="F69" s="49">
        <f t="shared" si="1"/>
        <v>1.3254627955963272</v>
      </c>
      <c r="G69" s="50">
        <f t="shared" si="2"/>
        <v>1.5073800435736218E-2</v>
      </c>
    </row>
    <row r="70" spans="2:7" s="2" customFormat="1" x14ac:dyDescent="0.25">
      <c r="B70" s="185">
        <v>58</v>
      </c>
      <c r="C70" s="48">
        <v>87.713994166185643</v>
      </c>
      <c r="D70" s="48">
        <v>24.779320523187565</v>
      </c>
      <c r="E70" s="48">
        <f t="shared" si="0"/>
        <v>62.934673642998078</v>
      </c>
      <c r="F70" s="49">
        <f t="shared" si="1"/>
        <v>1.3216281465029598</v>
      </c>
      <c r="G70" s="50">
        <f t="shared" si="2"/>
        <v>1.5067471947508881E-2</v>
      </c>
    </row>
    <row r="71" spans="2:7" s="2" customFormat="1" x14ac:dyDescent="0.25">
      <c r="B71" s="185">
        <v>59</v>
      </c>
      <c r="C71" s="48">
        <v>87.473109375840153</v>
      </c>
      <c r="D71" s="48">
        <v>24.732824793984935</v>
      </c>
      <c r="E71" s="48">
        <f t="shared" si="0"/>
        <v>62.740284581855221</v>
      </c>
      <c r="F71" s="49">
        <f t="shared" si="1"/>
        <v>1.3175459762189596</v>
      </c>
      <c r="G71" s="50">
        <f t="shared" si="2"/>
        <v>1.506229726621405E-2</v>
      </c>
    </row>
    <row r="72" spans="2:7" s="2" customFormat="1" x14ac:dyDescent="0.25">
      <c r="B72" s="185">
        <v>60</v>
      </c>
      <c r="C72" s="48">
        <v>87.209147202559322</v>
      </c>
      <c r="D72" s="48">
        <v>24.675260569141724</v>
      </c>
      <c r="E72" s="48">
        <f t="shared" si="0"/>
        <v>62.533886633417595</v>
      </c>
      <c r="F72" s="49">
        <f t="shared" si="1"/>
        <v>1.3132116193017696</v>
      </c>
      <c r="G72" s="50">
        <f t="shared" si="2"/>
        <v>1.5058186685985972E-2</v>
      </c>
    </row>
    <row r="73" spans="2:7" s="2" customFormat="1" x14ac:dyDescent="0.25"/>
    <row r="74" spans="2:7" s="2" customFormat="1" x14ac:dyDescent="0.25"/>
    <row r="75" spans="2:7" s="2" customFormat="1" x14ac:dyDescent="0.25"/>
    <row r="76" spans="2:7" s="2" customFormat="1" x14ac:dyDescent="0.25"/>
    <row r="77" spans="2:7" s="2" customFormat="1" x14ac:dyDescent="0.25"/>
    <row r="78" spans="2:7" s="2" customFormat="1" x14ac:dyDescent="0.25"/>
    <row r="79" spans="2:7" s="2" customFormat="1" x14ac:dyDescent="0.25"/>
    <row r="80" spans="2:7" s="2" customFormat="1" x14ac:dyDescent="0.25"/>
    <row r="81" s="2" customFormat="1" x14ac:dyDescent="0.25"/>
    <row r="82" s="2" customFormat="1" x14ac:dyDescent="0.25"/>
    <row r="83" s="2" customFormat="1" x14ac:dyDescent="0.25"/>
    <row r="84" s="2" customFormat="1" x14ac:dyDescent="0.25"/>
    <row r="85" s="2" customFormat="1" x14ac:dyDescent="0.25"/>
    <row r="86" s="2" customFormat="1" x14ac:dyDescent="0.25"/>
    <row r="87" s="2" customFormat="1" x14ac:dyDescent="0.25"/>
    <row r="88" s="2" customFormat="1" x14ac:dyDescent="0.25"/>
    <row r="89" s="2" customFormat="1" x14ac:dyDescent="0.25"/>
    <row r="90" s="2" customFormat="1" x14ac:dyDescent="0.25"/>
    <row r="91" s="2" customFormat="1" x14ac:dyDescent="0.25"/>
    <row r="92" s="2" customFormat="1" x14ac:dyDescent="0.25"/>
    <row r="93" s="2" customFormat="1" x14ac:dyDescent="0.25"/>
    <row r="94" s="2" customFormat="1" x14ac:dyDescent="0.25"/>
    <row r="95" s="2" customFormat="1" x14ac:dyDescent="0.25"/>
    <row r="96" s="2" customFormat="1" x14ac:dyDescent="0.25"/>
    <row r="97" s="2" customFormat="1" x14ac:dyDescent="0.25"/>
    <row r="98" s="2" customFormat="1" x14ac:dyDescent="0.25"/>
    <row r="99" s="2" customFormat="1" x14ac:dyDescent="0.25"/>
    <row r="100" s="2" customFormat="1" x14ac:dyDescent="0.25"/>
    <row r="101" s="2" customFormat="1" x14ac:dyDescent="0.25"/>
    <row r="102" s="2" customFormat="1" x14ac:dyDescent="0.25"/>
    <row r="103" s="2" customFormat="1" x14ac:dyDescent="0.25"/>
    <row r="104" s="2" customFormat="1" x14ac:dyDescent="0.25"/>
    <row r="105" s="2" customFormat="1" x14ac:dyDescent="0.25"/>
    <row r="106" s="2" customFormat="1" x14ac:dyDescent="0.25"/>
    <row r="107" s="2" customFormat="1" x14ac:dyDescent="0.25"/>
    <row r="108" s="2" customFormat="1" x14ac:dyDescent="0.25"/>
    <row r="109" s="2" customFormat="1" x14ac:dyDescent="0.25"/>
    <row r="110" s="2" customFormat="1" x14ac:dyDescent="0.25"/>
    <row r="111" s="2" customFormat="1" x14ac:dyDescent="0.25"/>
    <row r="112" s="2" customFormat="1" x14ac:dyDescent="0.25"/>
    <row r="113" s="2" customFormat="1" x14ac:dyDescent="0.25"/>
    <row r="114" s="2" customFormat="1" x14ac:dyDescent="0.25"/>
    <row r="115" s="2" customFormat="1" x14ac:dyDescent="0.25"/>
    <row r="116" s="2" customFormat="1" x14ac:dyDescent="0.25"/>
    <row r="117" s="2" customFormat="1" x14ac:dyDescent="0.25"/>
    <row r="118" s="2" customFormat="1" x14ac:dyDescent="0.25"/>
    <row r="119" s="2" customFormat="1" x14ac:dyDescent="0.25"/>
    <row r="120" s="2" customFormat="1" x14ac:dyDescent="0.25"/>
    <row r="121" s="2" customFormat="1" x14ac:dyDescent="0.25"/>
    <row r="122" s="2" customFormat="1" x14ac:dyDescent="0.25"/>
    <row r="123" s="2" customFormat="1" x14ac:dyDescent="0.25"/>
    <row r="124" s="2" customFormat="1" x14ac:dyDescent="0.25"/>
    <row r="125" s="2" customFormat="1" x14ac:dyDescent="0.25"/>
    <row r="126" s="2" customFormat="1" x14ac:dyDescent="0.25"/>
    <row r="127" s="2" customFormat="1" x14ac:dyDescent="0.25"/>
    <row r="128" s="2" customFormat="1" x14ac:dyDescent="0.25"/>
    <row r="129" s="2" customFormat="1" x14ac:dyDescent="0.25"/>
    <row r="130" s="2" customFormat="1" x14ac:dyDescent="0.25"/>
    <row r="131" s="2" customFormat="1" x14ac:dyDescent="0.25"/>
    <row r="132" s="2" customFormat="1" x14ac:dyDescent="0.25"/>
    <row r="133" s="2" customFormat="1" x14ac:dyDescent="0.25"/>
    <row r="134" s="2" customFormat="1" x14ac:dyDescent="0.25"/>
    <row r="135" s="2" customFormat="1" x14ac:dyDescent="0.25"/>
    <row r="136" s="2" customFormat="1" x14ac:dyDescent="0.25"/>
    <row r="137" s="2" customFormat="1" x14ac:dyDescent="0.25"/>
    <row r="138" s="2" customFormat="1" x14ac:dyDescent="0.25"/>
    <row r="139" s="2" customFormat="1" x14ac:dyDescent="0.25"/>
    <row r="140" s="2" customFormat="1" x14ac:dyDescent="0.25"/>
    <row r="141" s="2" customFormat="1" x14ac:dyDescent="0.25"/>
    <row r="142" s="2" customFormat="1" x14ac:dyDescent="0.25"/>
    <row r="143" s="2" customFormat="1" x14ac:dyDescent="0.25"/>
    <row r="144" s="2" customFormat="1" x14ac:dyDescent="0.25"/>
    <row r="145" s="2" customFormat="1" x14ac:dyDescent="0.25"/>
    <row r="146" s="2" customFormat="1" x14ac:dyDescent="0.25"/>
    <row r="147" s="2" customFormat="1" x14ac:dyDescent="0.25"/>
    <row r="148" s="2" customFormat="1" x14ac:dyDescent="0.25"/>
    <row r="149" s="2" customFormat="1" x14ac:dyDescent="0.25"/>
    <row r="150" s="2" customFormat="1" x14ac:dyDescent="0.25"/>
    <row r="151" s="2" customFormat="1" x14ac:dyDescent="0.25"/>
    <row r="152" s="2" customFormat="1" x14ac:dyDescent="0.25"/>
    <row r="153" s="2" customFormat="1" x14ac:dyDescent="0.25"/>
    <row r="154" s="2" customFormat="1" x14ac:dyDescent="0.25"/>
    <row r="155" s="2" customFormat="1" x14ac:dyDescent="0.25"/>
    <row r="156" s="2" customFormat="1" x14ac:dyDescent="0.25"/>
    <row r="157" s="2" customFormat="1" x14ac:dyDescent="0.25"/>
    <row r="158" s="2" customFormat="1" x14ac:dyDescent="0.25"/>
    <row r="159" s="2" customFormat="1" x14ac:dyDescent="0.25"/>
    <row r="160" s="2" customFormat="1" x14ac:dyDescent="0.25"/>
    <row r="161" s="2" customFormat="1" x14ac:dyDescent="0.25"/>
    <row r="162" s="2" customFormat="1" x14ac:dyDescent="0.25"/>
    <row r="163" s="2" customFormat="1" x14ac:dyDescent="0.25"/>
    <row r="164" s="2" customFormat="1" x14ac:dyDescent="0.25"/>
    <row r="165" s="2" customFormat="1" x14ac:dyDescent="0.25"/>
    <row r="166" s="2" customFormat="1" x14ac:dyDescent="0.25"/>
    <row r="167" s="2" customFormat="1" x14ac:dyDescent="0.25"/>
    <row r="168" s="2" customFormat="1" x14ac:dyDescent="0.25"/>
    <row r="169" s="2" customFormat="1" x14ac:dyDescent="0.25"/>
    <row r="170" s="2" customFormat="1" x14ac:dyDescent="0.25"/>
    <row r="171" s="2" customFormat="1" x14ac:dyDescent="0.25"/>
    <row r="172" s="2" customFormat="1" x14ac:dyDescent="0.25"/>
    <row r="173" s="2" customFormat="1" x14ac:dyDescent="0.25"/>
    <row r="174" s="2" customFormat="1" x14ac:dyDescent="0.25"/>
    <row r="175" s="2" customFormat="1" x14ac:dyDescent="0.25"/>
    <row r="176" s="2" customFormat="1" x14ac:dyDescent="0.25"/>
    <row r="177" s="2" customFormat="1" x14ac:dyDescent="0.25"/>
    <row r="178" s="2" customFormat="1" x14ac:dyDescent="0.25"/>
    <row r="179" s="2" customFormat="1" x14ac:dyDescent="0.25"/>
    <row r="180" s="2" customFormat="1" x14ac:dyDescent="0.25"/>
    <row r="181" s="2" customFormat="1" x14ac:dyDescent="0.25"/>
    <row r="182" s="2" customFormat="1" x14ac:dyDescent="0.25"/>
    <row r="183" s="2" customFormat="1" x14ac:dyDescent="0.25"/>
    <row r="184" s="2" customFormat="1" x14ac:dyDescent="0.25"/>
    <row r="185" s="2" customFormat="1" x14ac:dyDescent="0.25"/>
    <row r="186" s="2" customFormat="1" x14ac:dyDescent="0.25"/>
    <row r="187" s="2" customFormat="1" x14ac:dyDescent="0.25"/>
    <row r="188" s="2" customFormat="1" x14ac:dyDescent="0.25"/>
    <row r="189" s="2" customFormat="1" x14ac:dyDescent="0.25"/>
    <row r="190" s="2" customFormat="1" x14ac:dyDescent="0.25"/>
    <row r="191" s="2" customFormat="1" x14ac:dyDescent="0.25"/>
    <row r="192" s="2" customFormat="1" x14ac:dyDescent="0.25"/>
    <row r="193" s="2" customFormat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  <row r="205" s="2" customFormat="1" x14ac:dyDescent="0.25"/>
    <row r="206" s="2" customFormat="1" x14ac:dyDescent="0.25"/>
    <row r="207" s="2" customFormat="1" x14ac:dyDescent="0.25"/>
    <row r="208" s="2" customFormat="1" x14ac:dyDescent="0.25"/>
    <row r="209" s="2" customFormat="1" x14ac:dyDescent="0.25"/>
    <row r="210" s="2" customFormat="1" x14ac:dyDescent="0.25"/>
    <row r="211" s="2" customFormat="1" x14ac:dyDescent="0.25"/>
    <row r="212" s="2" customFormat="1" x14ac:dyDescent="0.25"/>
    <row r="213" s="2" customFormat="1" x14ac:dyDescent="0.25"/>
    <row r="214" s="2" customFormat="1" x14ac:dyDescent="0.25"/>
    <row r="215" s="2" customFormat="1" x14ac:dyDescent="0.25"/>
    <row r="216" s="2" customFormat="1" x14ac:dyDescent="0.25"/>
    <row r="217" s="2" customFormat="1" x14ac:dyDescent="0.25"/>
    <row r="218" s="2" customFormat="1" x14ac:dyDescent="0.25"/>
    <row r="219" s="2" customFormat="1" x14ac:dyDescent="0.25"/>
    <row r="220" s="2" customFormat="1" x14ac:dyDescent="0.25"/>
    <row r="221" s="2" customFormat="1" x14ac:dyDescent="0.25"/>
    <row r="222" s="2" customFormat="1" x14ac:dyDescent="0.25"/>
    <row r="223" s="2" customFormat="1" x14ac:dyDescent="0.25"/>
    <row r="224" s="2" customFormat="1" x14ac:dyDescent="0.25"/>
    <row r="225" s="2" customFormat="1" x14ac:dyDescent="0.25"/>
    <row r="226" s="2" customFormat="1" x14ac:dyDescent="0.25"/>
    <row r="227" s="2" customFormat="1" x14ac:dyDescent="0.25"/>
    <row r="228" s="2" customFormat="1" x14ac:dyDescent="0.25"/>
    <row r="229" s="2" customFormat="1" x14ac:dyDescent="0.25"/>
    <row r="230" s="2" customFormat="1" x14ac:dyDescent="0.25"/>
    <row r="231" s="2" customFormat="1" x14ac:dyDescent="0.25"/>
    <row r="232" s="2" customFormat="1" x14ac:dyDescent="0.25"/>
    <row r="233" s="2" customFormat="1" x14ac:dyDescent="0.25"/>
    <row r="234" s="2" customFormat="1" x14ac:dyDescent="0.25"/>
    <row r="235" s="2" customFormat="1" x14ac:dyDescent="0.25"/>
    <row r="236" s="2" customFormat="1" x14ac:dyDescent="0.25"/>
    <row r="237" s="2" customFormat="1" x14ac:dyDescent="0.25"/>
    <row r="238" s="2" customFormat="1" x14ac:dyDescent="0.25"/>
    <row r="239" s="2" customFormat="1" x14ac:dyDescent="0.25"/>
    <row r="240" s="2" customFormat="1" x14ac:dyDescent="0.25"/>
    <row r="241" s="2" customFormat="1" x14ac:dyDescent="0.25"/>
    <row r="242" s="2" customFormat="1" x14ac:dyDescent="0.25"/>
    <row r="243" s="2" customFormat="1" x14ac:dyDescent="0.25"/>
    <row r="244" s="2" customFormat="1" x14ac:dyDescent="0.25"/>
    <row r="245" s="2" customFormat="1" x14ac:dyDescent="0.25"/>
    <row r="246" s="2" customFormat="1" x14ac:dyDescent="0.25"/>
    <row r="247" s="2" customFormat="1" x14ac:dyDescent="0.25"/>
    <row r="248" s="2" customFormat="1" x14ac:dyDescent="0.25"/>
    <row r="249" s="2" customFormat="1" x14ac:dyDescent="0.25"/>
    <row r="250" s="2" customFormat="1" x14ac:dyDescent="0.25"/>
    <row r="251" s="2" customFormat="1" x14ac:dyDescent="0.25"/>
    <row r="252" s="2" customFormat="1" x14ac:dyDescent="0.25"/>
    <row r="253" s="2" customFormat="1" x14ac:dyDescent="0.25"/>
    <row r="254" s="2" customFormat="1" x14ac:dyDescent="0.25"/>
    <row r="255" s="2" customFormat="1" x14ac:dyDescent="0.25"/>
    <row r="256" s="2" customFormat="1" x14ac:dyDescent="0.25"/>
    <row r="257" s="2" customFormat="1" x14ac:dyDescent="0.25"/>
    <row r="258" s="2" customFormat="1" x14ac:dyDescent="0.25"/>
    <row r="259" s="2" customFormat="1" x14ac:dyDescent="0.25"/>
    <row r="260" s="2" customFormat="1" x14ac:dyDescent="0.25"/>
    <row r="261" s="2" customFormat="1" x14ac:dyDescent="0.25"/>
    <row r="262" s="2" customFormat="1" x14ac:dyDescent="0.25"/>
    <row r="263" s="2" customFormat="1" x14ac:dyDescent="0.25"/>
    <row r="264" s="2" customFormat="1" x14ac:dyDescent="0.25"/>
    <row r="265" s="2" customFormat="1" x14ac:dyDescent="0.25"/>
    <row r="266" s="2" customFormat="1" x14ac:dyDescent="0.25"/>
    <row r="267" s="2" customFormat="1" x14ac:dyDescent="0.25"/>
    <row r="268" s="2" customFormat="1" x14ac:dyDescent="0.25"/>
    <row r="269" s="2" customFormat="1" x14ac:dyDescent="0.25"/>
    <row r="270" s="2" customFormat="1" x14ac:dyDescent="0.25"/>
    <row r="271" s="2" customFormat="1" x14ac:dyDescent="0.25"/>
    <row r="272" s="2" customFormat="1" x14ac:dyDescent="0.25"/>
    <row r="273" s="2" customFormat="1" x14ac:dyDescent="0.25"/>
    <row r="274" s="2" customFormat="1" x14ac:dyDescent="0.25"/>
    <row r="275" s="2" customFormat="1" x14ac:dyDescent="0.25"/>
    <row r="276" s="2" customFormat="1" x14ac:dyDescent="0.25"/>
    <row r="277" s="2" customFormat="1" x14ac:dyDescent="0.25"/>
    <row r="278" s="2" customFormat="1" x14ac:dyDescent="0.25"/>
    <row r="279" s="2" customFormat="1" x14ac:dyDescent="0.25"/>
    <row r="280" s="2" customFormat="1" x14ac:dyDescent="0.25"/>
    <row r="281" s="2" customFormat="1" x14ac:dyDescent="0.25"/>
    <row r="282" s="2" customFormat="1" x14ac:dyDescent="0.25"/>
    <row r="283" s="2" customFormat="1" x14ac:dyDescent="0.25"/>
    <row r="284" s="2" customFormat="1" x14ac:dyDescent="0.25"/>
    <row r="285" s="2" customFormat="1" x14ac:dyDescent="0.25"/>
    <row r="286" s="2" customFormat="1" x14ac:dyDescent="0.25"/>
    <row r="287" s="2" customFormat="1" x14ac:dyDescent="0.25"/>
    <row r="288" s="2" customFormat="1" x14ac:dyDescent="0.25"/>
    <row r="289" s="2" customFormat="1" x14ac:dyDescent="0.25"/>
  </sheetData>
  <mergeCells count="2">
    <mergeCell ref="B1:E1"/>
    <mergeCell ref="T7:V7"/>
  </mergeCells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2:F86"/>
  <sheetViews>
    <sheetView zoomScale="80" zoomScaleNormal="80" workbookViewId="0">
      <selection activeCell="E8" sqref="E8:F8"/>
    </sheetView>
  </sheetViews>
  <sheetFormatPr defaultRowHeight="15" x14ac:dyDescent="0.25"/>
  <cols>
    <col min="2" max="2" width="34.7109375" customWidth="1"/>
    <col min="3" max="3" width="20.28515625" customWidth="1"/>
    <col min="4" max="4" width="18.85546875" customWidth="1"/>
    <col min="5" max="5" width="13.5703125" customWidth="1"/>
    <col min="6" max="6" width="12.85546875" customWidth="1"/>
  </cols>
  <sheetData>
    <row r="2" spans="2:6" ht="15.75" x14ac:dyDescent="0.25">
      <c r="B2" s="273" t="s">
        <v>184</v>
      </c>
      <c r="C2" s="273"/>
      <c r="D2" s="273"/>
    </row>
    <row r="3" spans="2:6" ht="23.25" customHeight="1" x14ac:dyDescent="0.25">
      <c r="B3" s="277" t="s">
        <v>200</v>
      </c>
      <c r="C3" s="277"/>
      <c r="D3" s="277"/>
    </row>
    <row r="4" spans="2:6" ht="52.5" customHeight="1" x14ac:dyDescent="0.25">
      <c r="B4" s="61" t="s">
        <v>185</v>
      </c>
      <c r="C4" s="61" t="s">
        <v>186</v>
      </c>
      <c r="D4" s="61" t="s">
        <v>189</v>
      </c>
    </row>
    <row r="5" spans="2:6" ht="15.75" x14ac:dyDescent="0.25">
      <c r="B5" s="61" t="s">
        <v>187</v>
      </c>
      <c r="C5" s="61"/>
      <c r="D5" s="61" t="s">
        <v>188</v>
      </c>
    </row>
    <row r="7" spans="2:6" ht="31.5" x14ac:dyDescent="0.25">
      <c r="B7" s="317" t="s">
        <v>15</v>
      </c>
      <c r="C7" s="326" t="s">
        <v>23</v>
      </c>
      <c r="D7" s="232" t="s">
        <v>120</v>
      </c>
      <c r="E7" s="232" t="s">
        <v>190</v>
      </c>
      <c r="F7" s="325" t="s">
        <v>191</v>
      </c>
    </row>
    <row r="8" spans="2:6" s="145" customFormat="1" ht="15.75" x14ac:dyDescent="0.25">
      <c r="B8" s="234">
        <v>0.01</v>
      </c>
      <c r="C8" s="75">
        <v>4.8377925320663246</v>
      </c>
      <c r="D8" s="73">
        <v>6.3632644773949948E-2</v>
      </c>
      <c r="E8" s="49">
        <f>2.596*D8</f>
        <v>0.16519034583317407</v>
      </c>
      <c r="F8" s="50">
        <f>E8/C8</f>
        <v>3.4145810250903366E-2</v>
      </c>
    </row>
    <row r="9" spans="2:6" ht="15.75" x14ac:dyDescent="0.25">
      <c r="B9" s="181">
        <v>0.5</v>
      </c>
      <c r="C9" s="107">
        <v>7.0759454883143711</v>
      </c>
      <c r="D9" s="114">
        <v>9.2172263554919823E-2</v>
      </c>
      <c r="E9" s="114">
        <f>2.596*D9</f>
        <v>0.23927919618857188</v>
      </c>
      <c r="F9" s="115">
        <f>E9/C9</f>
        <v>3.3815862005117409E-2</v>
      </c>
    </row>
    <row r="10" spans="2:6" ht="15.75" x14ac:dyDescent="0.25">
      <c r="B10" s="187">
        <v>1</v>
      </c>
      <c r="C10" s="107">
        <v>9.0775771843511723</v>
      </c>
      <c r="D10" s="114">
        <v>0.11539690008080532</v>
      </c>
      <c r="E10" s="114">
        <f t="shared" ref="E10:E72" si="0">2.596*D10</f>
        <v>0.29957035260977061</v>
      </c>
      <c r="F10" s="115">
        <f t="shared" ref="F10:F72" si="1">E10/C10</f>
        <v>3.3001135272768566E-2</v>
      </c>
    </row>
    <row r="11" spans="2:6" s="145" customFormat="1" ht="15.75" x14ac:dyDescent="0.25">
      <c r="B11" s="188">
        <v>1.5</v>
      </c>
      <c r="C11" s="48">
        <v>10.85867141433374</v>
      </c>
      <c r="D11" s="49">
        <v>0.13503724018590912</v>
      </c>
      <c r="E11" s="49">
        <f t="shared" si="0"/>
        <v>0.3505566755226201</v>
      </c>
      <c r="F11" s="50">
        <f t="shared" si="1"/>
        <v>3.2283569706315615E-2</v>
      </c>
    </row>
    <row r="12" spans="2:6" ht="15.75" x14ac:dyDescent="0.25">
      <c r="B12" s="188">
        <v>2</v>
      </c>
      <c r="C12" s="48">
        <v>12.469385771384614</v>
      </c>
      <c r="D12" s="49">
        <v>0.15245716192160763</v>
      </c>
      <c r="E12" s="49">
        <f t="shared" si="0"/>
        <v>0.39577879234849345</v>
      </c>
      <c r="F12" s="50">
        <f t="shared" si="1"/>
        <v>3.1740039133021848E-2</v>
      </c>
    </row>
    <row r="13" spans="2:6" ht="15.75" x14ac:dyDescent="0.25">
      <c r="B13" s="188">
        <v>3</v>
      </c>
      <c r="C13" s="48">
        <v>15.33180604994063</v>
      </c>
      <c r="D13" s="49">
        <v>0.18363266144242235</v>
      </c>
      <c r="E13" s="49">
        <f t="shared" si="0"/>
        <v>0.47671038910452845</v>
      </c>
      <c r="F13" s="50">
        <f t="shared" si="1"/>
        <v>3.1092905007520263E-2</v>
      </c>
    </row>
    <row r="14" spans="2:6" ht="15.75" x14ac:dyDescent="0.25">
      <c r="B14" s="188">
        <v>4</v>
      </c>
      <c r="C14" s="48">
        <v>17.908606982755128</v>
      </c>
      <c r="D14" s="49">
        <v>0.23849014865231646</v>
      </c>
      <c r="E14" s="49">
        <f t="shared" si="0"/>
        <v>0.61912042590141358</v>
      </c>
      <c r="F14" s="50">
        <f t="shared" si="1"/>
        <v>3.457111022077753E-2</v>
      </c>
    </row>
    <row r="15" spans="2:6" s="145" customFormat="1" ht="15.75" x14ac:dyDescent="0.25">
      <c r="B15" s="188">
        <v>4.5</v>
      </c>
      <c r="C15" s="48">
        <v>19.148095016301134</v>
      </c>
      <c r="D15" s="49">
        <v>0.26521513228910698</v>
      </c>
      <c r="E15" s="49">
        <f t="shared" si="0"/>
        <v>0.68849848342252173</v>
      </c>
      <c r="F15" s="50">
        <f t="shared" si="1"/>
        <v>3.5956500259497877E-2</v>
      </c>
    </row>
    <row r="16" spans="2:6" ht="15.75" x14ac:dyDescent="0.25">
      <c r="B16" s="187">
        <v>5</v>
      </c>
      <c r="C16" s="107">
        <v>20.38127759653889</v>
      </c>
      <c r="D16" s="114">
        <v>0.29157192331503556</v>
      </c>
      <c r="E16" s="114">
        <f t="shared" si="0"/>
        <v>0.7569207129258323</v>
      </c>
      <c r="F16" s="115">
        <f t="shared" si="1"/>
        <v>3.7138040505094297E-2</v>
      </c>
    </row>
    <row r="17" spans="2:6" ht="15.75" x14ac:dyDescent="0.25">
      <c r="B17" s="188">
        <v>6</v>
      </c>
      <c r="C17" s="48">
        <v>22.899044891228044</v>
      </c>
      <c r="D17" s="49">
        <v>0.34385500077149461</v>
      </c>
      <c r="E17" s="49">
        <f t="shared" si="0"/>
        <v>0.89264758200280003</v>
      </c>
      <c r="F17" s="50">
        <f t="shared" si="1"/>
        <v>3.8981869603860519E-2</v>
      </c>
    </row>
    <row r="18" spans="2:6" ht="15.75" x14ac:dyDescent="0.25">
      <c r="B18" s="188">
        <v>7</v>
      </c>
      <c r="C18" s="48">
        <v>25.592430754887268</v>
      </c>
      <c r="D18" s="49">
        <v>0.3969271240752284</v>
      </c>
      <c r="E18" s="49">
        <f t="shared" si="0"/>
        <v>1.030422814099293</v>
      </c>
      <c r="F18" s="50">
        <f t="shared" si="1"/>
        <v>4.026279582303912E-2</v>
      </c>
    </row>
    <row r="19" spans="2:6" ht="15.75" x14ac:dyDescent="0.25">
      <c r="B19" s="188">
        <v>8</v>
      </c>
      <c r="C19" s="48">
        <v>28.575820928596343</v>
      </c>
      <c r="D19" s="49">
        <v>0.45245326401111019</v>
      </c>
      <c r="E19" s="49">
        <f t="shared" si="0"/>
        <v>1.174568673372842</v>
      </c>
      <c r="F19" s="50">
        <f t="shared" si="1"/>
        <v>4.1103584611192387E-2</v>
      </c>
    </row>
    <row r="20" spans="2:6" ht="15.75" x14ac:dyDescent="0.25">
      <c r="B20" s="188">
        <v>9</v>
      </c>
      <c r="C20" s="48">
        <v>31.940959644573518</v>
      </c>
      <c r="D20" s="49">
        <v>0.51184173582702386</v>
      </c>
      <c r="E20" s="49">
        <f t="shared" si="0"/>
        <v>1.328741146206954</v>
      </c>
      <c r="F20" s="50">
        <f t="shared" si="1"/>
        <v>4.159991312072852E-2</v>
      </c>
    </row>
    <row r="21" spans="2:6" ht="15.75" x14ac:dyDescent="0.25">
      <c r="B21" s="187">
        <v>10</v>
      </c>
      <c r="C21" s="107">
        <v>35.742930987515741</v>
      </c>
      <c r="D21" s="114">
        <v>0.57597520368579913</v>
      </c>
      <c r="E21" s="114">
        <f t="shared" si="0"/>
        <v>1.4952316287683345</v>
      </c>
      <c r="F21" s="115">
        <f t="shared" si="1"/>
        <v>4.183293276342076E-2</v>
      </c>
    </row>
    <row r="22" spans="2:6" s="145" customFormat="1" ht="15.75" x14ac:dyDescent="0.25">
      <c r="B22" s="188">
        <v>10.5</v>
      </c>
      <c r="C22" s="48">
        <v>37.81048562869546</v>
      </c>
      <c r="D22" s="49">
        <v>0.60990794925821268</v>
      </c>
      <c r="E22" s="49">
        <f t="shared" si="0"/>
        <v>1.5833210362743202</v>
      </c>
      <c r="F22" s="50">
        <f t="shared" si="1"/>
        <v>4.1875183826591549E-2</v>
      </c>
    </row>
    <row r="23" spans="2:6" ht="15.75" x14ac:dyDescent="0.25">
      <c r="B23" s="188">
        <v>11</v>
      </c>
      <c r="C23" s="48">
        <v>39.982278220873482</v>
      </c>
      <c r="D23" s="49">
        <v>0.64504680643532875</v>
      </c>
      <c r="E23" s="49">
        <f t="shared" si="0"/>
        <v>1.6745415095061136</v>
      </c>
      <c r="F23" s="50">
        <f t="shared" si="1"/>
        <v>4.1882093367853375E-2</v>
      </c>
    </row>
    <row r="24" spans="2:6" ht="15.75" x14ac:dyDescent="0.25">
      <c r="B24" s="188">
        <v>12</v>
      </c>
      <c r="C24" s="48">
        <v>44.590410457317788</v>
      </c>
      <c r="D24" s="49">
        <v>0.7187276062812642</v>
      </c>
      <c r="E24" s="49">
        <f t="shared" si="0"/>
        <v>1.865816865906162</v>
      </c>
      <c r="F24" s="50">
        <f t="shared" si="1"/>
        <v>4.1843455728942734E-2</v>
      </c>
    </row>
    <row r="25" spans="2:6" ht="15.75" x14ac:dyDescent="0.25">
      <c r="B25" s="188">
        <v>13</v>
      </c>
      <c r="C25" s="48">
        <v>49.42771554129417</v>
      </c>
      <c r="D25" s="49">
        <v>0.79710355011046941</v>
      </c>
      <c r="E25" s="49">
        <f t="shared" si="0"/>
        <v>2.0692808160867786</v>
      </c>
      <c r="F25" s="50">
        <f t="shared" si="1"/>
        <v>4.1864787668732271E-2</v>
      </c>
    </row>
    <row r="26" spans="2:6" ht="15.75" x14ac:dyDescent="0.25">
      <c r="B26" s="188">
        <v>14</v>
      </c>
      <c r="C26" s="48">
        <v>54.301228570926213</v>
      </c>
      <c r="D26" s="49">
        <v>0.88178020540969138</v>
      </c>
      <c r="E26" s="49">
        <f t="shared" si="0"/>
        <v>2.289101413243559</v>
      </c>
      <c r="F26" s="50">
        <f t="shared" si="1"/>
        <v>4.2155609983181526E-2</v>
      </c>
    </row>
    <row r="27" spans="2:6" ht="15.75" x14ac:dyDescent="0.25">
      <c r="B27" s="188">
        <v>15</v>
      </c>
      <c r="C27" s="48">
        <v>59.000130386011627</v>
      </c>
      <c r="D27" s="49">
        <v>0.97013573671724451</v>
      </c>
      <c r="E27" s="49">
        <f t="shared" si="0"/>
        <v>2.5184723725179667</v>
      </c>
      <c r="F27" s="50">
        <f t="shared" si="1"/>
        <v>4.2685878082653742E-2</v>
      </c>
    </row>
    <row r="28" spans="2:6" ht="15.75" x14ac:dyDescent="0.25">
      <c r="B28" s="188">
        <v>16</v>
      </c>
      <c r="C28" s="48">
        <v>63.337294009498862</v>
      </c>
      <c r="D28" s="49">
        <v>1.0482111009242501</v>
      </c>
      <c r="E28" s="49">
        <f t="shared" si="0"/>
        <v>2.7211560179993532</v>
      </c>
      <c r="F28" s="50">
        <f t="shared" si="1"/>
        <v>4.2962934564133012E-2</v>
      </c>
    </row>
    <row r="29" spans="2:6" ht="15.75" x14ac:dyDescent="0.25">
      <c r="B29" s="188">
        <v>17</v>
      </c>
      <c r="C29" s="48">
        <v>67.181288947144452</v>
      </c>
      <c r="D29" s="49">
        <v>1.1102043196325924</v>
      </c>
      <c r="E29" s="49">
        <f t="shared" si="0"/>
        <v>2.88209041376621</v>
      </c>
      <c r="F29" s="50">
        <f t="shared" si="1"/>
        <v>4.2900195261715256E-2</v>
      </c>
    </row>
    <row r="30" spans="2:6" ht="15.75" x14ac:dyDescent="0.25">
      <c r="B30" s="188">
        <v>18</v>
      </c>
      <c r="C30" s="48">
        <v>70.468950673819393</v>
      </c>
      <c r="D30" s="49">
        <v>1.1602435077758075</v>
      </c>
      <c r="E30" s="49">
        <f t="shared" si="0"/>
        <v>3.0119921461859964</v>
      </c>
      <c r="F30" s="50">
        <f t="shared" si="1"/>
        <v>4.2742117164872313E-2</v>
      </c>
    </row>
    <row r="31" spans="2:6" ht="15.75" x14ac:dyDescent="0.25">
      <c r="B31" s="188">
        <v>19</v>
      </c>
      <c r="C31" s="48">
        <v>73.198958370421622</v>
      </c>
      <c r="D31" s="49">
        <v>1.2014073555310363</v>
      </c>
      <c r="E31" s="49">
        <f t="shared" si="0"/>
        <v>3.1188534949585702</v>
      </c>
      <c r="F31" s="50">
        <f t="shared" si="1"/>
        <v>4.2607894489094841E-2</v>
      </c>
    </row>
    <row r="32" spans="2:6" ht="15.75" x14ac:dyDescent="0.25">
      <c r="B32" s="188">
        <v>20</v>
      </c>
      <c r="C32" s="48">
        <v>75.414214512323156</v>
      </c>
      <c r="D32" s="49">
        <v>1.2287772380177693</v>
      </c>
      <c r="E32" s="49">
        <f t="shared" si="0"/>
        <v>3.1899057098941292</v>
      </c>
      <c r="F32" s="50">
        <f t="shared" si="1"/>
        <v>4.2298467610146342E-2</v>
      </c>
    </row>
    <row r="33" spans="2:6" ht="15.75" x14ac:dyDescent="0.25">
      <c r="B33" s="188">
        <v>21</v>
      </c>
      <c r="C33" s="48">
        <v>77.181939133707928</v>
      </c>
      <c r="D33" s="49">
        <v>1.247591451207354</v>
      </c>
      <c r="E33" s="49">
        <f t="shared" si="0"/>
        <v>3.2387474073342912</v>
      </c>
      <c r="F33" s="50">
        <f t="shared" si="1"/>
        <v>4.1962503711180044E-2</v>
      </c>
    </row>
    <row r="34" spans="2:6" ht="15.75" x14ac:dyDescent="0.25">
      <c r="B34" s="188">
        <v>22</v>
      </c>
      <c r="C34" s="48">
        <v>78.577305924346987</v>
      </c>
      <c r="D34" s="49">
        <v>1.266936601551051</v>
      </c>
      <c r="E34" s="49">
        <f t="shared" si="0"/>
        <v>3.2889674176265284</v>
      </c>
      <c r="F34" s="50">
        <f t="shared" si="1"/>
        <v>4.185645434055852E-2</v>
      </c>
    </row>
    <row r="35" spans="2:6" ht="15.75" x14ac:dyDescent="0.25">
      <c r="B35" s="188">
        <v>23</v>
      </c>
      <c r="C35" s="48">
        <v>79.672650885769443</v>
      </c>
      <c r="D35" s="49">
        <v>1.2812201213863608</v>
      </c>
      <c r="E35" s="49">
        <f t="shared" si="0"/>
        <v>3.3260474351189928</v>
      </c>
      <c r="F35" s="50">
        <f t="shared" si="1"/>
        <v>4.1746413582845497E-2</v>
      </c>
    </row>
    <row r="36" spans="2:6" ht="15.75" x14ac:dyDescent="0.25">
      <c r="B36" s="188">
        <v>24</v>
      </c>
      <c r="C36" s="48">
        <v>80.531777651930497</v>
      </c>
      <c r="D36" s="49">
        <v>1.2917165624548244</v>
      </c>
      <c r="E36" s="49">
        <f t="shared" si="0"/>
        <v>3.3532961961327241</v>
      </c>
      <c r="F36" s="50">
        <f t="shared" si="1"/>
        <v>4.1639416065371547E-2</v>
      </c>
    </row>
    <row r="37" spans="2:6" ht="15.75" x14ac:dyDescent="0.25">
      <c r="B37" s="187">
        <v>25</v>
      </c>
      <c r="C37" s="107">
        <v>81.207903119037354</v>
      </c>
      <c r="D37" s="107">
        <v>1.2994017261728845</v>
      </c>
      <c r="E37" s="114">
        <f t="shared" si="0"/>
        <v>3.3732468811448082</v>
      </c>
      <c r="F37" s="115">
        <f t="shared" si="1"/>
        <v>4.1538406381460016E-2</v>
      </c>
    </row>
    <row r="38" spans="2:6" ht="15.75" x14ac:dyDescent="0.25">
      <c r="B38" s="188">
        <v>26</v>
      </c>
      <c r="C38" s="48">
        <v>81.795109593252207</v>
      </c>
      <c r="D38" s="49">
        <v>1.3056880442780432</v>
      </c>
      <c r="E38" s="49">
        <f t="shared" si="0"/>
        <v>3.3895661629458003</v>
      </c>
      <c r="F38" s="50">
        <f t="shared" si="1"/>
        <v>4.1439716626107764E-2</v>
      </c>
    </row>
    <row r="39" spans="2:6" ht="15.75" x14ac:dyDescent="0.25">
      <c r="B39" s="188">
        <v>27</v>
      </c>
      <c r="C39" s="48">
        <v>82.419966322202043</v>
      </c>
      <c r="D39" s="49">
        <v>1.3122904459815734</v>
      </c>
      <c r="E39" s="49">
        <f t="shared" si="0"/>
        <v>3.4067059977681646</v>
      </c>
      <c r="F39" s="50">
        <f t="shared" si="1"/>
        <v>4.1333503879999477E-2</v>
      </c>
    </row>
    <row r="40" spans="2:6" ht="15.75" x14ac:dyDescent="0.25">
      <c r="B40" s="188">
        <v>28</v>
      </c>
      <c r="C40" s="48">
        <v>83.014032621830779</v>
      </c>
      <c r="D40" s="49">
        <v>1.3183053466778165</v>
      </c>
      <c r="E40" s="49">
        <f t="shared" si="0"/>
        <v>3.4223206799756118</v>
      </c>
      <c r="F40" s="50">
        <f t="shared" si="1"/>
        <v>4.1225809322695407E-2</v>
      </c>
    </row>
    <row r="41" spans="2:6" ht="15.75" x14ac:dyDescent="0.25">
      <c r="B41" s="188">
        <v>29</v>
      </c>
      <c r="C41" s="48">
        <v>83.57754952483802</v>
      </c>
      <c r="D41" s="49">
        <v>1.3237592038523986</v>
      </c>
      <c r="E41" s="49">
        <f t="shared" si="0"/>
        <v>3.4364788932008272</v>
      </c>
      <c r="F41" s="50">
        <f t="shared" si="1"/>
        <v>4.111724874368991E-2</v>
      </c>
    </row>
    <row r="42" spans="2:6" ht="15.75" x14ac:dyDescent="0.25">
      <c r="B42" s="188">
        <v>30</v>
      </c>
      <c r="C42" s="48">
        <v>84.110758063923285</v>
      </c>
      <c r="D42" s="49">
        <v>1.3286777727909496</v>
      </c>
      <c r="E42" s="49">
        <f t="shared" si="0"/>
        <v>3.4492474981653052</v>
      </c>
      <c r="F42" s="50">
        <f t="shared" si="1"/>
        <v>4.1008398658634294E-2</v>
      </c>
    </row>
    <row r="43" spans="2:6" ht="15.75" x14ac:dyDescent="0.25">
      <c r="B43" s="188">
        <v>31</v>
      </c>
      <c r="C43" s="48">
        <v>84.613899271786181</v>
      </c>
      <c r="D43" s="49">
        <v>1.3330860243425757</v>
      </c>
      <c r="E43" s="49">
        <f t="shared" si="0"/>
        <v>3.4606913191933266</v>
      </c>
      <c r="F43" s="50">
        <f t="shared" si="1"/>
        <v>4.0899797184352972E-2</v>
      </c>
    </row>
    <row r="44" spans="2:6" ht="15.75" x14ac:dyDescent="0.25">
      <c r="B44" s="188">
        <v>32</v>
      </c>
      <c r="C44" s="48">
        <v>85.0872141811262</v>
      </c>
      <c r="D44" s="49">
        <v>1.3370080708938747</v>
      </c>
      <c r="E44" s="49">
        <f t="shared" si="0"/>
        <v>3.4708729520404988</v>
      </c>
      <c r="F44" s="50">
        <f t="shared" si="1"/>
        <v>4.0791944893765225E-2</v>
      </c>
    </row>
    <row r="45" spans="2:6" ht="15.75" x14ac:dyDescent="0.25">
      <c r="B45" s="188">
        <v>33</v>
      </c>
      <c r="C45" s="48">
        <v>85.530943824642932</v>
      </c>
      <c r="D45" s="49">
        <v>1.3404671005213071</v>
      </c>
      <c r="E45" s="49">
        <f t="shared" si="0"/>
        <v>3.4798525929533133</v>
      </c>
      <c r="F45" s="50">
        <f t="shared" si="1"/>
        <v>4.0685305660694789E-2</v>
      </c>
    </row>
    <row r="46" spans="2:6" ht="15.75" x14ac:dyDescent="0.25">
      <c r="B46" s="188">
        <v>34</v>
      </c>
      <c r="C46" s="48">
        <v>85.945329235035928</v>
      </c>
      <c r="D46" s="49">
        <v>1.343485319065794</v>
      </c>
      <c r="E46" s="49">
        <f t="shared" si="0"/>
        <v>3.4876878882948015</v>
      </c>
      <c r="F46" s="50">
        <f t="shared" si="1"/>
        <v>4.0580307497071436E-2</v>
      </c>
    </row>
    <row r="47" spans="2:6" ht="15.75" x14ac:dyDescent="0.25">
      <c r="B47" s="188">
        <v>35</v>
      </c>
      <c r="C47" s="48">
        <v>86.330611445004706</v>
      </c>
      <c r="D47" s="49">
        <v>1.3460838998213065</v>
      </c>
      <c r="E47" s="49">
        <f t="shared" si="0"/>
        <v>3.4944338039361118</v>
      </c>
      <c r="F47" s="50">
        <f t="shared" si="1"/>
        <v>4.0477343383142551E-2</v>
      </c>
    </row>
    <row r="48" spans="2:6" ht="15.75" x14ac:dyDescent="0.25">
      <c r="B48" s="188">
        <v>36</v>
      </c>
      <c r="C48" s="48">
        <v>86.687031487248888</v>
      </c>
      <c r="D48" s="49">
        <v>1.3482829405210464</v>
      </c>
      <c r="E48" s="49">
        <f t="shared" si="0"/>
        <v>3.5001425135926363</v>
      </c>
      <c r="F48" s="50">
        <f t="shared" si="1"/>
        <v>4.0376772090845968E-2</v>
      </c>
    </row>
    <row r="49" spans="2:6" ht="15.75" x14ac:dyDescent="0.25">
      <c r="B49" s="188">
        <v>37</v>
      </c>
      <c r="C49" s="48">
        <v>87.014830394467978</v>
      </c>
      <c r="D49" s="49">
        <v>1.3501014273076415</v>
      </c>
      <c r="E49" s="49">
        <f t="shared" si="0"/>
        <v>3.5048633052906375</v>
      </c>
      <c r="F49" s="50">
        <f t="shared" si="1"/>
        <v>4.0278919000380671E-2</v>
      </c>
    </row>
    <row r="50" spans="2:6" ht="15.75" x14ac:dyDescent="0.25">
      <c r="B50" s="188">
        <v>38</v>
      </c>
      <c r="C50" s="48">
        <v>87.314249199361527</v>
      </c>
      <c r="D50" s="49">
        <v>1.3515572053792777</v>
      </c>
      <c r="E50" s="49">
        <f t="shared" si="0"/>
        <v>3.5086425051646049</v>
      </c>
      <c r="F50" s="50">
        <f t="shared" si="1"/>
        <v>4.0184076909983456E-2</v>
      </c>
    </row>
    <row r="51" spans="2:6" ht="15.75" x14ac:dyDescent="0.25">
      <c r="B51" s="188">
        <v>39</v>
      </c>
      <c r="C51" s="48">
        <v>87.58552893462911</v>
      </c>
      <c r="D51" s="49">
        <v>1.352666956009841</v>
      </c>
      <c r="E51" s="49">
        <f t="shared" si="0"/>
        <v>3.5115234178015475</v>
      </c>
      <c r="F51" s="50">
        <f t="shared" si="1"/>
        <v>4.0092506838914341E-2</v>
      </c>
    </row>
    <row r="52" spans="2:6" ht="15.75" x14ac:dyDescent="0.25">
      <c r="B52" s="188">
        <v>40</v>
      </c>
      <c r="C52" s="48">
        <v>87.828910632970278</v>
      </c>
      <c r="D52" s="49">
        <v>1.3534461796473598</v>
      </c>
      <c r="E52" s="49">
        <f t="shared" si="0"/>
        <v>3.5135462823645462</v>
      </c>
      <c r="F52" s="50">
        <f t="shared" si="1"/>
        <v>4.0004438823650727E-2</v>
      </c>
    </row>
    <row r="53" spans="2:6" ht="15.75" x14ac:dyDescent="0.25">
      <c r="B53" s="188">
        <v>41</v>
      </c>
      <c r="C53" s="48">
        <v>88.044635327084606</v>
      </c>
      <c r="D53" s="49">
        <v>1.3539091848012765</v>
      </c>
      <c r="E53" s="49">
        <f t="shared" si="0"/>
        <v>3.5147482437441142</v>
      </c>
      <c r="F53" s="50">
        <f t="shared" si="1"/>
        <v>3.9920072707290713E-2</v>
      </c>
    </row>
    <row r="54" spans="2:6" ht="15.75" x14ac:dyDescent="0.25">
      <c r="B54" s="188">
        <v>42</v>
      </c>
      <c r="C54" s="48">
        <v>88.232944049671602</v>
      </c>
      <c r="D54" s="49">
        <v>1.3540690824352464</v>
      </c>
      <c r="E54" s="49">
        <f t="shared" si="0"/>
        <v>3.5151633380018996</v>
      </c>
      <c r="F54" s="50">
        <f t="shared" si="1"/>
        <v>3.9839578922165442E-2</v>
      </c>
    </row>
    <row r="55" spans="2:6" ht="15.75" x14ac:dyDescent="0.25">
      <c r="B55" s="188">
        <v>43</v>
      </c>
      <c r="C55" s="48">
        <v>88.394077833430842</v>
      </c>
      <c r="D55" s="49">
        <v>1.3539377855882959</v>
      </c>
      <c r="E55" s="49">
        <f t="shared" si="0"/>
        <v>3.5148224913872164</v>
      </c>
      <c r="F55" s="50">
        <f t="shared" si="1"/>
        <v>3.9763099265660337E-2</v>
      </c>
    </row>
    <row r="56" spans="2:6" ht="15.75" x14ac:dyDescent="0.25">
      <c r="B56" s="188">
        <v>44</v>
      </c>
      <c r="C56" s="48">
        <v>88.528277711061889</v>
      </c>
      <c r="D56" s="49">
        <v>1.3535260139532608</v>
      </c>
      <c r="E56" s="49">
        <f t="shared" si="0"/>
        <v>3.513753532222665</v>
      </c>
      <c r="F56" s="50">
        <f t="shared" si="1"/>
        <v>3.9690747669245692E-2</v>
      </c>
    </row>
    <row r="57" spans="2:6" ht="15.75" x14ac:dyDescent="0.25">
      <c r="B57" s="188">
        <v>45</v>
      </c>
      <c r="C57" s="48">
        <v>88.635784715264279</v>
      </c>
      <c r="D57" s="49">
        <v>1.3528433031474243</v>
      </c>
      <c r="E57" s="49">
        <f t="shared" si="0"/>
        <v>3.5119812149707137</v>
      </c>
      <c r="F57" s="50">
        <f t="shared" si="1"/>
        <v>3.9622610960716217E-2</v>
      </c>
    </row>
    <row r="58" spans="2:6" ht="15.75" x14ac:dyDescent="0.25">
      <c r="B58" s="188">
        <v>46</v>
      </c>
      <c r="C58" s="48">
        <v>88.716839878737574</v>
      </c>
      <c r="D58" s="49">
        <v>1.351898018416269</v>
      </c>
      <c r="E58" s="49">
        <f t="shared" si="0"/>
        <v>3.5095272558086346</v>
      </c>
      <c r="F58" s="50">
        <f t="shared" si="1"/>
        <v>3.9558749619639566E-2</v>
      </c>
    </row>
    <row r="59" spans="2:6" ht="15.75" x14ac:dyDescent="0.25">
      <c r="B59" s="188">
        <v>47</v>
      </c>
      <c r="C59" s="48">
        <v>88.771684234181336</v>
      </c>
      <c r="D59" s="49">
        <v>1.3506973725171623</v>
      </c>
      <c r="E59" s="49">
        <f t="shared" si="0"/>
        <v>3.5064103790545533</v>
      </c>
      <c r="F59" s="50">
        <f t="shared" si="1"/>
        <v>3.9499198526013975E-2</v>
      </c>
    </row>
    <row r="60" spans="2:6" ht="15.75" x14ac:dyDescent="0.25">
      <c r="B60" s="188">
        <v>48</v>
      </c>
      <c r="C60" s="48">
        <v>88.80055881429513</v>
      </c>
      <c r="D60" s="49">
        <v>1.3492474475356757</v>
      </c>
      <c r="E60" s="49">
        <f t="shared" si="0"/>
        <v>3.5026463738026141</v>
      </c>
      <c r="F60" s="50">
        <f t="shared" si="1"/>
        <v>3.9443967702135201E-2</v>
      </c>
    </row>
    <row r="61" spans="2:6" ht="15.75" x14ac:dyDescent="0.25">
      <c r="B61" s="188">
        <v>49</v>
      </c>
      <c r="C61" s="48">
        <v>88.803704651778489</v>
      </c>
      <c r="D61" s="49">
        <v>1.3475532203930149</v>
      </c>
      <c r="E61" s="49">
        <f t="shared" si="0"/>
        <v>3.4982481601402671</v>
      </c>
      <c r="F61" s="50">
        <f t="shared" si="1"/>
        <v>3.9393043047672077E-2</v>
      </c>
    </row>
    <row r="62" spans="2:6" ht="15.75" x14ac:dyDescent="0.25">
      <c r="B62" s="188">
        <v>50</v>
      </c>
      <c r="C62" s="48">
        <v>88.781362779330948</v>
      </c>
      <c r="D62" s="49">
        <v>1.3456185918088559</v>
      </c>
      <c r="E62" s="49">
        <f t="shared" si="0"/>
        <v>3.4932258643357899</v>
      </c>
      <c r="F62" s="50">
        <f t="shared" si="1"/>
        <v>3.9346387067951634E-2</v>
      </c>
    </row>
    <row r="63" spans="2:6" ht="15.75" x14ac:dyDescent="0.25">
      <c r="B63" s="188">
        <v>51</v>
      </c>
      <c r="C63" s="48">
        <v>88.733774229652099</v>
      </c>
      <c r="D63" s="49">
        <v>1.3434464184895236</v>
      </c>
      <c r="E63" s="49">
        <f t="shared" si="0"/>
        <v>3.4875869023988035</v>
      </c>
      <c r="F63" s="50">
        <f t="shared" si="1"/>
        <v>3.9303939595452926E-2</v>
      </c>
    </row>
    <row r="64" spans="2:6" ht="15.75" x14ac:dyDescent="0.25">
      <c r="B64" s="188">
        <v>52</v>
      </c>
      <c r="C64" s="48">
        <v>88.661180035441461</v>
      </c>
      <c r="D64" s="49">
        <v>1.3410385483171527</v>
      </c>
      <c r="E64" s="49">
        <f t="shared" si="0"/>
        <v>3.4813360714313286</v>
      </c>
      <c r="F64" s="50">
        <f t="shared" si="1"/>
        <v>3.9265618504510068E-2</v>
      </c>
    </row>
    <row r="65" spans="2:6" ht="15.75" x14ac:dyDescent="0.25">
      <c r="B65" s="188">
        <v>53</v>
      </c>
      <c r="C65" s="48">
        <v>88.563821229398641</v>
      </c>
      <c r="D65" s="49">
        <v>1.3383958583210498</v>
      </c>
      <c r="E65" s="49">
        <f t="shared" si="0"/>
        <v>3.4744756482014454</v>
      </c>
      <c r="F65" s="50">
        <f t="shared" si="1"/>
        <v>3.9231320419224391E-2</v>
      </c>
    </row>
    <row r="66" spans="2:6" ht="15.75" x14ac:dyDescent="0.25">
      <c r="B66" s="188">
        <v>54</v>
      </c>
      <c r="C66" s="48">
        <v>88.441938844223145</v>
      </c>
      <c r="D66" s="49">
        <v>1.3355182952180176</v>
      </c>
      <c r="E66" s="49">
        <f t="shared" si="0"/>
        <v>3.4670054943859738</v>
      </c>
      <c r="F66" s="50">
        <f t="shared" si="1"/>
        <v>3.920092141458556E-2</v>
      </c>
    </row>
    <row r="67" spans="2:6" ht="15.75" x14ac:dyDescent="0.25">
      <c r="B67" s="188">
        <v>55</v>
      </c>
      <c r="C67" s="48">
        <v>88.295773912614564</v>
      </c>
      <c r="D67" s="49">
        <v>1.3324049183139215</v>
      </c>
      <c r="E67" s="49">
        <f t="shared" si="0"/>
        <v>3.4589231679429404</v>
      </c>
      <c r="F67" s="50">
        <f t="shared" si="1"/>
        <v>3.9174277710801897E-2</v>
      </c>
    </row>
    <row r="68" spans="2:6" ht="15.75" x14ac:dyDescent="0.25">
      <c r="B68" s="188">
        <v>56</v>
      </c>
      <c r="C68" s="48">
        <v>88.12556746727239</v>
      </c>
      <c r="D68" s="49">
        <v>1.3290539445641854</v>
      </c>
      <c r="E68" s="49">
        <f t="shared" si="0"/>
        <v>3.4502240400886253</v>
      </c>
      <c r="F68" s="50">
        <f t="shared" si="1"/>
        <v>3.9151226360839619E-2</v>
      </c>
    </row>
    <row r="69" spans="2:6" ht="15.75" x14ac:dyDescent="0.25">
      <c r="B69" s="188">
        <v>57</v>
      </c>
      <c r="C69" s="48">
        <v>87.931560540896228</v>
      </c>
      <c r="D69" s="49">
        <v>1.3254627955963272</v>
      </c>
      <c r="E69" s="49">
        <f t="shared" si="0"/>
        <v>3.4409014173680657</v>
      </c>
      <c r="F69" s="50">
        <f t="shared" si="1"/>
        <v>3.9131585931171227E-2</v>
      </c>
    </row>
    <row r="70" spans="2:6" ht="15.75" x14ac:dyDescent="0.25">
      <c r="B70" s="188">
        <v>58</v>
      </c>
      <c r="C70" s="48">
        <v>87.713994166185643</v>
      </c>
      <c r="D70" s="49">
        <v>1.3216281465029598</v>
      </c>
      <c r="E70" s="49">
        <f t="shared" si="0"/>
        <v>3.4309466683216838</v>
      </c>
      <c r="F70" s="50">
        <f t="shared" si="1"/>
        <v>3.9115157175733058E-2</v>
      </c>
    </row>
    <row r="71" spans="2:6" ht="15.75" x14ac:dyDescent="0.25">
      <c r="B71" s="188">
        <v>59</v>
      </c>
      <c r="C71" s="48">
        <v>87.473109375840153</v>
      </c>
      <c r="D71" s="49">
        <v>1.3175459762189596</v>
      </c>
      <c r="E71" s="49">
        <f t="shared" si="0"/>
        <v>3.4203493542644194</v>
      </c>
      <c r="F71" s="50">
        <f t="shared" si="1"/>
        <v>3.9101723703091673E-2</v>
      </c>
    </row>
    <row r="72" spans="2:6" ht="15.75" x14ac:dyDescent="0.25">
      <c r="B72" s="188">
        <v>60</v>
      </c>
      <c r="C72" s="48">
        <v>87.209147202559322</v>
      </c>
      <c r="D72" s="49">
        <v>1.3132116193017696</v>
      </c>
      <c r="E72" s="49">
        <f t="shared" si="0"/>
        <v>3.409097363707394</v>
      </c>
      <c r="F72" s="50">
        <f t="shared" si="1"/>
        <v>3.9091052636819584E-2</v>
      </c>
    </row>
    <row r="73" spans="2:6" x14ac:dyDescent="0.25">
      <c r="C73">
        <v>87.162800592504169</v>
      </c>
    </row>
    <row r="74" spans="2:6" x14ac:dyDescent="0.25">
      <c r="C74">
        <v>86.852550880179734</v>
      </c>
    </row>
    <row r="75" spans="2:6" x14ac:dyDescent="0.25">
      <c r="C75">
        <v>86.519885044715295</v>
      </c>
    </row>
    <row r="76" spans="2:6" x14ac:dyDescent="0.25">
      <c r="C76">
        <v>86.165044785575333</v>
      </c>
    </row>
    <row r="77" spans="2:6" x14ac:dyDescent="0.25">
      <c r="C77">
        <v>85.788271802224372</v>
      </c>
    </row>
    <row r="78" spans="2:6" x14ac:dyDescent="0.25">
      <c r="C78">
        <v>85.389807794126881</v>
      </c>
    </row>
    <row r="79" spans="2:6" x14ac:dyDescent="0.25">
      <c r="C79">
        <v>84.969894460747312</v>
      </c>
    </row>
    <row r="80" spans="2:6" x14ac:dyDescent="0.25">
      <c r="C80">
        <v>84.528773501550205</v>
      </c>
    </row>
    <row r="81" spans="3:3" x14ac:dyDescent="0.25">
      <c r="C81">
        <v>84.06668661599997</v>
      </c>
    </row>
    <row r="82" spans="3:3" x14ac:dyDescent="0.25">
      <c r="C82">
        <v>83.583875503561146</v>
      </c>
    </row>
    <row r="83" spans="3:3" x14ac:dyDescent="0.25">
      <c r="C83">
        <v>83.080581863698214</v>
      </c>
    </row>
    <row r="84" spans="3:3" x14ac:dyDescent="0.25">
      <c r="C84">
        <v>82.557047395875657</v>
      </c>
    </row>
    <row r="85" spans="3:3" x14ac:dyDescent="0.25">
      <c r="C85">
        <v>82.013513799557941</v>
      </c>
    </row>
    <row r="86" spans="3:3" x14ac:dyDescent="0.25">
      <c r="C86">
        <v>81.450222774209578</v>
      </c>
    </row>
  </sheetData>
  <mergeCells count="2">
    <mergeCell ref="B2:D2"/>
    <mergeCell ref="B3:D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2:U89"/>
  <sheetViews>
    <sheetView zoomScale="70" zoomScaleNormal="70" workbookViewId="0">
      <selection activeCell="E8" sqref="E8:I8"/>
    </sheetView>
  </sheetViews>
  <sheetFormatPr defaultColWidth="9.140625" defaultRowHeight="15.75" x14ac:dyDescent="0.25"/>
  <cols>
    <col min="1" max="1" width="9.140625" style="29"/>
    <col min="2" max="2" width="26.42578125" style="29" customWidth="1"/>
    <col min="3" max="3" width="29" style="29" customWidth="1"/>
    <col min="4" max="4" width="28.7109375" style="29" customWidth="1"/>
    <col min="5" max="5" width="17.7109375" style="29" customWidth="1"/>
    <col min="6" max="6" width="9.140625" style="29"/>
    <col min="7" max="7" width="13.42578125" style="29" customWidth="1"/>
    <col min="8" max="8" width="13.140625" style="29" bestFit="1" customWidth="1"/>
    <col min="9" max="9" width="13.140625" style="29" customWidth="1"/>
    <col min="10" max="16384" width="9.140625" style="29"/>
  </cols>
  <sheetData>
    <row r="2" spans="2:21" ht="31.5" x14ac:dyDescent="0.25">
      <c r="B2" s="328" t="s">
        <v>143</v>
      </c>
      <c r="C2" s="329"/>
      <c r="D2" s="329"/>
    </row>
    <row r="3" spans="2:21" ht="51.75" customHeight="1" x14ac:dyDescent="0.25">
      <c r="B3" s="31" t="s">
        <v>37</v>
      </c>
      <c r="C3" s="34" t="s">
        <v>40</v>
      </c>
      <c r="D3" s="34" t="s">
        <v>144</v>
      </c>
      <c r="E3" s="189"/>
      <c r="F3" s="189"/>
    </row>
    <row r="4" spans="2:21" ht="63.75" customHeight="1" x14ac:dyDescent="0.25">
      <c r="B4" s="31" t="s">
        <v>38</v>
      </c>
      <c r="C4" s="34" t="s">
        <v>39</v>
      </c>
      <c r="D4" s="34" t="s">
        <v>145</v>
      </c>
    </row>
    <row r="6" spans="2:21" s="30" customFormat="1" x14ac:dyDescent="0.25"/>
    <row r="7" spans="2:21" s="30" customFormat="1" ht="39" customHeight="1" x14ac:dyDescent="0.25">
      <c r="B7" s="312" t="s">
        <v>32</v>
      </c>
      <c r="C7" s="312" t="s">
        <v>11</v>
      </c>
      <c r="D7" s="312" t="s">
        <v>41</v>
      </c>
      <c r="E7" s="324" t="s">
        <v>146</v>
      </c>
      <c r="F7" s="314" t="s">
        <v>75</v>
      </c>
      <c r="G7" s="319" t="s">
        <v>110</v>
      </c>
      <c r="H7" s="314" t="s">
        <v>137</v>
      </c>
      <c r="I7" s="314" t="s">
        <v>206</v>
      </c>
      <c r="S7" s="274" t="s">
        <v>207</v>
      </c>
      <c r="T7" s="275"/>
      <c r="U7" s="276"/>
    </row>
    <row r="8" spans="2:21" s="30" customFormat="1" x14ac:dyDescent="0.25">
      <c r="B8" s="233">
        <v>0.01</v>
      </c>
      <c r="C8" s="31">
        <v>0.30746587939305531</v>
      </c>
      <c r="D8" s="31">
        <v>0.35899999999999999</v>
      </c>
      <c r="E8" s="60">
        <f>(10^(1.2082 *LOG10(C8) + 3.2869)) * (1 + 0) * (1 - D8) / 1000</f>
        <v>0.29847934114297231</v>
      </c>
      <c r="F8" s="34">
        <v>4.8377925320663246</v>
      </c>
      <c r="G8" s="63">
        <f>E8/F8</f>
        <v>6.1697424840888207E-2</v>
      </c>
      <c r="H8" s="39">
        <f>G8/(1-D8)</f>
        <v>9.625183282509861E-2</v>
      </c>
      <c r="I8" s="39">
        <f>H8*F8</f>
        <v>0.46564639803895841</v>
      </c>
      <c r="S8" s="229"/>
      <c r="T8" s="230"/>
      <c r="U8" s="231"/>
    </row>
    <row r="9" spans="2:21" s="30" customFormat="1" ht="30" x14ac:dyDescent="0.25">
      <c r="B9" s="163">
        <v>0.5</v>
      </c>
      <c r="C9" s="124">
        <v>0.39990447720200034</v>
      </c>
      <c r="D9" s="83">
        <v>0.35899999999999999</v>
      </c>
      <c r="E9" s="104">
        <f>(10^(1.2082 *LOG10(C9) + 3.2869)) * (1 + 0) * (1 - D9) / 1000</f>
        <v>0.41005450782742564</v>
      </c>
      <c r="F9" s="104">
        <v>7.0759454883143711</v>
      </c>
      <c r="G9" s="123">
        <f>E9/F9</f>
        <v>5.7950489938710457E-2</v>
      </c>
      <c r="H9" s="124">
        <f>G9/(1-D9)</f>
        <v>9.04063805596107E-2</v>
      </c>
      <c r="I9" s="124">
        <f>H9*F9</f>
        <v>0.63971062063560935</v>
      </c>
      <c r="S9" s="183" t="s">
        <v>15</v>
      </c>
      <c r="T9" s="186" t="s">
        <v>208</v>
      </c>
      <c r="U9" s="183" t="s">
        <v>203</v>
      </c>
    </row>
    <row r="10" spans="2:21" s="30" customFormat="1" x14ac:dyDescent="0.25">
      <c r="B10" s="163">
        <v>1</v>
      </c>
      <c r="C10" s="124">
        <v>0.47084660528982764</v>
      </c>
      <c r="D10" s="83">
        <v>0.35899999999999999</v>
      </c>
      <c r="E10" s="104">
        <f t="shared" ref="E10:E36" si="0">(10^(1.2082 *LOG10(C10) + 3.2869)) * (1 + 0) * (1 - D10) / 1000</f>
        <v>0.49949480219677278</v>
      </c>
      <c r="F10" s="104">
        <v>9.0775771843511723</v>
      </c>
      <c r="G10" s="123">
        <f t="shared" ref="G10:G43" si="1">E10/F10</f>
        <v>5.5025123119619566E-2</v>
      </c>
      <c r="H10" s="124">
        <f t="shared" ref="H10:H72" si="2">G10/(1-D10)</f>
        <v>8.5842625771637385E-2</v>
      </c>
      <c r="I10" s="124">
        <f t="shared" ref="I10:I72" si="3">H10*F10</f>
        <v>0.77924306114941144</v>
      </c>
      <c r="S10" s="183" t="s">
        <v>201</v>
      </c>
      <c r="T10" s="183">
        <f>290/1000</f>
        <v>0.28999999999999998</v>
      </c>
      <c r="U10" s="183"/>
    </row>
    <row r="11" spans="2:21" s="30" customFormat="1" x14ac:dyDescent="0.25">
      <c r="B11" s="73">
        <v>1.5</v>
      </c>
      <c r="C11" s="39">
        <v>0.52754261550150172</v>
      </c>
      <c r="D11" s="35">
        <v>0.35899999999999999</v>
      </c>
      <c r="E11" s="60">
        <f t="shared" si="0"/>
        <v>0.57304615022922412</v>
      </c>
      <c r="F11" s="60">
        <v>10.85867141433374</v>
      </c>
      <c r="G11" s="63">
        <f t="shared" si="1"/>
        <v>5.2773136635554482E-2</v>
      </c>
      <c r="H11" s="39">
        <f t="shared" si="2"/>
        <v>8.2329386326918066E-2</v>
      </c>
      <c r="I11" s="39">
        <f t="shared" si="3"/>
        <v>0.89398775386774432</v>
      </c>
      <c r="S11" s="183"/>
      <c r="T11" s="183"/>
      <c r="U11" s="183"/>
    </row>
    <row r="12" spans="2:21" s="30" customFormat="1" x14ac:dyDescent="0.25">
      <c r="B12" s="73">
        <v>2</v>
      </c>
      <c r="C12" s="39">
        <v>0.57480035840260446</v>
      </c>
      <c r="D12" s="35">
        <v>0.34298785720000002</v>
      </c>
      <c r="E12" s="60">
        <f t="shared" si="0"/>
        <v>0.65151117925502189</v>
      </c>
      <c r="F12" s="60">
        <v>12.469385771384614</v>
      </c>
      <c r="G12" s="63">
        <f t="shared" si="1"/>
        <v>5.2248859021600182E-2</v>
      </c>
      <c r="H12" s="39">
        <f t="shared" si="2"/>
        <v>7.952495185085974E-2</v>
      </c>
      <c r="I12" s="39">
        <f t="shared" si="3"/>
        <v>0.99162730307915692</v>
      </c>
      <c r="S12" s="183">
        <v>1</v>
      </c>
      <c r="T12" s="183">
        <f>530/1000</f>
        <v>0.53</v>
      </c>
      <c r="U12" s="183">
        <v>0.8083159586078883</v>
      </c>
    </row>
    <row r="13" spans="2:21" s="30" customFormat="1" x14ac:dyDescent="0.25">
      <c r="B13" s="73">
        <v>3</v>
      </c>
      <c r="C13" s="39">
        <v>0.65137460787092616</v>
      </c>
      <c r="D13" s="35">
        <v>0.35030012205</v>
      </c>
      <c r="E13" s="60">
        <f t="shared" si="0"/>
        <v>0.74934737038406884</v>
      </c>
      <c r="F13" s="60">
        <v>15.33180604994063</v>
      </c>
      <c r="G13" s="63">
        <f t="shared" si="1"/>
        <v>4.8875348927791232E-2</v>
      </c>
      <c r="H13" s="39">
        <f t="shared" si="2"/>
        <v>7.5227579050819227E-2</v>
      </c>
      <c r="I13" s="39">
        <f t="shared" si="3"/>
        <v>1.1533746516137371</v>
      </c>
      <c r="S13" s="183">
        <v>5</v>
      </c>
      <c r="T13" s="183">
        <f>1500/1000</f>
        <v>1.5</v>
      </c>
      <c r="U13" s="183">
        <v>1.5355786392862392</v>
      </c>
    </row>
    <row r="14" spans="2:21" s="30" customFormat="1" x14ac:dyDescent="0.25">
      <c r="B14" s="73">
        <v>4</v>
      </c>
      <c r="C14" s="39">
        <v>0.73795757412230645</v>
      </c>
      <c r="D14" s="35">
        <v>0.35728796960000003</v>
      </c>
      <c r="E14" s="60">
        <f t="shared" si="0"/>
        <v>0.86192992699230819</v>
      </c>
      <c r="F14" s="60">
        <v>17.908606982755128</v>
      </c>
      <c r="G14" s="63">
        <f t="shared" si="1"/>
        <v>4.8129367505931255E-2</v>
      </c>
      <c r="H14" s="39">
        <f t="shared" si="2"/>
        <v>7.4884808793725749E-2</v>
      </c>
      <c r="I14" s="39">
        <f t="shared" si="3"/>
        <v>1.3410826096655994</v>
      </c>
      <c r="S14" s="183">
        <v>10</v>
      </c>
      <c r="T14" s="183">
        <f>2500/1000</f>
        <v>2.5</v>
      </c>
      <c r="U14" s="183">
        <v>2.4891051748526429</v>
      </c>
    </row>
    <row r="15" spans="2:21" s="30" customFormat="1" x14ac:dyDescent="0.25">
      <c r="B15" s="73">
        <v>4.5</v>
      </c>
      <c r="C15" s="39">
        <v>0.77830629432603848</v>
      </c>
      <c r="D15" s="35">
        <v>0.36066235216875003</v>
      </c>
      <c r="E15" s="60">
        <f t="shared" si="0"/>
        <v>0.91436241200619772</v>
      </c>
      <c r="F15" s="60">
        <v>19.148095016301134</v>
      </c>
      <c r="G15" s="63">
        <f t="shared" si="1"/>
        <v>4.7752134675944725E-2</v>
      </c>
      <c r="H15" s="39">
        <f t="shared" si="2"/>
        <v>7.4690009008430341E-2</v>
      </c>
      <c r="I15" s="39">
        <f t="shared" si="3"/>
        <v>1.4301713892618118</v>
      </c>
      <c r="S15" s="183"/>
      <c r="T15" s="183"/>
      <c r="U15" s="183"/>
    </row>
    <row r="16" spans="2:21" s="30" customFormat="1" x14ac:dyDescent="0.25">
      <c r="B16" s="163">
        <v>5</v>
      </c>
      <c r="C16" s="124">
        <v>0.81736276459690071</v>
      </c>
      <c r="D16" s="83">
        <v>0.36395816875000003</v>
      </c>
      <c r="E16" s="104">
        <f t="shared" si="0"/>
        <v>0.96508441035585968</v>
      </c>
      <c r="F16" s="104">
        <v>20.38127759653889</v>
      </c>
      <c r="G16" s="123">
        <f t="shared" si="1"/>
        <v>4.7351516890175152E-2</v>
      </c>
      <c r="H16" s="124">
        <f t="shared" si="2"/>
        <v>7.4447174012306994E-2</v>
      </c>
      <c r="I16" s="124">
        <f t="shared" si="3"/>
        <v>1.5173285198226647</v>
      </c>
      <c r="S16" s="183">
        <v>15</v>
      </c>
      <c r="T16" s="183">
        <f>4800/1000</f>
        <v>4.8</v>
      </c>
      <c r="U16" s="183">
        <v>3.7197425153538344</v>
      </c>
    </row>
    <row r="17" spans="2:21" s="30" customFormat="1" x14ac:dyDescent="0.25">
      <c r="B17" s="73">
        <v>6</v>
      </c>
      <c r="C17" s="39">
        <v>0.89326491904118244</v>
      </c>
      <c r="D17" s="35">
        <v>0.37031748840000001</v>
      </c>
      <c r="E17" s="60">
        <f t="shared" si="0"/>
        <v>1.0636432883192659</v>
      </c>
      <c r="F17" s="60">
        <v>22.899044891228044</v>
      </c>
      <c r="G17" s="63">
        <f t="shared" si="1"/>
        <v>4.6449242462803179E-2</v>
      </c>
      <c r="H17" s="39">
        <f t="shared" si="2"/>
        <v>7.3766130720031228E-2</v>
      </c>
      <c r="I17" s="39">
        <f t="shared" si="3"/>
        <v>1.6891739388101912</v>
      </c>
      <c r="S17" s="183" t="s">
        <v>202</v>
      </c>
      <c r="T17" s="183">
        <v>5.6</v>
      </c>
      <c r="U17" s="183">
        <v>4.505993714080315</v>
      </c>
    </row>
    <row r="18" spans="2:21" s="30" customFormat="1" x14ac:dyDescent="0.25">
      <c r="B18" s="73">
        <v>7</v>
      </c>
      <c r="C18" s="39">
        <v>0.96856232013624655</v>
      </c>
      <c r="D18" s="35">
        <v>0.37637269745000002</v>
      </c>
      <c r="E18" s="60">
        <f t="shared" si="0"/>
        <v>1.1616209880059951</v>
      </c>
      <c r="F18" s="60">
        <v>25.592430754887268</v>
      </c>
      <c r="G18" s="63">
        <f t="shared" si="1"/>
        <v>4.5389240245738115E-2</v>
      </c>
      <c r="H18" s="39">
        <f t="shared" si="2"/>
        <v>7.278263805985144E-2</v>
      </c>
      <c r="I18" s="39">
        <f t="shared" si="3"/>
        <v>1.8626846247047706</v>
      </c>
    </row>
    <row r="19" spans="2:21" s="30" customFormat="1" x14ac:dyDescent="0.25">
      <c r="B19" s="73">
        <v>8</v>
      </c>
      <c r="C19" s="39">
        <v>1.0454940884648107</v>
      </c>
      <c r="D19" s="35">
        <v>0.38213056480000002</v>
      </c>
      <c r="E19" s="60">
        <f t="shared" si="0"/>
        <v>1.262237407859905</v>
      </c>
      <c r="F19" s="60">
        <v>28.575820928596343</v>
      </c>
      <c r="G19" s="63">
        <f t="shared" si="1"/>
        <v>4.4171518677063135E-2</v>
      </c>
      <c r="H19" s="39">
        <f t="shared" si="2"/>
        <v>7.1490053012195243E-2</v>
      </c>
      <c r="I19" s="39">
        <f t="shared" si="3"/>
        <v>2.042886953052351</v>
      </c>
    </row>
    <row r="20" spans="2:21" s="30" customFormat="1" x14ac:dyDescent="0.25">
      <c r="B20" s="73">
        <v>9</v>
      </c>
      <c r="C20" s="39">
        <v>1.1255710043346401</v>
      </c>
      <c r="D20" s="35">
        <v>0.38759785935000002</v>
      </c>
      <c r="E20" s="60">
        <f t="shared" si="0"/>
        <v>1.3677459390289455</v>
      </c>
      <c r="F20" s="60">
        <v>31.940959644573518</v>
      </c>
      <c r="G20" s="63">
        <f t="shared" si="1"/>
        <v>4.2821065936925078E-2</v>
      </c>
      <c r="H20" s="39">
        <f t="shared" si="2"/>
        <v>6.9923116028750412E-2</v>
      </c>
      <c r="I20" s="39">
        <f t="shared" si="3"/>
        <v>2.2334114272971486</v>
      </c>
    </row>
    <row r="21" spans="2:21" s="30" customFormat="1" x14ac:dyDescent="0.25">
      <c r="B21" s="163">
        <v>10</v>
      </c>
      <c r="C21" s="124">
        <v>1.2094366325862813</v>
      </c>
      <c r="D21" s="83">
        <v>0.39278135000000003</v>
      </c>
      <c r="E21" s="104">
        <f t="shared" si="0"/>
        <v>1.4791834058509583</v>
      </c>
      <c r="F21" s="104">
        <v>35.742930987515741</v>
      </c>
      <c r="G21" s="123">
        <f t="shared" si="1"/>
        <v>4.1383942642185839E-2</v>
      </c>
      <c r="H21" s="124">
        <f t="shared" si="2"/>
        <v>6.815327994650007E-2</v>
      </c>
      <c r="I21" s="124">
        <f t="shared" si="3"/>
        <v>2.4359979817005923</v>
      </c>
    </row>
    <row r="22" spans="2:21" s="30" customFormat="1" x14ac:dyDescent="0.25">
      <c r="B22" s="73">
        <v>10.5</v>
      </c>
      <c r="C22" s="39">
        <v>1.2527363672269212</v>
      </c>
      <c r="D22" s="35">
        <v>0.39526878414375</v>
      </c>
      <c r="E22" s="60">
        <f t="shared" si="0"/>
        <v>1.5370799548805198</v>
      </c>
      <c r="F22" s="60">
        <v>37.81048562869546</v>
      </c>
      <c r="G22" s="63">
        <f t="shared" si="1"/>
        <v>4.065221404387321E-2</v>
      </c>
      <c r="H22" s="39">
        <f t="shared" si="2"/>
        <v>6.722360774168569E-2</v>
      </c>
      <c r="I22" s="39">
        <f t="shared" si="3"/>
        <v>2.5417572544260678</v>
      </c>
    </row>
    <row r="23" spans="2:21" s="30" customFormat="1" x14ac:dyDescent="0.25">
      <c r="B23" s="73">
        <v>11</v>
      </c>
      <c r="C23" s="39">
        <v>1.2968192705159698</v>
      </c>
      <c r="D23" s="35">
        <v>0.39768780565</v>
      </c>
      <c r="E23" s="60">
        <f t="shared" si="0"/>
        <v>1.5962562620415239</v>
      </c>
      <c r="F23" s="60">
        <v>39.982278220873482</v>
      </c>
      <c r="G23" s="63">
        <f t="shared" si="1"/>
        <v>3.9924094700740917E-2</v>
      </c>
      <c r="H23" s="39">
        <f t="shared" si="2"/>
        <v>6.6284719245682855E-2</v>
      </c>
      <c r="I23" s="39">
        <f t="shared" si="3"/>
        <v>2.6502140866733788</v>
      </c>
    </row>
    <row r="24" spans="2:21" s="30" customFormat="1" x14ac:dyDescent="0.25">
      <c r="B24" s="73">
        <v>12</v>
      </c>
      <c r="C24" s="39">
        <v>1.3868647123592963</v>
      </c>
      <c r="D24" s="35">
        <v>0.40232399520000001</v>
      </c>
      <c r="E24" s="60">
        <f t="shared" si="0"/>
        <v>1.7177953294070198</v>
      </c>
      <c r="F24" s="60">
        <v>44.590410457317788</v>
      </c>
      <c r="G24" s="63">
        <f t="shared" si="1"/>
        <v>3.8523873446989328E-2</v>
      </c>
      <c r="H24" s="39">
        <f t="shared" si="2"/>
        <v>6.4456115249064666E-2</v>
      </c>
      <c r="I24" s="39">
        <f t="shared" si="3"/>
        <v>2.8741246354399737</v>
      </c>
    </row>
    <row r="25" spans="2:21" s="30" customFormat="1" x14ac:dyDescent="0.25">
      <c r="B25" s="73">
        <v>13</v>
      </c>
      <c r="C25" s="39">
        <v>1.4793236410029076</v>
      </c>
      <c r="D25" s="35">
        <v>0.40669668754999999</v>
      </c>
      <c r="E25" s="60">
        <f t="shared" si="0"/>
        <v>1.8435169225141625</v>
      </c>
      <c r="F25" s="60">
        <v>49.42771554129417</v>
      </c>
      <c r="G25" s="63">
        <f t="shared" si="1"/>
        <v>3.7297230962940305E-2</v>
      </c>
      <c r="H25" s="39">
        <f t="shared" si="2"/>
        <v>6.2863682336315105E-2</v>
      </c>
      <c r="I25" s="39">
        <f t="shared" si="3"/>
        <v>3.1072082083976618</v>
      </c>
    </row>
    <row r="26" spans="2:21" s="30" customFormat="1" x14ac:dyDescent="0.25">
      <c r="B26" s="73">
        <v>14</v>
      </c>
      <c r="C26" s="39">
        <v>1.5759468555569693</v>
      </c>
      <c r="D26" s="35">
        <v>0.41081265160000002</v>
      </c>
      <c r="E26" s="60">
        <f t="shared" si="0"/>
        <v>1.9761646903894492</v>
      </c>
      <c r="F26" s="60">
        <v>54.301228570926213</v>
      </c>
      <c r="G26" s="63">
        <f t="shared" si="1"/>
        <v>3.6392633139197904E-2</v>
      </c>
      <c r="H26" s="39">
        <f t="shared" si="2"/>
        <v>6.1767506104850885E-2</v>
      </c>
      <c r="I26" s="39">
        <f t="shared" si="3"/>
        <v>3.3540514672555881</v>
      </c>
    </row>
    <row r="27" spans="2:21" s="30" customFormat="1" x14ac:dyDescent="0.25">
      <c r="B27" s="73">
        <v>15</v>
      </c>
      <c r="C27" s="39">
        <v>1.6740838758918732</v>
      </c>
      <c r="D27" s="35">
        <v>0.41467865625</v>
      </c>
      <c r="E27" s="60">
        <f t="shared" si="0"/>
        <v>2.11184475937003</v>
      </c>
      <c r="F27" s="60">
        <v>59.000130386011627</v>
      </c>
      <c r="G27" s="63">
        <f t="shared" si="1"/>
        <v>3.5793899870274329E-2</v>
      </c>
      <c r="H27" s="39">
        <f t="shared" si="2"/>
        <v>6.115256218225739E-2</v>
      </c>
      <c r="I27" s="39">
        <f t="shared" si="3"/>
        <v>3.6080091421918699</v>
      </c>
    </row>
    <row r="28" spans="2:21" s="30" customFormat="1" x14ac:dyDescent="0.25">
      <c r="B28" s="73">
        <v>16</v>
      </c>
      <c r="C28" s="39">
        <v>1.7574263379100081</v>
      </c>
      <c r="D28" s="35">
        <v>0.41830147039999999</v>
      </c>
      <c r="E28" s="60">
        <f t="shared" si="0"/>
        <v>2.2256584354262818</v>
      </c>
      <c r="F28" s="60">
        <v>63.337294009498862</v>
      </c>
      <c r="G28" s="63">
        <f t="shared" si="1"/>
        <v>3.5139777760200712E-2</v>
      </c>
      <c r="H28" s="39">
        <f t="shared" si="2"/>
        <v>6.040891625489285E-2</v>
      </c>
      <c r="I28" s="39">
        <f t="shared" si="3"/>
        <v>3.8261372896313435</v>
      </c>
    </row>
    <row r="29" spans="2:21" s="30" customFormat="1" x14ac:dyDescent="0.25">
      <c r="B29" s="73">
        <v>17</v>
      </c>
      <c r="C29" s="39">
        <v>1.8196219260392295</v>
      </c>
      <c r="D29" s="35">
        <v>0.42168786294999999</v>
      </c>
      <c r="E29" s="60">
        <f t="shared" si="0"/>
        <v>2.307658532561208</v>
      </c>
      <c r="F29" s="60">
        <v>67.181288947144452</v>
      </c>
      <c r="G29" s="63">
        <f t="shared" si="1"/>
        <v>3.4349721012003523E-2</v>
      </c>
      <c r="H29" s="39">
        <f t="shared" si="2"/>
        <v>5.9396507199767967E-2</v>
      </c>
      <c r="I29" s="39">
        <f t="shared" si="3"/>
        <v>3.9903339126387576</v>
      </c>
    </row>
    <row r="30" spans="2:21" s="30" customFormat="1" x14ac:dyDescent="0.25">
      <c r="B30" s="73">
        <v>18</v>
      </c>
      <c r="C30" s="39">
        <v>1.8671219307859706</v>
      </c>
      <c r="D30" s="35">
        <v>0.42484460280000003</v>
      </c>
      <c r="E30" s="60">
        <f t="shared" si="0"/>
        <v>2.3676419794437895</v>
      </c>
      <c r="F30" s="60">
        <v>70.468950673819393</v>
      </c>
      <c r="G30" s="63">
        <f t="shared" si="1"/>
        <v>3.3598371435994936E-2</v>
      </c>
      <c r="H30" s="39">
        <f t="shared" si="2"/>
        <v>5.8416163004920398E-2</v>
      </c>
      <c r="I30" s="39">
        <f t="shared" si="3"/>
        <v>4.1165257093475285</v>
      </c>
    </row>
    <row r="31" spans="2:21" s="30" customFormat="1" x14ac:dyDescent="0.25">
      <c r="B31" s="73">
        <v>19</v>
      </c>
      <c r="C31" s="39">
        <v>1.9045475744059872</v>
      </c>
      <c r="D31" s="35">
        <v>0.42777845884999999</v>
      </c>
      <c r="E31" s="60">
        <f t="shared" si="0"/>
        <v>2.4127297890268222</v>
      </c>
      <c r="F31" s="60">
        <v>73.198958370421622</v>
      </c>
      <c r="G31" s="63">
        <f t="shared" si="1"/>
        <v>3.296125850339645E-2</v>
      </c>
      <c r="H31" s="39">
        <f t="shared" si="2"/>
        <v>5.7602267885885315E-2</v>
      </c>
      <c r="I31" s="39">
        <f t="shared" si="3"/>
        <v>4.2164260090207932</v>
      </c>
    </row>
    <row r="32" spans="2:21" s="30" customFormat="1" x14ac:dyDescent="0.25">
      <c r="B32" s="73">
        <v>20</v>
      </c>
      <c r="C32" s="39">
        <v>1.9341352717001874</v>
      </c>
      <c r="D32" s="35">
        <v>0.4304962</v>
      </c>
      <c r="E32" s="60">
        <f t="shared" si="0"/>
        <v>2.4464144447407463</v>
      </c>
      <c r="F32" s="60">
        <v>75.414214512323156</v>
      </c>
      <c r="G32" s="63">
        <f t="shared" si="1"/>
        <v>3.2439699339983009E-2</v>
      </c>
      <c r="H32" s="39">
        <f t="shared" si="2"/>
        <v>5.696133957312139E-2</v>
      </c>
      <c r="I32" s="39">
        <f t="shared" si="3"/>
        <v>4.2956946814766583</v>
      </c>
    </row>
    <row r="33" spans="2:9" s="30" customFormat="1" x14ac:dyDescent="0.25">
      <c r="B33" s="73">
        <v>21</v>
      </c>
      <c r="C33" s="39">
        <v>1.9573792543965429</v>
      </c>
      <c r="D33" s="35">
        <v>0.43300459515</v>
      </c>
      <c r="E33" s="60">
        <f t="shared" si="0"/>
        <v>2.4710483966108212</v>
      </c>
      <c r="F33" s="60">
        <v>77.181939133707928</v>
      </c>
      <c r="G33" s="63">
        <f t="shared" si="1"/>
        <v>3.2015889006494679E-2</v>
      </c>
      <c r="H33" s="39">
        <f t="shared" si="2"/>
        <v>5.6465870327405139E-2</v>
      </c>
      <c r="I33" s="39">
        <f t="shared" si="3"/>
        <v>4.3581453667416277</v>
      </c>
    </row>
    <row r="34" spans="2:9" s="30" customFormat="1" x14ac:dyDescent="0.25">
      <c r="B34" s="73">
        <v>22</v>
      </c>
      <c r="C34" s="39">
        <v>1.9755305890001138</v>
      </c>
      <c r="D34" s="35">
        <v>0.43531041319999997</v>
      </c>
      <c r="E34" s="60">
        <f t="shared" si="0"/>
        <v>2.4885988516426578</v>
      </c>
      <c r="F34" s="60">
        <v>78.577305924346987</v>
      </c>
      <c r="G34" s="63">
        <f t="shared" si="1"/>
        <v>3.1670707240060408E-2</v>
      </c>
      <c r="H34" s="39">
        <f t="shared" si="2"/>
        <v>5.6085162504116513E-2</v>
      </c>
      <c r="I34" s="39">
        <f t="shared" si="3"/>
        <v>4.4070209719026776</v>
      </c>
    </row>
    <row r="35" spans="2:9" s="30" customFormat="1" x14ac:dyDescent="0.25">
      <c r="B35" s="73">
        <v>23</v>
      </c>
      <c r="C35" s="39">
        <v>1.9896665748206297</v>
      </c>
      <c r="D35" s="35">
        <v>0.43742042305000001</v>
      </c>
      <c r="E35" s="60">
        <f t="shared" si="0"/>
        <v>2.5007502769796854</v>
      </c>
      <c r="F35" s="60">
        <v>79.672650885769443</v>
      </c>
      <c r="G35" s="63">
        <f t="shared" si="1"/>
        <v>3.1387813122537279E-2</v>
      </c>
      <c r="H35" s="39">
        <f t="shared" si="2"/>
        <v>5.5792663666720553E-2</v>
      </c>
      <c r="I35" s="39">
        <f t="shared" si="3"/>
        <v>4.4451494143057797</v>
      </c>
    </row>
    <row r="36" spans="2:9" s="30" customFormat="1" x14ac:dyDescent="0.25">
      <c r="B36" s="73">
        <v>24</v>
      </c>
      <c r="C36" s="39">
        <v>2.0006874593674868</v>
      </c>
      <c r="D36" s="35">
        <v>0.43934139360000002</v>
      </c>
      <c r="E36" s="60">
        <f t="shared" si="0"/>
        <v>2.5088994883484435</v>
      </c>
      <c r="F36" s="60">
        <v>80.531777651930497</v>
      </c>
      <c r="G36" s="63">
        <f t="shared" si="1"/>
        <v>3.1154155061524344E-2</v>
      </c>
      <c r="H36" s="39">
        <f t="shared" si="2"/>
        <v>5.5567068276300598E-2</v>
      </c>
      <c r="I36" s="39">
        <f t="shared" si="3"/>
        <v>4.4749147871966803</v>
      </c>
    </row>
    <row r="37" spans="2:9" s="30" customFormat="1" x14ac:dyDescent="0.25">
      <c r="B37" s="190">
        <v>25</v>
      </c>
      <c r="C37" s="120">
        <v>2.0093205933567493</v>
      </c>
      <c r="D37" s="121">
        <v>0.44108009375000001</v>
      </c>
      <c r="E37" s="122">
        <f>(10^(1.2082 *LOG10(C37) + 3.2869)) * (1 + 0) * (1 - D37) / 1000</f>
        <v>2.514164348224416</v>
      </c>
      <c r="F37" s="104">
        <v>81.207903119037354</v>
      </c>
      <c r="G37" s="123">
        <f t="shared" si="1"/>
        <v>3.0959601857211694E-2</v>
      </c>
      <c r="H37" s="124">
        <f>G37/(1-D37)</f>
        <v>5.5391839709075838E-2</v>
      </c>
      <c r="I37" s="124">
        <f t="shared" si="3"/>
        <v>4.4982551526798771</v>
      </c>
    </row>
    <row r="38" spans="2:9" s="30" customFormat="1" x14ac:dyDescent="0.25">
      <c r="B38" s="73">
        <v>26</v>
      </c>
      <c r="C38" s="39">
        <v>2.0167900740889615</v>
      </c>
      <c r="D38" s="35">
        <v>0.4426432924</v>
      </c>
      <c r="E38" s="60">
        <f t="shared" ref="E38:E72" si="4">(10^(1.2082 *LOG10(C38) + 3.2869)) * (1 + 0) * (1 - D38) / 1000</f>
        <v>2.5183975261352698</v>
      </c>
      <c r="F38" s="60">
        <v>81.795109593252207</v>
      </c>
      <c r="G38" s="63">
        <f t="shared" si="1"/>
        <v>3.0789096544508184E-2</v>
      </c>
      <c r="H38" s="39">
        <f t="shared" si="2"/>
        <v>5.5241277488320271E-2</v>
      </c>
      <c r="I38" s="39">
        <f t="shared" si="3"/>
        <v>4.5184663462284123</v>
      </c>
    </row>
    <row r="39" spans="2:9" s="30" customFormat="1" x14ac:dyDescent="0.25">
      <c r="B39" s="73">
        <v>27</v>
      </c>
      <c r="C39" s="39">
        <v>2.0247099608044241</v>
      </c>
      <c r="D39" s="35">
        <v>0.44403775844999999</v>
      </c>
      <c r="E39" s="60">
        <f t="shared" si="4"/>
        <v>2.5240203708931781</v>
      </c>
      <c r="F39" s="60">
        <v>82.419966322202043</v>
      </c>
      <c r="G39" s="63">
        <f t="shared" si="1"/>
        <v>3.062389471291576E-2</v>
      </c>
      <c r="H39" s="39">
        <f t="shared" si="2"/>
        <v>5.5082688039276892E-2</v>
      </c>
      <c r="I39" s="39">
        <f t="shared" si="3"/>
        <v>4.5399132931335631</v>
      </c>
    </row>
    <row r="40" spans="2:9" s="30" customFormat="1" x14ac:dyDescent="0.25">
      <c r="B40" s="73">
        <v>28</v>
      </c>
      <c r="C40" s="39">
        <v>2.032212625093889</v>
      </c>
      <c r="D40" s="35">
        <v>0.44527026079999998</v>
      </c>
      <c r="E40" s="60">
        <f t="shared" si="4"/>
        <v>2.529704365599367</v>
      </c>
      <c r="F40" s="60">
        <v>83.014032621830779</v>
      </c>
      <c r="G40" s="63">
        <f t="shared" si="1"/>
        <v>3.0473213813421142E-2</v>
      </c>
      <c r="H40" s="39">
        <f t="shared" si="2"/>
        <v>5.4933441746548316E-2</v>
      </c>
      <c r="I40" s="39">
        <f t="shared" si="3"/>
        <v>4.5602465251774023</v>
      </c>
    </row>
    <row r="41" spans="2:9" s="30" customFormat="1" x14ac:dyDescent="0.25">
      <c r="B41" s="73">
        <v>29</v>
      </c>
      <c r="C41" s="39">
        <v>2.0393054414853733</v>
      </c>
      <c r="D41" s="35">
        <v>0.44634756835</v>
      </c>
      <c r="E41" s="60">
        <f t="shared" si="4"/>
        <v>2.5354421157988116</v>
      </c>
      <c r="F41" s="60">
        <v>83.57754952483802</v>
      </c>
      <c r="G41" s="63">
        <f t="shared" si="1"/>
        <v>3.0336401703729247E-2</v>
      </c>
      <c r="H41" s="39">
        <f t="shared" si="2"/>
        <v>5.4793223996723768E-2</v>
      </c>
      <c r="I41" s="39">
        <f t="shared" si="3"/>
        <v>4.5794833922117233</v>
      </c>
    </row>
    <row r="42" spans="2:9" s="30" customFormat="1" x14ac:dyDescent="0.25">
      <c r="B42" s="73">
        <v>30</v>
      </c>
      <c r="C42" s="39">
        <v>2.0459954499931121</v>
      </c>
      <c r="D42" s="35">
        <v>0.44727644999999999</v>
      </c>
      <c r="E42" s="60">
        <f t="shared" si="4"/>
        <v>2.5412242065042787</v>
      </c>
      <c r="F42" s="60">
        <v>84.110758063923285</v>
      </c>
      <c r="G42" s="63">
        <f t="shared" si="1"/>
        <v>3.0212832044302529E-2</v>
      </c>
      <c r="H42" s="39">
        <f t="shared" si="2"/>
        <v>5.4661741921983469E-2</v>
      </c>
      <c r="I42" s="39">
        <f t="shared" si="3"/>
        <v>4.5976405501525646</v>
      </c>
    </row>
    <row r="43" spans="2:9" s="30" customFormat="1" x14ac:dyDescent="0.25">
      <c r="B43" s="73">
        <v>31</v>
      </c>
      <c r="C43" s="39">
        <v>2.0522893762016219</v>
      </c>
      <c r="D43" s="35">
        <v>0.44806367465000002</v>
      </c>
      <c r="E43" s="60">
        <f t="shared" si="4"/>
        <v>2.5470393274716634</v>
      </c>
      <c r="F43" s="60">
        <v>84.613899271786181</v>
      </c>
      <c r="G43" s="63">
        <f t="shared" si="1"/>
        <v>3.0101902280739744E-2</v>
      </c>
      <c r="H43" s="39">
        <f t="shared" si="2"/>
        <v>5.4538722852950819E-2</v>
      </c>
      <c r="I43" s="39">
        <f t="shared" si="3"/>
        <v>4.6147340018914438</v>
      </c>
    </row>
    <row r="44" spans="2:9" s="30" customFormat="1" x14ac:dyDescent="0.25">
      <c r="B44" s="73">
        <v>32</v>
      </c>
      <c r="C44" s="39">
        <v>2.058193648911907</v>
      </c>
      <c r="D44" s="35">
        <v>0.44871601119999999</v>
      </c>
      <c r="E44" s="60">
        <f t="shared" si="4"/>
        <v>2.5528743915598722</v>
      </c>
      <c r="F44" s="60">
        <v>85.0872141811262</v>
      </c>
      <c r="G44" s="63">
        <f t="shared" ref="G44:G72" si="5">E44/F44</f>
        <v>3.0003031784840636E-2</v>
      </c>
      <c r="H44" s="39">
        <f t="shared" si="2"/>
        <v>5.442391289133814E-2</v>
      </c>
      <c r="I44" s="39">
        <f t="shared" si="3"/>
        <v>4.6307791327602432</v>
      </c>
    </row>
    <row r="45" spans="2:9" s="30" customFormat="1" x14ac:dyDescent="0.25">
      <c r="B45" s="73">
        <v>33</v>
      </c>
      <c r="C45" s="39">
        <v>2.0637144162302161</v>
      </c>
      <c r="D45" s="35">
        <v>0.44924022855000001</v>
      </c>
      <c r="E45" s="60">
        <f t="shared" si="4"/>
        <v>2.558714647719309</v>
      </c>
      <c r="F45" s="60">
        <v>85.530943824642932</v>
      </c>
      <c r="G45" s="63">
        <f t="shared" si="5"/>
        <v>2.9915660149445227E-2</v>
      </c>
      <c r="H45" s="39">
        <f t="shared" si="2"/>
        <v>5.4317075611178843E-2</v>
      </c>
      <c r="I45" s="39">
        <f t="shared" si="3"/>
        <v>4.6457907428186207</v>
      </c>
    </row>
    <row r="46" spans="2:9" s="30" customFormat="1" x14ac:dyDescent="0.25">
      <c r="B46" s="73">
        <v>34</v>
      </c>
      <c r="C46" s="39">
        <v>2.0688575603865131</v>
      </c>
      <c r="D46" s="35">
        <v>0.44964309559999999</v>
      </c>
      <c r="E46" s="60">
        <f t="shared" si="4"/>
        <v>2.5645437892366938</v>
      </c>
      <c r="F46" s="60">
        <v>85.945329235035928</v>
      </c>
      <c r="G46" s="63">
        <f t="shared" si="5"/>
        <v>2.9839245623498621E-2</v>
      </c>
      <c r="H46" s="39">
        <f t="shared" si="2"/>
        <v>5.4217990879989797E-2</v>
      </c>
      <c r="I46" s="39">
        <f t="shared" si="3"/>
        <v>4.6597830766428983</v>
      </c>
    </row>
    <row r="47" spans="2:9" s="30" customFormat="1" x14ac:dyDescent="0.25">
      <c r="B47" s="73">
        <v>35</v>
      </c>
      <c r="C47" s="39">
        <v>2.0736287114273169</v>
      </c>
      <c r="D47" s="35">
        <v>0.44993138125000004</v>
      </c>
      <c r="E47" s="60">
        <f t="shared" si="4"/>
        <v>2.5703440576325507</v>
      </c>
      <c r="F47" s="60">
        <v>86.330611445004706</v>
      </c>
      <c r="G47" s="63">
        <f t="shared" si="5"/>
        <v>2.9773263673337238E-2</v>
      </c>
      <c r="H47" s="39">
        <f t="shared" si="2"/>
        <v>5.4126453788611521E-2</v>
      </c>
      <c r="I47" s="39">
        <f t="shared" si="3"/>
        <v>4.6727698509206244</v>
      </c>
    </row>
    <row r="48" spans="2:9" s="30" customFormat="1" x14ac:dyDescent="0.25">
      <c r="B48" s="73">
        <v>36</v>
      </c>
      <c r="C48" s="39">
        <v>2.07803325988719</v>
      </c>
      <c r="D48" s="35">
        <v>0.45011185440000001</v>
      </c>
      <c r="E48" s="60">
        <f t="shared" si="4"/>
        <v>2.5760963425328933</v>
      </c>
      <c r="F48" s="60">
        <v>86.687031487248888</v>
      </c>
      <c r="G48" s="63">
        <f t="shared" si="5"/>
        <v>2.9717205657363188E-2</v>
      </c>
      <c r="H48" s="39">
        <f t="shared" si="2"/>
        <v>5.4042273679018531E-2</v>
      </c>
      <c r="I48" s="39">
        <f t="shared" si="3"/>
        <v>4.6847642800556013</v>
      </c>
    </row>
    <row r="49" spans="2:9" s="30" customFormat="1" x14ac:dyDescent="0.25">
      <c r="B49" s="73">
        <v>37</v>
      </c>
      <c r="C49" s="39">
        <v>2.0820763685267405</v>
      </c>
      <c r="D49" s="35">
        <v>0.45019128395000002</v>
      </c>
      <c r="E49" s="60">
        <f t="shared" si="4"/>
        <v>2.5817802777990373</v>
      </c>
      <c r="F49" s="60">
        <v>87.014830394467978</v>
      </c>
      <c r="G49" s="63">
        <f t="shared" si="5"/>
        <v>2.9670577602633304E-2</v>
      </c>
      <c r="H49" s="39">
        <f t="shared" si="2"/>
        <v>5.3965273260482539E-2</v>
      </c>
      <c r="I49" s="39">
        <f t="shared" si="3"/>
        <v>4.6957790999520057</v>
      </c>
    </row>
    <row r="50" spans="2:9" s="30" customFormat="1" x14ac:dyDescent="0.25">
      <c r="B50" s="73">
        <v>38</v>
      </c>
      <c r="C50" s="39">
        <v>2.0857629832146642</v>
      </c>
      <c r="D50" s="35">
        <v>0.45017643880000002</v>
      </c>
      <c r="E50" s="60">
        <f t="shared" si="4"/>
        <v>2.5873743341725368</v>
      </c>
      <c r="F50" s="60">
        <v>87.314249199361527</v>
      </c>
      <c r="G50" s="63">
        <f t="shared" si="5"/>
        <v>2.9632899073149869E-2</v>
      </c>
      <c r="H50" s="39">
        <f t="shared" si="2"/>
        <v>5.3895287805556247E-2</v>
      </c>
      <c r="I50" s="39">
        <f t="shared" si="3"/>
        <v>4.7058265901256489</v>
      </c>
    </row>
    <row r="51" spans="2:9" s="30" customFormat="1" x14ac:dyDescent="0.25">
      <c r="B51" s="73">
        <v>39</v>
      </c>
      <c r="C51" s="39">
        <v>2.089097843023298</v>
      </c>
      <c r="D51" s="35">
        <v>0.45007408785000003</v>
      </c>
      <c r="E51" s="60">
        <f t="shared" si="4"/>
        <v>2.592855908669855</v>
      </c>
      <c r="F51" s="60">
        <v>87.58552893462911</v>
      </c>
      <c r="G51" s="63">
        <f t="shared" si="5"/>
        <v>2.9603702120758732E-2</v>
      </c>
      <c r="H51" s="39">
        <f t="shared" si="2"/>
        <v>5.3832164418329699E-2</v>
      </c>
      <c r="I51" s="39">
        <f t="shared" si="3"/>
        <v>4.7149185942753276</v>
      </c>
    </row>
    <row r="52" spans="2:9" s="30" customFormat="1" x14ac:dyDescent="0.25">
      <c r="B52" s="73">
        <v>40</v>
      </c>
      <c r="C52" s="39">
        <v>2.0920854896000871</v>
      </c>
      <c r="D52" s="35">
        <v>0.44989099999999999</v>
      </c>
      <c r="E52" s="60">
        <f t="shared" si="4"/>
        <v>2.5982014109412583</v>
      </c>
      <c r="F52" s="60">
        <v>87.828910632970278</v>
      </c>
      <c r="G52" s="63">
        <f t="shared" si="5"/>
        <v>2.9582530310536655E-2</v>
      </c>
      <c r="H52" s="39">
        <f t="shared" si="2"/>
        <v>5.3775761368268213E-2</v>
      </c>
      <c r="I52" s="39">
        <f t="shared" si="3"/>
        <v>4.7230665394335647</v>
      </c>
    </row>
    <row r="53" spans="2:9" s="30" customFormat="1" x14ac:dyDescent="0.25">
      <c r="B53" s="73">
        <v>41</v>
      </c>
      <c r="C53" s="39">
        <v>2.09473027587127</v>
      </c>
      <c r="D53" s="35">
        <v>0.44963394415000002</v>
      </c>
      <c r="E53" s="60">
        <f t="shared" si="4"/>
        <v>2.6033863467910452</v>
      </c>
      <c r="F53" s="60">
        <v>88.044635327084606</v>
      </c>
      <c r="G53" s="63">
        <f t="shared" si="5"/>
        <v>2.9568937813411356E-2</v>
      </c>
      <c r="H53" s="39">
        <f t="shared" si="2"/>
        <v>5.3725947483705731E-2</v>
      </c>
      <c r="I53" s="39">
        <f t="shared" si="3"/>
        <v>4.7302814538049702</v>
      </c>
    </row>
    <row r="54" spans="2:9" s="30" customFormat="1" x14ac:dyDescent="0.25">
      <c r="B54" s="73">
        <v>42</v>
      </c>
      <c r="C54" s="39">
        <v>2.097036374128507</v>
      </c>
      <c r="D54" s="35">
        <v>0.44930968920000003</v>
      </c>
      <c r="E54" s="60">
        <f t="shared" si="4"/>
        <v>2.6083853990400416</v>
      </c>
      <c r="F54" s="60">
        <v>88.232944049671602</v>
      </c>
      <c r="G54" s="63">
        <f t="shared" si="5"/>
        <v>2.9562488559507043E-2</v>
      </c>
      <c r="H54" s="39">
        <f t="shared" si="2"/>
        <v>5.3682601599728465E-2</v>
      </c>
      <c r="I54" s="39">
        <f t="shared" si="3"/>
        <v>4.7365739833896532</v>
      </c>
    </row>
    <row r="55" spans="2:9" s="30" customFormat="1" x14ac:dyDescent="0.25">
      <c r="B55" s="73">
        <v>43</v>
      </c>
      <c r="C55" s="39">
        <v>2.0990077835443399</v>
      </c>
      <c r="D55" s="35">
        <v>0.44892500404999996</v>
      </c>
      <c r="E55" s="60">
        <f t="shared" si="4"/>
        <v>2.6131725058972228</v>
      </c>
      <c r="F55" s="60">
        <v>88.394077833430842</v>
      </c>
      <c r="G55" s="63">
        <f t="shared" si="5"/>
        <v>2.9562755446371262E-2</v>
      </c>
      <c r="H55" s="39">
        <f t="shared" si="2"/>
        <v>5.3645612055774596E-2</v>
      </c>
      <c r="I55" s="39">
        <f t="shared" si="3"/>
        <v>4.7419544074801756</v>
      </c>
    </row>
    <row r="56" spans="2:9" s="30" customFormat="1" x14ac:dyDescent="0.25">
      <c r="B56" s="73">
        <v>44</v>
      </c>
      <c r="C56" s="39">
        <v>2.1006483371579097</v>
      </c>
      <c r="D56" s="35">
        <v>0.44848665759999995</v>
      </c>
      <c r="E56" s="60">
        <f t="shared" si="4"/>
        <v>2.6177209369943699</v>
      </c>
      <c r="F56" s="60">
        <v>88.528277711061889</v>
      </c>
      <c r="G56" s="63">
        <f t="shared" si="5"/>
        <v>2.9569319596819372E-2</v>
      </c>
      <c r="H56" s="39">
        <f t="shared" si="2"/>
        <v>5.3614876238793546E-2</v>
      </c>
      <c r="I56" s="39">
        <f t="shared" si="3"/>
        <v>4.7464326531121284</v>
      </c>
    </row>
    <row r="57" spans="2:9" s="30" customFormat="1" x14ac:dyDescent="0.25">
      <c r="B57" s="73">
        <v>45</v>
      </c>
      <c r="C57" s="39">
        <v>2.1019617083684641</v>
      </c>
      <c r="D57" s="35">
        <v>0.44800141874999999</v>
      </c>
      <c r="E57" s="60">
        <f t="shared" si="4"/>
        <v>2.6220033672260596</v>
      </c>
      <c r="F57" s="60">
        <v>88.635784715264279</v>
      </c>
      <c r="G57" s="63">
        <f t="shared" si="5"/>
        <v>2.9581769661644518E-2</v>
      </c>
      <c r="H57" s="39">
        <f t="shared" si="2"/>
        <v>5.3590300168266089E-2</v>
      </c>
      <c r="I57" s="39">
        <f t="shared" si="3"/>
        <v>4.7500183085408239</v>
      </c>
    </row>
    <row r="58" spans="2:9" s="30" customFormat="1" x14ac:dyDescent="0.25">
      <c r="B58" s="73">
        <v>46</v>
      </c>
      <c r="C58" s="39">
        <v>2.1029514169706109</v>
      </c>
      <c r="D58" s="35">
        <v>0.44747605639999999</v>
      </c>
      <c r="E58" s="60">
        <f t="shared" si="4"/>
        <v>2.6259919485270187</v>
      </c>
      <c r="F58" s="60">
        <v>88.716839878737574</v>
      </c>
      <c r="G58" s="63">
        <f t="shared" si="5"/>
        <v>2.959970116289478E-2</v>
      </c>
      <c r="H58" s="39">
        <f t="shared" si="2"/>
        <v>5.3571798119799674E-2</v>
      </c>
      <c r="I58" s="39">
        <f t="shared" si="3"/>
        <v>4.7527206358103227</v>
      </c>
    </row>
    <row r="59" spans="2:9" s="30" customFormat="1" x14ac:dyDescent="0.25">
      <c r="B59" s="73">
        <v>47</v>
      </c>
      <c r="C59" s="39">
        <v>2.1036208347620757</v>
      </c>
      <c r="D59" s="35">
        <v>0.44691733945000001</v>
      </c>
      <c r="E59" s="60">
        <f t="shared" si="4"/>
        <v>2.6296583797090798</v>
      </c>
      <c r="F59" s="60">
        <v>88.771684234181336</v>
      </c>
      <c r="G59" s="63">
        <f t="shared" si="5"/>
        <v>2.9622715873813914E-2</v>
      </c>
      <c r="H59" s="39">
        <f t="shared" si="2"/>
        <v>5.3559292284369037E-2</v>
      </c>
      <c r="I59" s="39">
        <f t="shared" si="3"/>
        <v>4.7545485824742331</v>
      </c>
    </row>
    <row r="60" spans="2:9" s="30" customFormat="1" x14ac:dyDescent="0.25">
      <c r="B60" s="73">
        <v>48</v>
      </c>
      <c r="C60" s="39">
        <v>2.1039731907518453</v>
      </c>
      <c r="D60" s="35">
        <v>0.4463320368</v>
      </c>
      <c r="E60" s="60">
        <f t="shared" si="4"/>
        <v>2.6329739744718421</v>
      </c>
      <c r="F60" s="60">
        <v>88.80055881429513</v>
      </c>
      <c r="G60" s="63">
        <f t="shared" si="5"/>
        <v>2.965042123189866E-2</v>
      </c>
      <c r="H60" s="39">
        <f t="shared" si="2"/>
        <v>5.355271246060541E-2</v>
      </c>
      <c r="I60" s="39">
        <f t="shared" si="3"/>
        <v>4.755510792523026</v>
      </c>
    </row>
    <row r="61" spans="2:9" s="30" customFormat="1" x14ac:dyDescent="0.25">
      <c r="B61" s="73">
        <v>49</v>
      </c>
      <c r="C61" s="39">
        <v>2.1040115759939266</v>
      </c>
      <c r="D61" s="35">
        <v>0.44572691734999997</v>
      </c>
      <c r="E61" s="60">
        <f t="shared" si="4"/>
        <v>2.635909727693055</v>
      </c>
      <c r="F61" s="60">
        <v>88.803704651778489</v>
      </c>
      <c r="G61" s="63">
        <f t="shared" si="5"/>
        <v>2.9682429781833039E-2</v>
      </c>
      <c r="H61" s="39">
        <f t="shared" si="2"/>
        <v>5.3551995777821743E-2</v>
      </c>
      <c r="I61" s="39">
        <f t="shared" si="3"/>
        <v>4.7556156165669705</v>
      </c>
    </row>
    <row r="62" spans="2:9" s="30" customFormat="1" x14ac:dyDescent="0.25">
      <c r="B62" s="73">
        <v>50</v>
      </c>
      <c r="C62" s="39">
        <v>2.1037389480696294</v>
      </c>
      <c r="D62" s="35">
        <v>0.44510874999999994</v>
      </c>
      <c r="E62" s="60">
        <f t="shared" si="4"/>
        <v>2.6384363800979749</v>
      </c>
      <c r="F62" s="60">
        <v>88.781362779330948</v>
      </c>
      <c r="G62" s="63">
        <f t="shared" si="5"/>
        <v>2.9718358645337499E-2</v>
      </c>
      <c r="H62" s="39">
        <f t="shared" si="2"/>
        <v>5.3557086447727366E-2</v>
      </c>
      <c r="I62" s="39">
        <f t="shared" si="3"/>
        <v>4.7548711213196722</v>
      </c>
    </row>
    <row r="63" spans="2:9" s="30" customFormat="1" x14ac:dyDescent="0.25">
      <c r="B63" s="73">
        <v>51</v>
      </c>
      <c r="C63" s="39">
        <v>2.1031581352390387</v>
      </c>
      <c r="D63" s="35">
        <v>0.44448430365000002</v>
      </c>
      <c r="E63" s="60">
        <f t="shared" si="4"/>
        <v>2.6405244814004614</v>
      </c>
      <c r="F63" s="60">
        <v>88.733774229652099</v>
      </c>
      <c r="G63" s="63">
        <f t="shared" si="5"/>
        <v>2.9757829015212556E-2</v>
      </c>
      <c r="H63" s="39">
        <f t="shared" si="2"/>
        <v>5.35679355430198E-2</v>
      </c>
      <c r="I63" s="39">
        <f t="shared" si="3"/>
        <v>4.7532850984228752</v>
      </c>
    </row>
    <row r="64" spans="2:9" s="30" customFormat="1" x14ac:dyDescent="0.25">
      <c r="B64" s="73">
        <v>52</v>
      </c>
      <c r="C64" s="39">
        <v>2.1022718402804421</v>
      </c>
      <c r="D64" s="35">
        <v>0.4438603472</v>
      </c>
      <c r="E64" s="60">
        <f t="shared" si="4"/>
        <v>2.6421444520029671</v>
      </c>
      <c r="F64" s="60">
        <v>88.661180035441461</v>
      </c>
      <c r="G64" s="63">
        <f t="shared" si="5"/>
        <v>2.9800465671072671E-2</v>
      </c>
      <c r="H64" s="39">
        <f t="shared" si="2"/>
        <v>5.3584500801257505E-2</v>
      </c>
      <c r="I64" s="39">
        <f t="shared" si="3"/>
        <v>4.7508650726495487</v>
      </c>
    </row>
    <row r="65" spans="2:9" s="30" customFormat="1" x14ac:dyDescent="0.25">
      <c r="B65" s="73">
        <v>53</v>
      </c>
      <c r="C65" s="39">
        <v>2.1010826440346118</v>
      </c>
      <c r="D65" s="35">
        <v>0.44324364954999995</v>
      </c>
      <c r="E65" s="60">
        <f t="shared" si="4"/>
        <v>2.6432666433371756</v>
      </c>
      <c r="F65" s="60">
        <v>88.563821229398641</v>
      </c>
      <c r="G65" s="63">
        <f t="shared" si="5"/>
        <v>2.9845896514453317E-2</v>
      </c>
      <c r="H65" s="39">
        <f t="shared" si="2"/>
        <v>5.360674645260944E-2</v>
      </c>
      <c r="I65" s="39">
        <f t="shared" si="3"/>
        <v>4.747618309518602</v>
      </c>
    </row>
    <row r="66" spans="2:9" s="30" customFormat="1" x14ac:dyDescent="0.25">
      <c r="B66" s="73">
        <v>54</v>
      </c>
      <c r="C66" s="39">
        <v>2.0995930086691916</v>
      </c>
      <c r="D66" s="35">
        <v>0.44264097959999998</v>
      </c>
      <c r="E66" s="60">
        <f t="shared" si="4"/>
        <v>2.643861396922579</v>
      </c>
      <c r="F66" s="60">
        <v>88.441938844223145</v>
      </c>
      <c r="G66" s="63">
        <f t="shared" si="5"/>
        <v>2.9893752121143948E-2</v>
      </c>
      <c r="H66" s="39">
        <f t="shared" si="2"/>
        <v>5.3634643070260328E-2</v>
      </c>
      <c r="I66" s="39">
        <f t="shared" si="3"/>
        <v>4.7435518223517006</v>
      </c>
    </row>
    <row r="67" spans="2:9" s="30" customFormat="1" x14ac:dyDescent="0.25">
      <c r="B67" s="73">
        <v>55</v>
      </c>
      <c r="C67" s="39">
        <v>2.097805280676921</v>
      </c>
      <c r="D67" s="35">
        <v>0.44205910625</v>
      </c>
      <c r="E67" s="60">
        <f t="shared" si="4"/>
        <v>2.6438991022157889</v>
      </c>
      <c r="F67" s="60">
        <v>88.295773912614564</v>
      </c>
      <c r="G67" s="63">
        <f t="shared" si="5"/>
        <v>2.9943665308743192E-2</v>
      </c>
      <c r="H67" s="39">
        <f t="shared" si="2"/>
        <v>5.3668167442410548E-2</v>
      </c>
      <c r="I67" s="39">
        <f t="shared" si="3"/>
        <v>4.7386723787994232</v>
      </c>
    </row>
    <row r="68" spans="2:9" s="30" customFormat="1" x14ac:dyDescent="0.25">
      <c r="B68" s="73">
        <v>56</v>
      </c>
      <c r="C68" s="39">
        <v>2.0957216936199803</v>
      </c>
      <c r="D68" s="35">
        <v>0.44150479839999995</v>
      </c>
      <c r="E68" s="60">
        <f t="shared" si="4"/>
        <v>2.6433502533196607</v>
      </c>
      <c r="F68" s="60">
        <v>88.12556746727239</v>
      </c>
      <c r="G68" s="63">
        <f t="shared" si="5"/>
        <v>2.9995270717562576E-2</v>
      </c>
      <c r="H68" s="39">
        <f t="shared" si="2"/>
        <v>5.3707302464964593E-2</v>
      </c>
      <c r="I68" s="39">
        <f t="shared" si="3"/>
        <v>4.7329865068614421</v>
      </c>
    </row>
    <row r="69" spans="2:9" s="30" customFormat="1" x14ac:dyDescent="0.25">
      <c r="B69" s="73">
        <v>57</v>
      </c>
      <c r="C69" s="39">
        <v>2.0933443706314439</v>
      </c>
      <c r="D69" s="35">
        <v>0.44098482495000008</v>
      </c>
      <c r="E69" s="60">
        <f t="shared" si="4"/>
        <v>2.6421855046178324</v>
      </c>
      <c r="F69" s="60">
        <v>87.931560540896228</v>
      </c>
      <c r="G69" s="63">
        <f t="shared" si="5"/>
        <v>3.004820440311615E-2</v>
      </c>
      <c r="H69" s="39">
        <f t="shared" si="2"/>
        <v>5.3752037054143574E-2</v>
      </c>
      <c r="I69" s="39">
        <f t="shared" si="3"/>
        <v>4.7265005004229232</v>
      </c>
    </row>
    <row r="70" spans="2:9" s="30" customFormat="1" x14ac:dyDescent="0.25">
      <c r="B70" s="73">
        <v>58</v>
      </c>
      <c r="C70" s="39">
        <v>2.0906753266835714</v>
      </c>
      <c r="D70" s="35">
        <v>0.44050595479999999</v>
      </c>
      <c r="E70" s="60">
        <f t="shared" si="4"/>
        <v>2.6403757253970195</v>
      </c>
      <c r="F70" s="60">
        <v>87.713994166185643</v>
      </c>
      <c r="G70" s="63">
        <f t="shared" si="5"/>
        <v>3.0102103438528659E-2</v>
      </c>
      <c r="H70" s="39">
        <f t="shared" si="2"/>
        <v>5.3802366078388175E-2</v>
      </c>
      <c r="I70" s="39">
        <f t="shared" si="3"/>
        <v>4.7192204243267248</v>
      </c>
    </row>
    <row r="71" spans="2:9" s="30" customFormat="1" x14ac:dyDescent="0.25">
      <c r="B71" s="73">
        <v>59</v>
      </c>
      <c r="C71" s="39">
        <v>2.0877164706315328</v>
      </c>
      <c r="D71" s="35">
        <v>0.44007495685000003</v>
      </c>
      <c r="E71" s="60">
        <f t="shared" si="4"/>
        <v>2.6378920535168588</v>
      </c>
      <c r="F71" s="60">
        <v>87.473109375840153</v>
      </c>
      <c r="G71" s="63">
        <f t="shared" si="5"/>
        <v>3.0156605525279725E-2</v>
      </c>
      <c r="H71" s="39">
        <f t="shared" si="2"/>
        <v>5.3858290309049421E-2</v>
      </c>
      <c r="I71" s="39">
        <f t="shared" si="3"/>
        <v>4.711152118999232</v>
      </c>
    </row>
    <row r="72" spans="2:9" s="30" customFormat="1" x14ac:dyDescent="0.25">
      <c r="B72" s="73">
        <v>60</v>
      </c>
      <c r="C72" s="39">
        <v>2.0844696070400519</v>
      </c>
      <c r="D72" s="35">
        <v>0.43969860000000005</v>
      </c>
      <c r="E72" s="60">
        <f t="shared" si="4"/>
        <v>2.6347059481842794</v>
      </c>
      <c r="F72" s="60">
        <v>87.209147202559322</v>
      </c>
      <c r="G72" s="63">
        <f t="shared" si="5"/>
        <v>3.0211348610767734E-2</v>
      </c>
      <c r="H72" s="39">
        <f t="shared" si="2"/>
        <v>5.391981638947848E-2</v>
      </c>
      <c r="I72" s="39">
        <f t="shared" si="3"/>
        <v>4.702301204644999</v>
      </c>
    </row>
    <row r="73" spans="2:9" s="30" customFormat="1" x14ac:dyDescent="0.25"/>
    <row r="74" spans="2:9" s="30" customFormat="1" x14ac:dyDescent="0.25"/>
    <row r="75" spans="2:9" s="30" customFormat="1" x14ac:dyDescent="0.25"/>
    <row r="76" spans="2:9" s="30" customFormat="1" x14ac:dyDescent="0.25"/>
    <row r="77" spans="2:9" s="30" customFormat="1" x14ac:dyDescent="0.25"/>
    <row r="78" spans="2:9" s="30" customFormat="1" x14ac:dyDescent="0.25"/>
    <row r="79" spans="2:9" s="30" customFormat="1" x14ac:dyDescent="0.25"/>
    <row r="80" spans="2:9" s="30" customFormat="1" x14ac:dyDescent="0.25"/>
    <row r="81" s="30" customFormat="1" x14ac:dyDescent="0.25"/>
    <row r="82" s="30" customFormat="1" x14ac:dyDescent="0.25"/>
    <row r="83" s="30" customFormat="1" x14ac:dyDescent="0.25"/>
    <row r="84" s="30" customFormat="1" x14ac:dyDescent="0.25"/>
    <row r="85" s="30" customFormat="1" x14ac:dyDescent="0.25"/>
    <row r="86" s="30" customFormat="1" x14ac:dyDescent="0.25"/>
    <row r="87" s="30" customFormat="1" x14ac:dyDescent="0.25"/>
    <row r="88" s="30" customFormat="1" x14ac:dyDescent="0.25"/>
    <row r="89" s="30" customFormat="1" x14ac:dyDescent="0.25"/>
  </sheetData>
  <mergeCells count="1">
    <mergeCell ref="S7:U7"/>
  </mergeCells>
  <pageMargins left="0.7" right="0.7" top="0.75" bottom="0.75" header="0.3" footer="0.3"/>
  <pageSetup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B3:I77"/>
  <sheetViews>
    <sheetView zoomScale="70" zoomScaleNormal="70" workbookViewId="0">
      <selection activeCell="E9" sqref="E9:G9"/>
    </sheetView>
  </sheetViews>
  <sheetFormatPr defaultColWidth="9.140625" defaultRowHeight="15.75" x14ac:dyDescent="0.25"/>
  <cols>
    <col min="1" max="1" width="9.140625" style="3"/>
    <col min="2" max="2" width="20" style="2" bestFit="1" customWidth="1"/>
    <col min="3" max="3" width="16.140625" style="2" customWidth="1"/>
    <col min="4" max="4" width="21.140625" style="2" customWidth="1"/>
    <col min="5" max="5" width="16.140625" style="3" customWidth="1"/>
    <col min="6" max="6" width="19.7109375" style="2" customWidth="1"/>
    <col min="7" max="7" width="11.85546875" style="2" bestFit="1" customWidth="1"/>
    <col min="8" max="8" width="9.140625" style="3"/>
    <col min="9" max="10" width="13.140625" style="3" bestFit="1" customWidth="1"/>
    <col min="11" max="16384" width="9.140625" style="3"/>
  </cols>
  <sheetData>
    <row r="3" spans="2:9" ht="35.25" customHeight="1" x14ac:dyDescent="0.25">
      <c r="B3" s="330" t="s">
        <v>59</v>
      </c>
      <c r="C3" s="330"/>
      <c r="D3" s="330"/>
      <c r="E3" s="330"/>
      <c r="F3" s="330"/>
      <c r="G3" s="330"/>
    </row>
    <row r="4" spans="2:9" s="2" customFormat="1" ht="63" x14ac:dyDescent="0.25">
      <c r="B4" s="10" t="s">
        <v>42</v>
      </c>
      <c r="C4" s="10" t="s">
        <v>47</v>
      </c>
      <c r="D4" s="10" t="s">
        <v>43</v>
      </c>
      <c r="E4" s="23" t="s">
        <v>55</v>
      </c>
      <c r="F4" s="23" t="s">
        <v>54</v>
      </c>
      <c r="G4" s="23">
        <v>3.5</v>
      </c>
    </row>
    <row r="5" spans="2:9" s="2" customFormat="1" ht="63" x14ac:dyDescent="0.25">
      <c r="B5" s="10" t="s">
        <v>44</v>
      </c>
      <c r="C5" s="10" t="s">
        <v>46</v>
      </c>
      <c r="D5" s="10" t="s">
        <v>45</v>
      </c>
      <c r="E5" s="10" t="s">
        <v>56</v>
      </c>
      <c r="F5" s="10" t="s">
        <v>57</v>
      </c>
      <c r="G5" s="10">
        <v>0</v>
      </c>
    </row>
    <row r="6" spans="2:9" s="2" customFormat="1" ht="31.5" x14ac:dyDescent="0.25">
      <c r="B6" s="10" t="s">
        <v>49</v>
      </c>
      <c r="C6" s="10" t="s">
        <v>50</v>
      </c>
      <c r="D6" s="10" t="s">
        <v>48</v>
      </c>
      <c r="E6" s="10"/>
      <c r="F6" s="10"/>
      <c r="G6" s="10"/>
      <c r="I6" s="18"/>
    </row>
    <row r="7" spans="2:9" s="2" customFormat="1" x14ac:dyDescent="0.25"/>
    <row r="8" spans="2:9" s="2" customFormat="1" ht="42" customHeight="1" x14ac:dyDescent="0.25">
      <c r="B8" s="232" t="s">
        <v>58</v>
      </c>
      <c r="C8" s="232" t="s">
        <v>11</v>
      </c>
      <c r="D8" s="232" t="s">
        <v>41</v>
      </c>
      <c r="E8" s="232" t="s">
        <v>51</v>
      </c>
      <c r="F8" s="331" t="s">
        <v>52</v>
      </c>
      <c r="G8" s="232" t="s">
        <v>53</v>
      </c>
    </row>
    <row r="9" spans="2:9" s="2" customFormat="1" ht="18.75" customHeight="1" x14ac:dyDescent="0.25">
      <c r="B9" s="73">
        <v>0.01</v>
      </c>
      <c r="C9" s="73">
        <v>0.30746587939305531</v>
      </c>
      <c r="D9" s="235">
        <v>0.35899999999999999</v>
      </c>
      <c r="E9" s="35">
        <f>3.5 * C9 * (1 + 0)</f>
        <v>1.0761305778756936</v>
      </c>
      <c r="F9" s="130">
        <f>E9 * 60</f>
        <v>64.567834672541608</v>
      </c>
      <c r="G9" s="60">
        <f>F9 * (1 - D9)</f>
        <v>41.38798202509917</v>
      </c>
    </row>
    <row r="10" spans="2:9" s="30" customFormat="1" ht="15.75" customHeight="1" x14ac:dyDescent="0.25">
      <c r="B10" s="125">
        <v>0.5</v>
      </c>
      <c r="C10" s="83">
        <v>0.39990447720200034</v>
      </c>
      <c r="D10" s="83">
        <v>0.35899999999999999</v>
      </c>
      <c r="E10" s="83">
        <f>3.5 * C10 * (1 + 0)</f>
        <v>1.3996656702070012</v>
      </c>
      <c r="F10" s="126">
        <f>E10 * 60</f>
        <v>83.979940212420075</v>
      </c>
      <c r="G10" s="104">
        <f>F10 * (1 - D10)</f>
        <v>53.831141676161266</v>
      </c>
    </row>
    <row r="11" spans="2:9" s="30" customFormat="1" ht="15.75" customHeight="1" x14ac:dyDescent="0.25">
      <c r="B11" s="125">
        <v>1</v>
      </c>
      <c r="C11" s="83">
        <v>0.47084660528982764</v>
      </c>
      <c r="D11" s="83">
        <v>0.35899999999999999</v>
      </c>
      <c r="E11" s="83">
        <f>3.5 * C11 * (1 + 0)</f>
        <v>1.6479631185143968</v>
      </c>
      <c r="F11" s="126">
        <f>E11 * 60</f>
        <v>98.877787110863807</v>
      </c>
      <c r="G11" s="104">
        <f>F11 * (1 - D11)</f>
        <v>63.380661538063698</v>
      </c>
    </row>
    <row r="12" spans="2:9" s="30" customFormat="1" ht="15.75" customHeight="1" x14ac:dyDescent="0.25">
      <c r="B12" s="228">
        <v>1.5</v>
      </c>
      <c r="C12" s="35">
        <v>0.52754261550150172</v>
      </c>
      <c r="D12" s="35">
        <v>0.35899999999999999</v>
      </c>
      <c r="E12" s="35">
        <f>3.5 * C12 * (1 + 0)</f>
        <v>1.846399154255256</v>
      </c>
      <c r="F12" s="130">
        <f>E12 * 60</f>
        <v>110.78394925531536</v>
      </c>
      <c r="G12" s="60">
        <f>F12 * (1 - D12)</f>
        <v>71.012511472657152</v>
      </c>
    </row>
    <row r="13" spans="2:9" s="2" customFormat="1" x14ac:dyDescent="0.25">
      <c r="B13" s="127">
        <v>2</v>
      </c>
      <c r="C13" s="17">
        <v>0.57480035840260446</v>
      </c>
      <c r="D13" s="17">
        <v>0.34298785720000002</v>
      </c>
      <c r="E13" s="17">
        <f t="shared" ref="E13:E73" si="0">3.5 * C13 * (1 + 0)</f>
        <v>2.0118012544091157</v>
      </c>
      <c r="F13" s="128">
        <f t="shared" ref="F13:F73" si="1">E13 * 60</f>
        <v>120.70807526454695</v>
      </c>
      <c r="G13" s="16">
        <f t="shared" ref="G13:G73" si="2">F13 * (1 - D13)</f>
        <v>79.306671182823663</v>
      </c>
    </row>
    <row r="14" spans="2:9" s="2" customFormat="1" x14ac:dyDescent="0.25">
      <c r="B14" s="127">
        <v>3</v>
      </c>
      <c r="C14" s="17">
        <v>0.65137460787092616</v>
      </c>
      <c r="D14" s="17">
        <v>0.35030012205</v>
      </c>
      <c r="E14" s="17">
        <f t="shared" si="0"/>
        <v>2.2798111275482418</v>
      </c>
      <c r="F14" s="128">
        <f t="shared" si="1"/>
        <v>136.7886676528945</v>
      </c>
      <c r="G14" s="16">
        <f t="shared" si="2"/>
        <v>88.871580679028682</v>
      </c>
    </row>
    <row r="15" spans="2:9" s="2" customFormat="1" x14ac:dyDescent="0.25">
      <c r="B15" s="127">
        <v>4</v>
      </c>
      <c r="C15" s="17">
        <v>0.73795757412230645</v>
      </c>
      <c r="D15" s="17">
        <v>0.35728796960000003</v>
      </c>
      <c r="E15" s="17">
        <f t="shared" si="0"/>
        <v>2.5828515094280724</v>
      </c>
      <c r="F15" s="128">
        <f t="shared" si="1"/>
        <v>154.97109056568434</v>
      </c>
      <c r="G15" s="16">
        <f t="shared" si="2"/>
        <v>99.601784270773265</v>
      </c>
    </row>
    <row r="16" spans="2:9" s="2" customFormat="1" x14ac:dyDescent="0.25">
      <c r="B16" s="127">
        <v>4.5</v>
      </c>
      <c r="C16" s="17">
        <v>0.77830629432603848</v>
      </c>
      <c r="D16" s="17">
        <v>0.36066235216875003</v>
      </c>
      <c r="E16" s="17">
        <f t="shared" si="0"/>
        <v>2.7240720301411345</v>
      </c>
      <c r="F16" s="128">
        <f t="shared" si="1"/>
        <v>163.44432180846806</v>
      </c>
      <c r="G16" s="16">
        <f t="shared" si="2"/>
        <v>104.49610825639985</v>
      </c>
    </row>
    <row r="17" spans="2:7" s="30" customFormat="1" x14ac:dyDescent="0.25">
      <c r="B17" s="125">
        <v>5</v>
      </c>
      <c r="C17" s="83">
        <v>0.81736276459690071</v>
      </c>
      <c r="D17" s="83">
        <v>0.36395816875000003</v>
      </c>
      <c r="E17" s="83">
        <f t="shared" si="0"/>
        <v>2.8607696760891526</v>
      </c>
      <c r="F17" s="126">
        <f t="shared" si="1"/>
        <v>171.64618056534914</v>
      </c>
      <c r="G17" s="104">
        <f t="shared" si="2"/>
        <v>109.17415101385284</v>
      </c>
    </row>
    <row r="18" spans="2:7" s="2" customFormat="1" x14ac:dyDescent="0.25">
      <c r="B18" s="127">
        <v>6</v>
      </c>
      <c r="C18" s="17">
        <v>0.89326491904118244</v>
      </c>
      <c r="D18" s="17">
        <v>0.37031748840000001</v>
      </c>
      <c r="E18" s="17">
        <f t="shared" si="0"/>
        <v>3.1264272166441387</v>
      </c>
      <c r="F18" s="128">
        <f t="shared" si="1"/>
        <v>187.58563299864832</v>
      </c>
      <c r="G18" s="16">
        <f t="shared" si="2"/>
        <v>118.11939252666471</v>
      </c>
    </row>
    <row r="19" spans="2:7" s="2" customFormat="1" x14ac:dyDescent="0.25">
      <c r="B19" s="127">
        <v>7</v>
      </c>
      <c r="C19" s="17">
        <v>0.96856232013624655</v>
      </c>
      <c r="D19" s="17">
        <v>0.37637269745000002</v>
      </c>
      <c r="E19" s="17">
        <f t="shared" si="0"/>
        <v>3.3899681204768628</v>
      </c>
      <c r="F19" s="128">
        <f t="shared" si="1"/>
        <v>203.39808722861176</v>
      </c>
      <c r="G19" s="16">
        <f t="shared" si="2"/>
        <v>126.84460048220875</v>
      </c>
    </row>
    <row r="20" spans="2:7" s="2" customFormat="1" x14ac:dyDescent="0.25">
      <c r="B20" s="127">
        <v>8</v>
      </c>
      <c r="C20" s="17">
        <v>1.0454940884648107</v>
      </c>
      <c r="D20" s="17">
        <v>0.38213056480000002</v>
      </c>
      <c r="E20" s="17">
        <f t="shared" si="0"/>
        <v>3.6592293096268378</v>
      </c>
      <c r="F20" s="128">
        <f t="shared" si="1"/>
        <v>219.55375857761027</v>
      </c>
      <c r="G20" s="16">
        <f t="shared" si="2"/>
        <v>135.65555680838523</v>
      </c>
    </row>
    <row r="21" spans="2:7" s="2" customFormat="1" x14ac:dyDescent="0.25">
      <c r="B21" s="127">
        <v>9</v>
      </c>
      <c r="C21" s="17">
        <v>1.1255710043346401</v>
      </c>
      <c r="D21" s="17">
        <v>0.38759785935000002</v>
      </c>
      <c r="E21" s="17">
        <f t="shared" si="0"/>
        <v>3.9394985151712403</v>
      </c>
      <c r="F21" s="128">
        <f t="shared" si="1"/>
        <v>236.36991091027443</v>
      </c>
      <c r="G21" s="16">
        <f t="shared" si="2"/>
        <v>144.75343942670185</v>
      </c>
    </row>
    <row r="22" spans="2:7" s="30" customFormat="1" x14ac:dyDescent="0.25">
      <c r="B22" s="125">
        <v>10</v>
      </c>
      <c r="C22" s="83">
        <v>1.2094366325862813</v>
      </c>
      <c r="D22" s="83">
        <v>0.39278135000000003</v>
      </c>
      <c r="E22" s="83">
        <f t="shared" si="0"/>
        <v>4.2330282140519842</v>
      </c>
      <c r="F22" s="126">
        <f t="shared" si="1"/>
        <v>253.98169284311905</v>
      </c>
      <c r="G22" s="104">
        <f t="shared" si="2"/>
        <v>154.2224206529134</v>
      </c>
    </row>
    <row r="23" spans="2:7" s="30" customFormat="1" x14ac:dyDescent="0.25">
      <c r="B23" s="228">
        <v>10.5</v>
      </c>
      <c r="C23" s="35">
        <v>1.2527363672269212</v>
      </c>
      <c r="D23" s="35">
        <v>0.39526878414375</v>
      </c>
      <c r="E23" s="35">
        <f t="shared" si="0"/>
        <v>4.384577285294224</v>
      </c>
      <c r="F23" s="130">
        <f t="shared" si="1"/>
        <v>263.07463711765342</v>
      </c>
      <c r="G23" s="60">
        <f t="shared" si="2"/>
        <v>159.0894451651003</v>
      </c>
    </row>
    <row r="24" spans="2:7" s="2" customFormat="1" x14ac:dyDescent="0.25">
      <c r="B24" s="127">
        <v>11</v>
      </c>
      <c r="C24" s="17">
        <v>1.2968192705159698</v>
      </c>
      <c r="D24" s="17">
        <v>0.39768780565</v>
      </c>
      <c r="E24" s="17">
        <f t="shared" si="0"/>
        <v>4.5388674468058943</v>
      </c>
      <c r="F24" s="128">
        <f t="shared" si="1"/>
        <v>272.33204680835365</v>
      </c>
      <c r="G24" s="16">
        <f t="shared" si="2"/>
        <v>164.02891270496642</v>
      </c>
    </row>
    <row r="25" spans="2:7" s="2" customFormat="1" x14ac:dyDescent="0.25">
      <c r="B25" s="127">
        <v>12</v>
      </c>
      <c r="C25" s="17">
        <v>1.3868647123592963</v>
      </c>
      <c r="D25" s="17">
        <v>0.40232399520000001</v>
      </c>
      <c r="E25" s="17">
        <f t="shared" si="0"/>
        <v>4.8540264932575372</v>
      </c>
      <c r="F25" s="128">
        <f t="shared" si="1"/>
        <v>291.24158959545224</v>
      </c>
      <c r="G25" s="16">
        <f t="shared" si="2"/>
        <v>174.06810970101117</v>
      </c>
    </row>
    <row r="26" spans="2:7" s="2" customFormat="1" x14ac:dyDescent="0.25">
      <c r="B26" s="127">
        <v>13</v>
      </c>
      <c r="C26" s="17">
        <v>1.4793236410029076</v>
      </c>
      <c r="D26" s="17">
        <v>0.40669668754999999</v>
      </c>
      <c r="E26" s="17">
        <f t="shared" si="0"/>
        <v>5.177632743510177</v>
      </c>
      <c r="F26" s="128">
        <f t="shared" si="1"/>
        <v>310.65796461061063</v>
      </c>
      <c r="G26" s="16">
        <f t="shared" si="2"/>
        <v>184.31439944245017</v>
      </c>
    </row>
    <row r="27" spans="2:7" s="2" customFormat="1" x14ac:dyDescent="0.25">
      <c r="B27" s="127">
        <v>14</v>
      </c>
      <c r="C27" s="17">
        <v>1.5759468555569693</v>
      </c>
      <c r="D27" s="17">
        <v>0.41081265160000002</v>
      </c>
      <c r="E27" s="17">
        <f t="shared" si="0"/>
        <v>5.5158139944493927</v>
      </c>
      <c r="F27" s="128">
        <f t="shared" si="1"/>
        <v>330.94883966696358</v>
      </c>
      <c r="G27" s="16">
        <f t="shared" si="2"/>
        <v>194.99086929943499</v>
      </c>
    </row>
    <row r="28" spans="2:7" s="2" customFormat="1" x14ac:dyDescent="0.25">
      <c r="B28" s="127">
        <v>15</v>
      </c>
      <c r="C28" s="17">
        <v>1.6740838758918732</v>
      </c>
      <c r="D28" s="17">
        <v>0.41467865625</v>
      </c>
      <c r="E28" s="17">
        <f t="shared" si="0"/>
        <v>5.8592935656215559</v>
      </c>
      <c r="F28" s="128">
        <f t="shared" si="1"/>
        <v>351.55761393729335</v>
      </c>
      <c r="G28" s="16">
        <f t="shared" si="2"/>
        <v>205.77417499532027</v>
      </c>
    </row>
    <row r="29" spans="2:7" s="2" customFormat="1" x14ac:dyDescent="0.25">
      <c r="B29" s="127">
        <v>16</v>
      </c>
      <c r="C29" s="17">
        <v>1.7574263379100081</v>
      </c>
      <c r="D29" s="17">
        <v>0.41830147039999999</v>
      </c>
      <c r="E29" s="17">
        <f t="shared" si="0"/>
        <v>6.1509921826850285</v>
      </c>
      <c r="F29" s="128">
        <f t="shared" si="1"/>
        <v>369.0595309611017</v>
      </c>
      <c r="G29" s="16">
        <f t="shared" si="2"/>
        <v>214.68138649493855</v>
      </c>
    </row>
    <row r="30" spans="2:7" s="2" customFormat="1" x14ac:dyDescent="0.25">
      <c r="B30" s="127">
        <v>17</v>
      </c>
      <c r="C30" s="17">
        <v>1.8196219260392295</v>
      </c>
      <c r="D30" s="17">
        <v>0.42168786294999999</v>
      </c>
      <c r="E30" s="17">
        <f t="shared" si="0"/>
        <v>6.3686767411373033</v>
      </c>
      <c r="F30" s="128">
        <f t="shared" si="1"/>
        <v>382.12060446823818</v>
      </c>
      <c r="G30" s="16">
        <f t="shared" si="2"/>
        <v>220.98498338086458</v>
      </c>
    </row>
    <row r="31" spans="2:7" s="2" customFormat="1" x14ac:dyDescent="0.25">
      <c r="B31" s="127">
        <v>18</v>
      </c>
      <c r="C31" s="17">
        <v>1.8671219307859706</v>
      </c>
      <c r="D31" s="17">
        <v>0.42484460280000003</v>
      </c>
      <c r="E31" s="17">
        <f t="shared" si="0"/>
        <v>6.5349267577508972</v>
      </c>
      <c r="F31" s="128">
        <f t="shared" si="1"/>
        <v>392.09560546505384</v>
      </c>
      <c r="G31" s="16">
        <f t="shared" si="2"/>
        <v>225.51590370162751</v>
      </c>
    </row>
    <row r="32" spans="2:7" s="2" customFormat="1" x14ac:dyDescent="0.25">
      <c r="B32" s="127">
        <v>19</v>
      </c>
      <c r="C32" s="17">
        <v>1.9045475744059872</v>
      </c>
      <c r="D32" s="17">
        <v>0.42777845884999999</v>
      </c>
      <c r="E32" s="17">
        <f t="shared" si="0"/>
        <v>6.6659165104209555</v>
      </c>
      <c r="F32" s="128">
        <f t="shared" si="1"/>
        <v>399.95499062525732</v>
      </c>
      <c r="G32" s="16">
        <f t="shared" si="2"/>
        <v>228.86286112621855</v>
      </c>
    </row>
    <row r="33" spans="2:7" s="2" customFormat="1" x14ac:dyDescent="0.25">
      <c r="B33" s="127">
        <v>20</v>
      </c>
      <c r="C33" s="17">
        <v>1.9341352717001874</v>
      </c>
      <c r="D33" s="17">
        <v>0.4304962</v>
      </c>
      <c r="E33" s="17">
        <f t="shared" si="0"/>
        <v>6.769473450950656</v>
      </c>
      <c r="F33" s="128">
        <f t="shared" si="1"/>
        <v>406.16840705703936</v>
      </c>
      <c r="G33" s="16">
        <f t="shared" si="2"/>
        <v>231.31445125893075</v>
      </c>
    </row>
    <row r="34" spans="2:7" s="2" customFormat="1" x14ac:dyDescent="0.25">
      <c r="B34" s="127">
        <v>21</v>
      </c>
      <c r="C34" s="17">
        <v>1.9573792543965429</v>
      </c>
      <c r="D34" s="17">
        <v>0.43300459515</v>
      </c>
      <c r="E34" s="17">
        <f t="shared" si="0"/>
        <v>6.8508273903879005</v>
      </c>
      <c r="F34" s="128">
        <f t="shared" si="1"/>
        <v>411.04964342327401</v>
      </c>
      <c r="G34" s="16">
        <f t="shared" si="2"/>
        <v>233.0632589862274</v>
      </c>
    </row>
    <row r="35" spans="2:7" s="2" customFormat="1" x14ac:dyDescent="0.25">
      <c r="B35" s="127">
        <v>22</v>
      </c>
      <c r="C35" s="17">
        <v>1.9755305890001138</v>
      </c>
      <c r="D35" s="17">
        <v>0.43531041319999997</v>
      </c>
      <c r="E35" s="17">
        <f t="shared" si="0"/>
        <v>6.9143570615003984</v>
      </c>
      <c r="F35" s="128">
        <f t="shared" si="1"/>
        <v>414.86142369002391</v>
      </c>
      <c r="G35" s="16">
        <f t="shared" si="2"/>
        <v>234.26792592277934</v>
      </c>
    </row>
    <row r="36" spans="2:7" s="2" customFormat="1" x14ac:dyDescent="0.25">
      <c r="B36" s="127">
        <v>23</v>
      </c>
      <c r="C36" s="17">
        <v>1.9896665748206297</v>
      </c>
      <c r="D36" s="17">
        <v>0.43742042305000001</v>
      </c>
      <c r="E36" s="17">
        <f t="shared" si="0"/>
        <v>6.9638330118722038</v>
      </c>
      <c r="F36" s="128">
        <f t="shared" si="1"/>
        <v>417.82998071233226</v>
      </c>
      <c r="G36" s="16">
        <f t="shared" si="2"/>
        <v>235.06261378617052</v>
      </c>
    </row>
    <row r="37" spans="2:7" s="2" customFormat="1" x14ac:dyDescent="0.25">
      <c r="B37" s="127">
        <v>24</v>
      </c>
      <c r="C37" s="17">
        <v>2.0006874593674868</v>
      </c>
      <c r="D37" s="17">
        <v>0.43934139360000002</v>
      </c>
      <c r="E37" s="17">
        <f t="shared" si="0"/>
        <v>7.0024061077862036</v>
      </c>
      <c r="F37" s="128">
        <f t="shared" si="1"/>
        <v>420.14436646717223</v>
      </c>
      <c r="G37" s="16">
        <f t="shared" si="2"/>
        <v>235.55755499029567</v>
      </c>
    </row>
    <row r="38" spans="2:7" s="30" customFormat="1" x14ac:dyDescent="0.25">
      <c r="B38" s="125">
        <v>25</v>
      </c>
      <c r="C38" s="121">
        <v>2.0093205933567493</v>
      </c>
      <c r="D38" s="121">
        <v>0.44108009375000001</v>
      </c>
      <c r="E38" s="121">
        <f t="shared" si="0"/>
        <v>7.0326220767486225</v>
      </c>
      <c r="F38" s="129">
        <f t="shared" si="1"/>
        <v>421.95732460491735</v>
      </c>
      <c r="G38" s="122">
        <f t="shared" si="2"/>
        <v>235.84034830968122</v>
      </c>
    </row>
    <row r="39" spans="2:7" s="2" customFormat="1" x14ac:dyDescent="0.25">
      <c r="B39" s="127">
        <v>26</v>
      </c>
      <c r="C39" s="17">
        <v>2.0167900740889615</v>
      </c>
      <c r="D39" s="17">
        <v>0.4426432924</v>
      </c>
      <c r="E39" s="17">
        <f t="shared" si="0"/>
        <v>7.0587652593113654</v>
      </c>
      <c r="F39" s="128">
        <f t="shared" si="1"/>
        <v>423.5259155586819</v>
      </c>
      <c r="G39" s="16">
        <f t="shared" si="2"/>
        <v>236.05500987906257</v>
      </c>
    </row>
    <row r="40" spans="2:7" s="2" customFormat="1" x14ac:dyDescent="0.25">
      <c r="B40" s="127">
        <v>27</v>
      </c>
      <c r="C40" s="17">
        <v>2.0247099608044241</v>
      </c>
      <c r="D40" s="17">
        <v>0.44403775844999999</v>
      </c>
      <c r="E40" s="17">
        <f t="shared" si="0"/>
        <v>7.0864848628154844</v>
      </c>
      <c r="F40" s="128">
        <f t="shared" si="1"/>
        <v>425.18909176892907</v>
      </c>
      <c r="G40" s="16">
        <f t="shared" si="2"/>
        <v>236.38908054246249</v>
      </c>
    </row>
    <row r="41" spans="2:7" s="2" customFormat="1" x14ac:dyDescent="0.25">
      <c r="B41" s="127">
        <v>28</v>
      </c>
      <c r="C41" s="17">
        <v>2.032212625093889</v>
      </c>
      <c r="D41" s="17">
        <v>0.44527026079999998</v>
      </c>
      <c r="E41" s="17">
        <f t="shared" si="0"/>
        <v>7.1127441878286115</v>
      </c>
      <c r="F41" s="128">
        <f t="shared" si="1"/>
        <v>426.76465126971669</v>
      </c>
      <c r="G41" s="16">
        <f t="shared" si="2"/>
        <v>236.7390436986289</v>
      </c>
    </row>
    <row r="42" spans="2:7" s="2" customFormat="1" x14ac:dyDescent="0.25">
      <c r="B42" s="127">
        <v>29</v>
      </c>
      <c r="C42" s="17">
        <v>2.0393054414853733</v>
      </c>
      <c r="D42" s="17">
        <v>0.44634756835</v>
      </c>
      <c r="E42" s="17">
        <f t="shared" si="0"/>
        <v>7.1375690451988065</v>
      </c>
      <c r="F42" s="128">
        <f t="shared" si="1"/>
        <v>428.25414271192841</v>
      </c>
      <c r="G42" s="16">
        <f t="shared" si="2"/>
        <v>237.10394747664529</v>
      </c>
    </row>
    <row r="43" spans="2:7" s="2" customFormat="1" x14ac:dyDescent="0.25">
      <c r="B43" s="127">
        <v>30</v>
      </c>
      <c r="C43" s="17">
        <v>2.0459954499931121</v>
      </c>
      <c r="D43" s="17">
        <v>0.44727644999999999</v>
      </c>
      <c r="E43" s="17">
        <f t="shared" si="0"/>
        <v>7.1609840749758922</v>
      </c>
      <c r="F43" s="128">
        <f t="shared" si="1"/>
        <v>429.65904449855356</v>
      </c>
      <c r="G43" s="16">
        <f t="shared" si="2"/>
        <v>237.48267236484853</v>
      </c>
    </row>
    <row r="44" spans="2:7" s="2" customFormat="1" x14ac:dyDescent="0.25">
      <c r="B44" s="127">
        <v>31</v>
      </c>
      <c r="C44" s="17">
        <v>2.0522893762016219</v>
      </c>
      <c r="D44" s="17">
        <v>0.44806367465000002</v>
      </c>
      <c r="E44" s="17">
        <f t="shared" si="0"/>
        <v>7.183012816705677</v>
      </c>
      <c r="F44" s="128">
        <f t="shared" si="1"/>
        <v>430.98076900234059</v>
      </c>
      <c r="G44" s="16">
        <f t="shared" si="2"/>
        <v>237.87394193966907</v>
      </c>
    </row>
    <row r="45" spans="2:7" s="2" customFormat="1" x14ac:dyDescent="0.25">
      <c r="B45" s="127">
        <v>32</v>
      </c>
      <c r="C45" s="17">
        <v>2.058193648911907</v>
      </c>
      <c r="D45" s="17">
        <v>0.44871601119999999</v>
      </c>
      <c r="E45" s="17">
        <f t="shared" si="0"/>
        <v>7.2036777711916749</v>
      </c>
      <c r="F45" s="128">
        <f t="shared" si="1"/>
        <v>432.22066627150048</v>
      </c>
      <c r="G45" s="16">
        <f t="shared" si="2"/>
        <v>238.27633294394644</v>
      </c>
    </row>
    <row r="46" spans="2:7" s="2" customFormat="1" x14ac:dyDescent="0.25">
      <c r="B46" s="127">
        <v>33</v>
      </c>
      <c r="C46" s="17">
        <v>2.0637144162302161</v>
      </c>
      <c r="D46" s="17">
        <v>0.44924022855000001</v>
      </c>
      <c r="E46" s="17">
        <f t="shared" si="0"/>
        <v>7.2230004568057566</v>
      </c>
      <c r="F46" s="128">
        <f t="shared" si="1"/>
        <v>433.38002740834543</v>
      </c>
      <c r="G46" s="16">
        <f t="shared" si="2"/>
        <v>238.68828484641506</v>
      </c>
    </row>
    <row r="47" spans="2:7" s="2" customFormat="1" x14ac:dyDescent="0.25">
      <c r="B47" s="127">
        <v>34</v>
      </c>
      <c r="C47" s="17">
        <v>2.0688575603865131</v>
      </c>
      <c r="D47" s="17">
        <v>0.44964309559999999</v>
      </c>
      <c r="E47" s="17">
        <f t="shared" si="0"/>
        <v>7.2410014613527958</v>
      </c>
      <c r="F47" s="128">
        <f t="shared" si="1"/>
        <v>434.46008768116775</v>
      </c>
      <c r="G47" s="16">
        <f t="shared" si="2"/>
        <v>239.10810894156009</v>
      </c>
    </row>
    <row r="48" spans="2:7" s="2" customFormat="1" x14ac:dyDescent="0.25">
      <c r="B48" s="127">
        <v>35</v>
      </c>
      <c r="C48" s="17">
        <v>2.0736287114273169</v>
      </c>
      <c r="D48" s="17">
        <v>0.44993138125000004</v>
      </c>
      <c r="E48" s="17">
        <f t="shared" si="0"/>
        <v>7.2577004899956092</v>
      </c>
      <c r="F48" s="128">
        <f t="shared" si="1"/>
        <v>435.46202939973654</v>
      </c>
      <c r="G48" s="16">
        <f t="shared" si="2"/>
        <v>239.53399702998493</v>
      </c>
    </row>
    <row r="49" spans="2:7" s="2" customFormat="1" x14ac:dyDescent="0.25">
      <c r="B49" s="127">
        <v>36</v>
      </c>
      <c r="C49" s="17">
        <v>2.07803325988719</v>
      </c>
      <c r="D49" s="17">
        <v>0.45011185440000001</v>
      </c>
      <c r="E49" s="17">
        <f t="shared" si="0"/>
        <v>7.2731164096051648</v>
      </c>
      <c r="F49" s="128">
        <f t="shared" si="1"/>
        <v>436.38698457630989</v>
      </c>
      <c r="G49" s="16">
        <f t="shared" si="2"/>
        <v>239.96402971264283</v>
      </c>
    </row>
    <row r="50" spans="2:7" s="2" customFormat="1" x14ac:dyDescent="0.25">
      <c r="B50" s="127">
        <v>37</v>
      </c>
      <c r="C50" s="17">
        <v>2.0820763685267405</v>
      </c>
      <c r="D50" s="17">
        <v>0.45019128395000002</v>
      </c>
      <c r="E50" s="17">
        <f t="shared" si="0"/>
        <v>7.2872672898435917</v>
      </c>
      <c r="F50" s="128">
        <f t="shared" si="1"/>
        <v>437.23603739061548</v>
      </c>
      <c r="G50" s="16">
        <f t="shared" si="2"/>
        <v>240.3961843285241</v>
      </c>
    </row>
    <row r="51" spans="2:7" s="2" customFormat="1" x14ac:dyDescent="0.25">
      <c r="B51" s="127">
        <v>38</v>
      </c>
      <c r="C51" s="17">
        <v>2.0857629832146642</v>
      </c>
      <c r="D51" s="17">
        <v>0.45017643880000002</v>
      </c>
      <c r="E51" s="17">
        <f t="shared" si="0"/>
        <v>7.3001704412513249</v>
      </c>
      <c r="F51" s="128">
        <f t="shared" si="1"/>
        <v>438.01022647507949</v>
      </c>
      <c r="G51" s="16">
        <f t="shared" si="2"/>
        <v>240.82834256254671</v>
      </c>
    </row>
    <row r="52" spans="2:7" s="2" customFormat="1" x14ac:dyDescent="0.25">
      <c r="B52" s="127">
        <v>39</v>
      </c>
      <c r="C52" s="17">
        <v>2.089097843023298</v>
      </c>
      <c r="D52" s="17">
        <v>0.45007408785000003</v>
      </c>
      <c r="E52" s="17">
        <f t="shared" si="0"/>
        <v>7.3118424505815431</v>
      </c>
      <c r="F52" s="128">
        <f t="shared" si="1"/>
        <v>438.71054703489261</v>
      </c>
      <c r="G52" s="16">
        <f t="shared" si="2"/>
        <v>241.25829774798879</v>
      </c>
    </row>
    <row r="53" spans="2:7" s="2" customFormat="1" x14ac:dyDescent="0.25">
      <c r="B53" s="127">
        <v>40</v>
      </c>
      <c r="C53" s="17">
        <v>2.0920854896000871</v>
      </c>
      <c r="D53" s="17">
        <v>0.44989099999999999</v>
      </c>
      <c r="E53" s="17">
        <f t="shared" si="0"/>
        <v>7.3222992136003047</v>
      </c>
      <c r="F53" s="128">
        <f t="shared" si="1"/>
        <v>439.33795281601829</v>
      </c>
      <c r="G53" s="16">
        <f t="shared" si="2"/>
        <v>241.683761885667</v>
      </c>
    </row>
    <row r="54" spans="2:7" s="2" customFormat="1" x14ac:dyDescent="0.25">
      <c r="B54" s="127">
        <v>41</v>
      </c>
      <c r="C54" s="17">
        <v>2.09473027587127</v>
      </c>
      <c r="D54" s="17">
        <v>0.44963394415000002</v>
      </c>
      <c r="E54" s="17">
        <f t="shared" si="0"/>
        <v>7.3315559655494447</v>
      </c>
      <c r="F54" s="128">
        <f t="shared" si="1"/>
        <v>439.89335793296669</v>
      </c>
      <c r="G54" s="16">
        <f t="shared" si="2"/>
        <v>242.10237240017918</v>
      </c>
    </row>
    <row r="55" spans="2:7" s="2" customFormat="1" x14ac:dyDescent="0.25">
      <c r="B55" s="127">
        <v>42</v>
      </c>
      <c r="C55" s="17">
        <v>2.097036374128507</v>
      </c>
      <c r="D55" s="17">
        <v>0.44930968920000003</v>
      </c>
      <c r="E55" s="17">
        <f t="shared" si="0"/>
        <v>7.3396273094497744</v>
      </c>
      <c r="F55" s="128">
        <f t="shared" si="1"/>
        <v>440.37763856698643</v>
      </c>
      <c r="G55" s="16">
        <f t="shared" si="2"/>
        <v>242.51169865182382</v>
      </c>
    </row>
    <row r="56" spans="2:7" s="2" customFormat="1" x14ac:dyDescent="0.25">
      <c r="B56" s="127">
        <v>43</v>
      </c>
      <c r="C56" s="17">
        <v>2.0990077835443399</v>
      </c>
      <c r="D56" s="17">
        <v>0.44892500404999996</v>
      </c>
      <c r="E56" s="17">
        <f t="shared" si="0"/>
        <v>7.3465272424051893</v>
      </c>
      <c r="F56" s="128">
        <f t="shared" si="1"/>
        <v>440.79163454431136</v>
      </c>
      <c r="G56" s="16">
        <f t="shared" si="2"/>
        <v>242.90924822130032</v>
      </c>
    </row>
    <row r="57" spans="2:7" s="2" customFormat="1" x14ac:dyDescent="0.25">
      <c r="B57" s="127">
        <v>44</v>
      </c>
      <c r="C57" s="17">
        <v>2.1006483371579097</v>
      </c>
      <c r="D57" s="17">
        <v>0.44848665759999995</v>
      </c>
      <c r="E57" s="17">
        <f t="shared" si="0"/>
        <v>7.3522691800526836</v>
      </c>
      <c r="F57" s="128">
        <f t="shared" si="1"/>
        <v>441.136150803161</v>
      </c>
      <c r="G57" s="16">
        <f t="shared" si="2"/>
        <v>243.29247298292179</v>
      </c>
    </row>
    <row r="58" spans="2:7" s="2" customFormat="1" x14ac:dyDescent="0.25">
      <c r="B58" s="127">
        <v>45</v>
      </c>
      <c r="C58" s="17">
        <v>2.1019617083684641</v>
      </c>
      <c r="D58" s="17">
        <v>0.44800141874999999</v>
      </c>
      <c r="E58" s="17">
        <f t="shared" si="0"/>
        <v>7.3568659792896245</v>
      </c>
      <c r="F58" s="128">
        <f t="shared" si="1"/>
        <v>441.41195875737748</v>
      </c>
      <c r="G58" s="16">
        <f t="shared" si="2"/>
        <v>243.6587749808559</v>
      </c>
    </row>
    <row r="59" spans="2:7" s="2" customFormat="1" x14ac:dyDescent="0.25">
      <c r="B59" s="127">
        <v>46</v>
      </c>
      <c r="C59" s="17">
        <v>2.1029514169706109</v>
      </c>
      <c r="D59" s="17">
        <v>0.44747605639999999</v>
      </c>
      <c r="E59" s="17">
        <f t="shared" si="0"/>
        <v>7.3603299593971379</v>
      </c>
      <c r="F59" s="128">
        <f t="shared" si="1"/>
        <v>441.61979756382829</v>
      </c>
      <c r="G59" s="16">
        <f t="shared" si="2"/>
        <v>244.00551212180008</v>
      </c>
    </row>
    <row r="60" spans="2:7" s="2" customFormat="1" x14ac:dyDescent="0.25">
      <c r="B60" s="127">
        <v>47</v>
      </c>
      <c r="C60" s="17">
        <v>2.1036208347620757</v>
      </c>
      <c r="D60" s="17">
        <v>0.44691733945000001</v>
      </c>
      <c r="E60" s="17">
        <f t="shared" si="0"/>
        <v>7.3626729216672651</v>
      </c>
      <c r="F60" s="128">
        <f t="shared" si="1"/>
        <v>441.76037530003589</v>
      </c>
      <c r="G60" s="16">
        <f t="shared" si="2"/>
        <v>244.33000369651035</v>
      </c>
    </row>
    <row r="61" spans="2:7" s="2" customFormat="1" x14ac:dyDescent="0.25">
      <c r="B61" s="127">
        <v>48</v>
      </c>
      <c r="C61" s="17">
        <v>2.1039731907518453</v>
      </c>
      <c r="D61" s="17">
        <v>0.4463320368</v>
      </c>
      <c r="E61" s="17">
        <f t="shared" si="0"/>
        <v>7.363906167631459</v>
      </c>
      <c r="F61" s="128">
        <f t="shared" si="1"/>
        <v>441.83437005788755</v>
      </c>
      <c r="G61" s="16">
        <f t="shared" si="2"/>
        <v>244.62953574170567</v>
      </c>
    </row>
    <row r="62" spans="2:7" s="2" customFormat="1" x14ac:dyDescent="0.25">
      <c r="B62" s="127">
        <v>49</v>
      </c>
      <c r="C62" s="17">
        <v>2.1040115759939266</v>
      </c>
      <c r="D62" s="17">
        <v>0.44572691734999997</v>
      </c>
      <c r="E62" s="17">
        <f t="shared" si="0"/>
        <v>7.3640405159787434</v>
      </c>
      <c r="F62" s="128">
        <f t="shared" si="1"/>
        <v>441.84243095872461</v>
      </c>
      <c r="G62" s="16">
        <f t="shared" si="2"/>
        <v>244.90136625306206</v>
      </c>
    </row>
    <row r="63" spans="2:7" s="2" customFormat="1" x14ac:dyDescent="0.25">
      <c r="B63" s="127">
        <v>50</v>
      </c>
      <c r="C63" s="17">
        <v>2.1037389480696294</v>
      </c>
      <c r="D63" s="17">
        <v>0.44510874999999994</v>
      </c>
      <c r="E63" s="17">
        <f t="shared" si="0"/>
        <v>7.3630863182437025</v>
      </c>
      <c r="F63" s="128">
        <f t="shared" si="1"/>
        <v>441.78517909462215</v>
      </c>
      <c r="G63" s="16">
        <f t="shared" si="2"/>
        <v>245.14273025928878</v>
      </c>
    </row>
    <row r="64" spans="2:7" s="2" customFormat="1" x14ac:dyDescent="0.25">
      <c r="B64" s="127">
        <v>51</v>
      </c>
      <c r="C64" s="17">
        <v>2.1031581352390387</v>
      </c>
      <c r="D64" s="17">
        <v>0.44448430365000002</v>
      </c>
      <c r="E64" s="17">
        <f t="shared" si="0"/>
        <v>7.3610534733366357</v>
      </c>
      <c r="F64" s="128">
        <f t="shared" si="1"/>
        <v>441.66320840019813</v>
      </c>
      <c r="G64" s="16">
        <f t="shared" si="2"/>
        <v>245.35084476661123</v>
      </c>
    </row>
    <row r="65" spans="2:7" s="2" customFormat="1" x14ac:dyDescent="0.25">
      <c r="B65" s="127">
        <v>52</v>
      </c>
      <c r="C65" s="17">
        <v>2.1022718402804421</v>
      </c>
      <c r="D65" s="17">
        <v>0.4438603472</v>
      </c>
      <c r="E65" s="17">
        <f t="shared" si="0"/>
        <v>7.3579514409815472</v>
      </c>
      <c r="F65" s="128">
        <f t="shared" si="1"/>
        <v>441.47708645889281</v>
      </c>
      <c r="G65" s="16">
        <f t="shared" si="2"/>
        <v>245.52291358240421</v>
      </c>
    </row>
    <row r="66" spans="2:7" s="2" customFormat="1" x14ac:dyDescent="0.25">
      <c r="B66" s="127">
        <v>53</v>
      </c>
      <c r="C66" s="17">
        <v>2.1010826440346118</v>
      </c>
      <c r="D66" s="17">
        <v>0.44324364954999995</v>
      </c>
      <c r="E66" s="17">
        <f t="shared" si="0"/>
        <v>7.3537892541211409</v>
      </c>
      <c r="F66" s="128">
        <f t="shared" si="1"/>
        <v>441.22735524726846</v>
      </c>
      <c r="G66" s="16">
        <f t="shared" si="2"/>
        <v>245.65613202617487</v>
      </c>
    </row>
    <row r="67" spans="2:7" s="2" customFormat="1" x14ac:dyDescent="0.25">
      <c r="B67" s="127">
        <v>54</v>
      </c>
      <c r="C67" s="17">
        <v>2.0995930086691916</v>
      </c>
      <c r="D67" s="17">
        <v>0.44264097959999998</v>
      </c>
      <c r="E67" s="17">
        <f t="shared" si="0"/>
        <v>7.3485755303421705</v>
      </c>
      <c r="F67" s="128">
        <f t="shared" si="1"/>
        <v>440.91453182053021</v>
      </c>
      <c r="G67" s="16">
        <f t="shared" si="2"/>
        <v>245.74769153561539</v>
      </c>
    </row>
    <row r="68" spans="2:7" s="2" customFormat="1" x14ac:dyDescent="0.25">
      <c r="B68" s="127">
        <v>55</v>
      </c>
      <c r="C68" s="17">
        <v>2.097805280676921</v>
      </c>
      <c r="D68" s="17">
        <v>0.44205910625</v>
      </c>
      <c r="E68" s="17">
        <f t="shared" si="0"/>
        <v>7.3423184823692234</v>
      </c>
      <c r="F68" s="128">
        <f t="shared" si="1"/>
        <v>440.5391089421534</v>
      </c>
      <c r="G68" s="16">
        <f t="shared" si="2"/>
        <v>245.79478417501369</v>
      </c>
    </row>
    <row r="69" spans="2:7" s="2" customFormat="1" x14ac:dyDescent="0.25">
      <c r="B69" s="127">
        <v>56</v>
      </c>
      <c r="C69" s="17">
        <v>2.0957216936199803</v>
      </c>
      <c r="D69" s="17">
        <v>0.44150479839999995</v>
      </c>
      <c r="E69" s="17">
        <f t="shared" si="0"/>
        <v>7.335025927669931</v>
      </c>
      <c r="F69" s="128">
        <f t="shared" si="1"/>
        <v>440.10155566019586</v>
      </c>
      <c r="G69" s="16">
        <f t="shared" si="2"/>
        <v>245.7946070529147</v>
      </c>
    </row>
    <row r="70" spans="2:7" s="2" customFormat="1" x14ac:dyDescent="0.25">
      <c r="B70" s="127">
        <v>57</v>
      </c>
      <c r="C70" s="17">
        <v>2.0933443706314439</v>
      </c>
      <c r="D70" s="17">
        <v>0.44098482495000008</v>
      </c>
      <c r="E70" s="17">
        <f t="shared" si="0"/>
        <v>7.3267052972100535</v>
      </c>
      <c r="F70" s="128">
        <f t="shared" si="1"/>
        <v>439.60231783260321</v>
      </c>
      <c r="G70" s="16">
        <f t="shared" si="2"/>
        <v>245.74436665557835</v>
      </c>
    </row>
    <row r="71" spans="2:7" s="2" customFormat="1" x14ac:dyDescent="0.25">
      <c r="B71" s="127">
        <v>58</v>
      </c>
      <c r="C71" s="17">
        <v>2.0906753266835714</v>
      </c>
      <c r="D71" s="17">
        <v>0.44050595479999999</v>
      </c>
      <c r="E71" s="17">
        <f t="shared" si="0"/>
        <v>7.3173636433924996</v>
      </c>
      <c r="F71" s="128">
        <f t="shared" si="1"/>
        <v>439.04181860354998</v>
      </c>
      <c r="G71" s="16">
        <f t="shared" si="2"/>
        <v>245.6412831024648</v>
      </c>
    </row>
    <row r="72" spans="2:7" s="2" customFormat="1" x14ac:dyDescent="0.25">
      <c r="B72" s="127">
        <v>59</v>
      </c>
      <c r="C72" s="17">
        <v>2.0877164706315328</v>
      </c>
      <c r="D72" s="17">
        <v>0.44007495685000003</v>
      </c>
      <c r="E72" s="17">
        <f t="shared" si="0"/>
        <v>7.3070076472103649</v>
      </c>
      <c r="F72" s="128">
        <f t="shared" si="1"/>
        <v>438.42045883262188</v>
      </c>
      <c r="G72" s="16">
        <f t="shared" si="2"/>
        <v>245.4825943296986</v>
      </c>
    </row>
    <row r="73" spans="2:7" s="30" customFormat="1" x14ac:dyDescent="0.25">
      <c r="B73" s="127">
        <v>60</v>
      </c>
      <c r="C73" s="35">
        <v>2.0844696070400519</v>
      </c>
      <c r="D73" s="35">
        <v>0.43969860000000005</v>
      </c>
      <c r="E73" s="35">
        <f t="shared" si="0"/>
        <v>7.2956436246401815</v>
      </c>
      <c r="F73" s="130">
        <f t="shared" si="1"/>
        <v>437.7386174784109</v>
      </c>
      <c r="G73" s="60">
        <f t="shared" si="2"/>
        <v>245.26556020721807</v>
      </c>
    </row>
    <row r="74" spans="2:7" s="2" customFormat="1" x14ac:dyDescent="0.25"/>
    <row r="75" spans="2:7" s="2" customFormat="1" x14ac:dyDescent="0.25"/>
    <row r="76" spans="2:7" s="2" customFormat="1" x14ac:dyDescent="0.25"/>
    <row r="77" spans="2:7" s="2" customFormat="1" x14ac:dyDescent="0.25"/>
  </sheetData>
  <mergeCells count="1">
    <mergeCell ref="B3:G3"/>
  </mergeCells>
  <pageMargins left="0.7" right="0.7" top="0.75" bottom="0.75" header="0.3" footer="0.3"/>
  <pageSetup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74"/>
  <sheetViews>
    <sheetView zoomScale="80" zoomScaleNormal="80" workbookViewId="0">
      <selection activeCell="A10" sqref="A10:B12"/>
    </sheetView>
  </sheetViews>
  <sheetFormatPr defaultColWidth="9.140625" defaultRowHeight="15.75" x14ac:dyDescent="0.25"/>
  <cols>
    <col min="1" max="1" width="14" style="29" customWidth="1"/>
    <col min="2" max="2" width="17.42578125" style="29" customWidth="1"/>
    <col min="3" max="4" width="9.140625" style="29"/>
    <col min="5" max="5" width="10.7109375" style="29" customWidth="1"/>
    <col min="6" max="6" width="11" style="29" customWidth="1"/>
    <col min="7" max="7" width="12" style="29" customWidth="1"/>
    <col min="8" max="8" width="12.42578125" style="29" customWidth="1"/>
    <col min="9" max="9" width="9.5703125" style="29" customWidth="1"/>
    <col min="10" max="10" width="11.42578125" style="29" customWidth="1"/>
    <col min="11" max="11" width="11.28515625" style="29" customWidth="1"/>
    <col min="12" max="12" width="13.42578125" style="29" customWidth="1"/>
    <col min="13" max="16384" width="9.140625" style="29"/>
  </cols>
  <sheetData>
    <row r="1" spans="1:9" x14ac:dyDescent="0.25">
      <c r="A1" s="41" t="s">
        <v>209</v>
      </c>
      <c r="B1" s="41"/>
      <c r="C1" s="41"/>
      <c r="D1" s="41"/>
    </row>
    <row r="2" spans="1:9" x14ac:dyDescent="0.25">
      <c r="A2" s="79" t="s">
        <v>210</v>
      </c>
      <c r="B2" s="80" t="s">
        <v>211</v>
      </c>
      <c r="C2" s="80" t="s">
        <v>278</v>
      </c>
      <c r="D2" s="80" t="s">
        <v>279</v>
      </c>
      <c r="E2" s="80" t="s">
        <v>280</v>
      </c>
      <c r="F2" s="81" t="s">
        <v>281</v>
      </c>
      <c r="G2" s="80" t="s">
        <v>282</v>
      </c>
      <c r="H2" s="80" t="s">
        <v>283</v>
      </c>
      <c r="I2" s="15" t="s">
        <v>202</v>
      </c>
    </row>
    <row r="3" spans="1:9" s="30" customFormat="1" x14ac:dyDescent="0.25">
      <c r="A3" s="73" t="s">
        <v>64</v>
      </c>
      <c r="B3" s="82">
        <v>0.30172413793103448</v>
      </c>
      <c r="C3" s="82">
        <v>0.38888888888888878</v>
      </c>
      <c r="D3" s="82">
        <v>0.39166666666666661</v>
      </c>
      <c r="E3" s="82">
        <v>0.38058252427184469</v>
      </c>
      <c r="F3" s="82">
        <v>0.36281250000000009</v>
      </c>
      <c r="G3" s="82">
        <v>0.23712820512820518</v>
      </c>
      <c r="H3" s="82">
        <v>0.13008665511265166</v>
      </c>
      <c r="I3" s="73">
        <v>0.11531664212076584</v>
      </c>
    </row>
    <row r="4" spans="1:9" s="30" customFormat="1" ht="21" customHeight="1" x14ac:dyDescent="0.25"/>
    <row r="5" spans="1:9" s="30" customFormat="1" ht="24" customHeight="1" x14ac:dyDescent="0.25"/>
    <row r="6" spans="1:9" s="30" customFormat="1" x14ac:dyDescent="0.25"/>
    <row r="7" spans="1:9" s="30" customFormat="1" ht="47.25" x14ac:dyDescent="0.25">
      <c r="A7" s="36" t="s">
        <v>64</v>
      </c>
      <c r="B7" s="103" t="s">
        <v>256</v>
      </c>
      <c r="E7" s="314" t="s">
        <v>21</v>
      </c>
      <c r="F7" s="314" t="s">
        <v>64</v>
      </c>
      <c r="G7" s="314" t="s">
        <v>53</v>
      </c>
      <c r="H7" s="314" t="s">
        <v>74</v>
      </c>
    </row>
    <row r="8" spans="1:9" s="30" customFormat="1" ht="21.75" customHeight="1" x14ac:dyDescent="0.25">
      <c r="A8" s="36" t="s">
        <v>65</v>
      </c>
      <c r="B8" s="36" t="s">
        <v>147</v>
      </c>
      <c r="E8" s="26">
        <v>0.01</v>
      </c>
      <c r="F8" s="26">
        <v>0.3</v>
      </c>
      <c r="G8" s="26">
        <v>41.38798202509917</v>
      </c>
      <c r="H8" s="26">
        <f t="shared" ref="H8:H72" si="0">F8*G8</f>
        <v>12.416394607529751</v>
      </c>
    </row>
    <row r="9" spans="1:9" s="30" customFormat="1" ht="15.75" customHeight="1" x14ac:dyDescent="0.25">
      <c r="E9" s="83">
        <v>0.5</v>
      </c>
      <c r="F9" s="26">
        <f t="shared" ref="F9:F37" si="1">(3/E9)*EXP(-0.5*(LN(E9/41.92)/1.876)^2)</f>
        <v>0.36972675614828437</v>
      </c>
      <c r="G9" s="26">
        <v>53.831141676161266</v>
      </c>
      <c r="H9" s="26">
        <f t="shared" si="0"/>
        <v>19.902813391685825</v>
      </c>
    </row>
    <row r="10" spans="1:9" s="30" customFormat="1" ht="15.75" customHeight="1" x14ac:dyDescent="0.25">
      <c r="A10" s="332" t="s">
        <v>257</v>
      </c>
      <c r="B10" s="332"/>
      <c r="E10" s="65">
        <v>1</v>
      </c>
      <c r="F10" s="34">
        <f t="shared" si="1"/>
        <v>0.41307959740754679</v>
      </c>
      <c r="G10" s="34">
        <v>63.380661538063698</v>
      </c>
      <c r="H10" s="34">
        <f t="shared" si="0"/>
        <v>26.181258151567338</v>
      </c>
    </row>
    <row r="11" spans="1:9" s="30" customFormat="1" ht="15.75" customHeight="1" x14ac:dyDescent="0.25">
      <c r="A11" s="332"/>
      <c r="B11" s="332"/>
      <c r="E11" s="250">
        <v>1.5</v>
      </c>
      <c r="F11" s="34">
        <f t="shared" si="1"/>
        <v>0.41372993455845331</v>
      </c>
      <c r="G11" s="34">
        <v>71.012511472657152</v>
      </c>
      <c r="H11" s="34">
        <f t="shared" si="0"/>
        <v>29.380001724413859</v>
      </c>
    </row>
    <row r="12" spans="1:9" s="30" customFormat="1" x14ac:dyDescent="0.25">
      <c r="A12" s="332"/>
      <c r="B12" s="332"/>
      <c r="E12" s="250">
        <v>2</v>
      </c>
      <c r="F12" s="34">
        <f t="shared" si="1"/>
        <v>0.40262267712417527</v>
      </c>
      <c r="G12" s="34">
        <v>79.306671182823663</v>
      </c>
      <c r="H12" s="34">
        <f t="shared" si="0"/>
        <v>31.930664265435148</v>
      </c>
    </row>
    <row r="13" spans="1:9" s="30" customFormat="1" x14ac:dyDescent="0.25">
      <c r="E13" s="250">
        <v>3</v>
      </c>
      <c r="F13" s="34">
        <f t="shared" si="1"/>
        <v>0.37230593041594062</v>
      </c>
      <c r="G13" s="34">
        <v>88.871580679028682</v>
      </c>
      <c r="H13" s="34">
        <f t="shared" si="0"/>
        <v>33.087416532241107</v>
      </c>
    </row>
    <row r="14" spans="1:9" s="30" customFormat="1" x14ac:dyDescent="0.25">
      <c r="E14" s="250">
        <v>4</v>
      </c>
      <c r="F14" s="34">
        <f t="shared" si="1"/>
        <v>0.3423531608282302</v>
      </c>
      <c r="G14" s="34">
        <v>99.601784270773265</v>
      </c>
      <c r="H14" s="34">
        <f t="shared" si="0"/>
        <v>34.098985669230728</v>
      </c>
    </row>
    <row r="15" spans="1:9" s="30" customFormat="1" x14ac:dyDescent="0.25">
      <c r="E15" s="250">
        <v>4.5</v>
      </c>
      <c r="F15" s="34">
        <f t="shared" si="1"/>
        <v>0.32855971424067354</v>
      </c>
      <c r="G15" s="34">
        <v>104.49610825639985</v>
      </c>
      <c r="H15" s="34">
        <f t="shared" si="0"/>
        <v>34.333211467985222</v>
      </c>
    </row>
    <row r="16" spans="1:9" s="30" customFormat="1" x14ac:dyDescent="0.25">
      <c r="E16" s="131">
        <v>5</v>
      </c>
      <c r="F16" s="26">
        <f t="shared" si="1"/>
        <v>0.31563660276752659</v>
      </c>
      <c r="G16" s="26">
        <v>109.17415101385284</v>
      </c>
      <c r="H16" s="26">
        <f t="shared" si="0"/>
        <v>34.45935813604143</v>
      </c>
    </row>
    <row r="17" spans="5:8" s="30" customFormat="1" x14ac:dyDescent="0.25">
      <c r="E17" s="250">
        <v>6</v>
      </c>
      <c r="F17" s="34">
        <f t="shared" si="1"/>
        <v>0.29227696314107865</v>
      </c>
      <c r="G17" s="34">
        <v>118.11939252666471</v>
      </c>
      <c r="H17" s="34">
        <f t="shared" si="0"/>
        <v>34.523577335762582</v>
      </c>
    </row>
    <row r="18" spans="5:8" s="30" customFormat="1" x14ac:dyDescent="0.25">
      <c r="E18" s="250">
        <v>7</v>
      </c>
      <c r="F18" s="34">
        <f t="shared" si="1"/>
        <v>0.27186991551329792</v>
      </c>
      <c r="G18" s="34">
        <v>126.84460048220875</v>
      </c>
      <c r="H18" s="34">
        <f t="shared" si="0"/>
        <v>34.48523081641612</v>
      </c>
    </row>
    <row r="19" spans="5:8" s="30" customFormat="1" x14ac:dyDescent="0.25">
      <c r="E19" s="250">
        <v>8</v>
      </c>
      <c r="F19" s="34">
        <f t="shared" si="1"/>
        <v>0.25395810286510179</v>
      </c>
      <c r="G19" s="34">
        <v>135.65555680838523</v>
      </c>
      <c r="H19" s="34">
        <f t="shared" si="0"/>
        <v>34.450827850166554</v>
      </c>
    </row>
    <row r="20" spans="5:8" s="30" customFormat="1" x14ac:dyDescent="0.25">
      <c r="E20" s="250">
        <v>9</v>
      </c>
      <c r="F20" s="34">
        <f t="shared" si="1"/>
        <v>0.2381373227089621</v>
      </c>
      <c r="G20" s="34">
        <v>144.75343942670185</v>
      </c>
      <c r="H20" s="34">
        <f t="shared" si="0"/>
        <v>34.471196517988695</v>
      </c>
    </row>
    <row r="21" spans="5:8" s="30" customFormat="1" x14ac:dyDescent="0.25">
      <c r="E21" s="131">
        <v>10</v>
      </c>
      <c r="F21" s="26">
        <f t="shared" si="1"/>
        <v>0.22407246827859686</v>
      </c>
      <c r="G21" s="26">
        <v>154.2224206529134</v>
      </c>
      <c r="H21" s="26">
        <f t="shared" si="0"/>
        <v>34.556998459598361</v>
      </c>
    </row>
    <row r="22" spans="5:8" s="30" customFormat="1" x14ac:dyDescent="0.25">
      <c r="E22" s="250">
        <v>10.5</v>
      </c>
      <c r="F22" s="34">
        <f t="shared" si="1"/>
        <v>0.21761114543586335</v>
      </c>
      <c r="G22" s="34">
        <v>159.0894451651003</v>
      </c>
      <c r="H22" s="34">
        <f t="shared" si="0"/>
        <v>34.619636389133447</v>
      </c>
    </row>
    <row r="23" spans="5:8" s="30" customFormat="1" x14ac:dyDescent="0.25">
      <c r="E23" s="250">
        <v>11</v>
      </c>
      <c r="F23" s="34">
        <f t="shared" si="1"/>
        <v>0.21149079060404563</v>
      </c>
      <c r="G23" s="34">
        <v>164.02891270496642</v>
      </c>
      <c r="H23" s="34">
        <f t="shared" si="0"/>
        <v>34.69060442989533</v>
      </c>
    </row>
    <row r="24" spans="5:8" s="30" customFormat="1" x14ac:dyDescent="0.25">
      <c r="E24" s="65">
        <v>12</v>
      </c>
      <c r="F24" s="34">
        <f t="shared" si="1"/>
        <v>0.20017085346995009</v>
      </c>
      <c r="G24" s="34">
        <v>174.06810970101117</v>
      </c>
      <c r="H24" s="34">
        <f t="shared" si="0"/>
        <v>34.843362080752307</v>
      </c>
    </row>
    <row r="25" spans="5:8" s="30" customFormat="1" x14ac:dyDescent="0.25">
      <c r="E25" s="65">
        <v>13</v>
      </c>
      <c r="F25" s="34">
        <f t="shared" si="1"/>
        <v>0.18993218974395415</v>
      </c>
      <c r="G25" s="34">
        <v>184.31439944245017</v>
      </c>
      <c r="H25" s="34">
        <f t="shared" si="0"/>
        <v>35.007237487446403</v>
      </c>
    </row>
    <row r="26" spans="5:8" s="30" customFormat="1" x14ac:dyDescent="0.25">
      <c r="E26" s="65">
        <v>14</v>
      </c>
      <c r="F26" s="34">
        <f t="shared" si="1"/>
        <v>0.18062677216498224</v>
      </c>
      <c r="G26" s="34">
        <v>194.99086929943499</v>
      </c>
      <c r="H26" s="34">
        <f t="shared" si="0"/>
        <v>35.220571323200872</v>
      </c>
    </row>
    <row r="27" spans="5:8" s="30" customFormat="1" x14ac:dyDescent="0.25">
      <c r="E27" s="65">
        <v>15</v>
      </c>
      <c r="F27" s="34">
        <f t="shared" si="1"/>
        <v>0.17213228065227298</v>
      </c>
      <c r="G27" s="34">
        <v>205.77417499532027</v>
      </c>
      <c r="H27" s="34">
        <f t="shared" si="0"/>
        <v>35.420378041284401</v>
      </c>
    </row>
    <row r="28" spans="5:8" s="30" customFormat="1" x14ac:dyDescent="0.25">
      <c r="E28" s="65">
        <v>16</v>
      </c>
      <c r="F28" s="34">
        <f t="shared" si="1"/>
        <v>0.16434686679477539</v>
      </c>
      <c r="G28" s="34">
        <v>214.68138649493855</v>
      </c>
      <c r="H28" s="34">
        <f t="shared" si="0"/>
        <v>35.282213229601361</v>
      </c>
    </row>
    <row r="29" spans="5:8" s="30" customFormat="1" x14ac:dyDescent="0.25">
      <c r="E29" s="65">
        <v>17</v>
      </c>
      <c r="F29" s="34">
        <f t="shared" si="1"/>
        <v>0.15718509426172309</v>
      </c>
      <c r="G29" s="34">
        <v>220.98498338086458</v>
      </c>
      <c r="H29" s="34">
        <f t="shared" si="0"/>
        <v>34.735545443146506</v>
      </c>
    </row>
    <row r="30" spans="5:8" s="30" customFormat="1" x14ac:dyDescent="0.25">
      <c r="E30" s="65">
        <v>18</v>
      </c>
      <c r="F30" s="34">
        <f t="shared" si="1"/>
        <v>0.15057478225352211</v>
      </c>
      <c r="G30" s="34">
        <v>225.51590370162751</v>
      </c>
      <c r="H30" s="34">
        <f t="shared" si="0"/>
        <v>33.957008094578825</v>
      </c>
    </row>
    <row r="31" spans="5:8" s="30" customFormat="1" x14ac:dyDescent="0.25">
      <c r="E31" s="65">
        <v>19</v>
      </c>
      <c r="F31" s="34">
        <f t="shared" si="1"/>
        <v>0.14445453755416232</v>
      </c>
      <c r="G31" s="34">
        <v>228.86286112621855</v>
      </c>
      <c r="H31" s="34">
        <f t="shared" si="0"/>
        <v>33.060278767310372</v>
      </c>
    </row>
    <row r="32" spans="5:8" s="30" customFormat="1" x14ac:dyDescent="0.25">
      <c r="E32" s="65">
        <v>20</v>
      </c>
      <c r="F32" s="34">
        <f t="shared" si="1"/>
        <v>0.13877181181119116</v>
      </c>
      <c r="G32" s="34">
        <v>231.31445125893075</v>
      </c>
      <c r="H32" s="34">
        <f t="shared" si="0"/>
        <v>32.099925499313287</v>
      </c>
    </row>
    <row r="33" spans="5:8" s="30" customFormat="1" x14ac:dyDescent="0.25">
      <c r="E33" s="65">
        <v>21</v>
      </c>
      <c r="F33" s="34">
        <f t="shared" si="1"/>
        <v>0.13348136102440084</v>
      </c>
      <c r="G33" s="34">
        <v>233.0632589862274</v>
      </c>
      <c r="H33" s="34">
        <f t="shared" si="0"/>
        <v>31.109601014264051</v>
      </c>
    </row>
    <row r="34" spans="5:8" s="30" customFormat="1" x14ac:dyDescent="0.25">
      <c r="E34" s="65">
        <v>22</v>
      </c>
      <c r="F34" s="34">
        <f t="shared" si="1"/>
        <v>0.12854401484693592</v>
      </c>
      <c r="G34" s="34">
        <v>234.26792592277934</v>
      </c>
      <c r="H34" s="34">
        <f t="shared" si="0"/>
        <v>30.113739747978631</v>
      </c>
    </row>
    <row r="35" spans="5:8" s="30" customFormat="1" x14ac:dyDescent="0.25">
      <c r="E35" s="65">
        <v>23</v>
      </c>
      <c r="F35" s="34">
        <f t="shared" si="1"/>
        <v>0.12392568615105112</v>
      </c>
      <c r="G35" s="34">
        <v>235.06261378617052</v>
      </c>
      <c r="H35" s="34">
        <f t="shared" si="0"/>
        <v>29.130295701910711</v>
      </c>
    </row>
    <row r="36" spans="5:8" s="30" customFormat="1" x14ac:dyDescent="0.25">
      <c r="E36" s="65">
        <v>24</v>
      </c>
      <c r="F36" s="34">
        <f t="shared" si="1"/>
        <v>0.11959656826278664</v>
      </c>
      <c r="G36" s="34">
        <v>235.55755499029567</v>
      </c>
      <c r="H36" s="34">
        <f t="shared" si="0"/>
        <v>28.171875205212014</v>
      </c>
    </row>
    <row r="37" spans="5:8" s="30" customFormat="1" x14ac:dyDescent="0.25">
      <c r="E37" s="85">
        <v>25</v>
      </c>
      <c r="F37" s="26">
        <f t="shared" si="1"/>
        <v>0.11553047984935486</v>
      </c>
      <c r="G37" s="26">
        <v>235.84034830968122</v>
      </c>
      <c r="H37" s="26">
        <f t="shared" si="0"/>
        <v>27.246748608056457</v>
      </c>
    </row>
    <row r="38" spans="5:8" s="30" customFormat="1" x14ac:dyDescent="0.25">
      <c r="E38" s="65">
        <v>26</v>
      </c>
      <c r="F38" s="34">
        <v>0.11553047984935486</v>
      </c>
      <c r="G38" s="34">
        <v>236.05500987906257</v>
      </c>
      <c r="H38" s="34">
        <f t="shared" si="0"/>
        <v>27.271548562172299</v>
      </c>
    </row>
    <row r="39" spans="5:8" s="30" customFormat="1" x14ac:dyDescent="0.25">
      <c r="E39" s="65">
        <v>27</v>
      </c>
      <c r="F39" s="34">
        <v>0.11553047984935486</v>
      </c>
      <c r="G39" s="34">
        <v>236.38908054246249</v>
      </c>
      <c r="H39" s="34">
        <f t="shared" si="0"/>
        <v>27.310143906218485</v>
      </c>
    </row>
    <row r="40" spans="5:8" s="30" customFormat="1" x14ac:dyDescent="0.25">
      <c r="E40" s="65">
        <v>28</v>
      </c>
      <c r="F40" s="34">
        <v>0.11553047984935486</v>
      </c>
      <c r="G40" s="34">
        <v>236.7390436986289</v>
      </c>
      <c r="H40" s="34">
        <f t="shared" si="0"/>
        <v>27.350575317579985</v>
      </c>
    </row>
    <row r="41" spans="5:8" s="30" customFormat="1" x14ac:dyDescent="0.25">
      <c r="E41" s="65">
        <v>29</v>
      </c>
      <c r="F41" s="34">
        <v>0.11553047984935486</v>
      </c>
      <c r="G41" s="34">
        <v>237.10394747664529</v>
      </c>
      <c r="H41" s="34">
        <f t="shared" si="0"/>
        <v>27.392732826153061</v>
      </c>
    </row>
    <row r="42" spans="5:8" s="30" customFormat="1" x14ac:dyDescent="0.25">
      <c r="E42" s="65">
        <v>30</v>
      </c>
      <c r="F42" s="34">
        <v>0.11553047984935486</v>
      </c>
      <c r="G42" s="34">
        <v>237.48267236484853</v>
      </c>
      <c r="H42" s="34">
        <f t="shared" si="0"/>
        <v>27.436487094218073</v>
      </c>
    </row>
    <row r="43" spans="5:8" s="30" customFormat="1" x14ac:dyDescent="0.25">
      <c r="E43" s="65">
        <v>31</v>
      </c>
      <c r="F43" s="34">
        <v>0.11553047984935486</v>
      </c>
      <c r="G43" s="34">
        <v>237.87394193966907</v>
      </c>
      <c r="H43" s="34">
        <f t="shared" si="0"/>
        <v>27.481690655947546</v>
      </c>
    </row>
    <row r="44" spans="5:8" s="30" customFormat="1" x14ac:dyDescent="0.25">
      <c r="E44" s="65">
        <v>32</v>
      </c>
      <c r="F44" s="34">
        <v>0.11553047984935486</v>
      </c>
      <c r="G44" s="34">
        <v>238.27633294394644</v>
      </c>
      <c r="H44" s="34">
        <f t="shared" si="0"/>
        <v>27.528179081758772</v>
      </c>
    </row>
    <row r="45" spans="5:8" s="30" customFormat="1" x14ac:dyDescent="0.25">
      <c r="E45" s="65">
        <v>33</v>
      </c>
      <c r="F45" s="34">
        <v>0.11553047984935486</v>
      </c>
      <c r="G45" s="34">
        <v>238.68828484641506</v>
      </c>
      <c r="H45" s="34">
        <f t="shared" si="0"/>
        <v>27.575772082725827</v>
      </c>
    </row>
    <row r="46" spans="5:8" s="30" customFormat="1" x14ac:dyDescent="0.25">
      <c r="E46" s="65">
        <v>34</v>
      </c>
      <c r="F46" s="34">
        <v>0.11553047984935486</v>
      </c>
      <c r="G46" s="34">
        <v>239.10810894156009</v>
      </c>
      <c r="H46" s="34">
        <f t="shared" si="0"/>
        <v>27.624274561890253</v>
      </c>
    </row>
    <row r="47" spans="5:8" s="30" customFormat="1" x14ac:dyDescent="0.25">
      <c r="E47" s="65">
        <v>35</v>
      </c>
      <c r="F47" s="34">
        <v>0.11553047984935486</v>
      </c>
      <c r="G47" s="34">
        <v>239.53399702998493</v>
      </c>
      <c r="H47" s="34">
        <f t="shared" si="0"/>
        <v>27.673477617108102</v>
      </c>
    </row>
    <row r="48" spans="5:8" s="30" customFormat="1" x14ac:dyDescent="0.25">
      <c r="E48" s="65">
        <v>36</v>
      </c>
      <c r="F48" s="34">
        <v>0.11553047984935486</v>
      </c>
      <c r="G48" s="34">
        <v>239.96402971264283</v>
      </c>
      <c r="H48" s="34">
        <f t="shared" si="0"/>
        <v>27.723159499286471</v>
      </c>
    </row>
    <row r="49" spans="5:8" s="30" customFormat="1" x14ac:dyDescent="0.25">
      <c r="E49" s="65">
        <v>37</v>
      </c>
      <c r="F49" s="34">
        <v>0.11553047984935486</v>
      </c>
      <c r="G49" s="34">
        <v>240.3961843285241</v>
      </c>
      <c r="H49" s="34">
        <f t="shared" si="0"/>
        <v>27.773086529428348</v>
      </c>
    </row>
    <row r="50" spans="5:8" s="30" customFormat="1" x14ac:dyDescent="0.25">
      <c r="E50" s="65">
        <v>38</v>
      </c>
      <c r="F50" s="34">
        <v>0.11553047984935486</v>
      </c>
      <c r="G50" s="34">
        <v>240.82834256254671</v>
      </c>
      <c r="H50" s="34">
        <f t="shared" si="0"/>
        <v>27.82301397757583</v>
      </c>
    </row>
    <row r="51" spans="5:8" s="30" customFormat="1" x14ac:dyDescent="0.25">
      <c r="E51" s="65">
        <v>39</v>
      </c>
      <c r="F51" s="34">
        <v>0.11553047984935486</v>
      </c>
      <c r="G51" s="34">
        <v>241.25829774798879</v>
      </c>
      <c r="H51" s="34">
        <f t="shared" si="0"/>
        <v>27.872686906463674</v>
      </c>
    </row>
    <row r="52" spans="5:8" s="30" customFormat="1" x14ac:dyDescent="0.25">
      <c r="E52" s="65">
        <v>40</v>
      </c>
      <c r="F52" s="34">
        <v>0.11553047984935486</v>
      </c>
      <c r="G52" s="34">
        <v>241.683761885667</v>
      </c>
      <c r="H52" s="34">
        <f t="shared" si="0"/>
        <v>27.921840982448327</v>
      </c>
    </row>
    <row r="53" spans="5:8" s="30" customFormat="1" x14ac:dyDescent="0.25">
      <c r="E53" s="65">
        <v>41</v>
      </c>
      <c r="F53" s="34">
        <v>0.11553047984935486</v>
      </c>
      <c r="G53" s="34">
        <v>242.10237240017918</v>
      </c>
      <c r="H53" s="34">
        <f t="shared" si="0"/>
        <v>27.970203256059907</v>
      </c>
    </row>
    <row r="54" spans="5:8" s="30" customFormat="1" x14ac:dyDescent="0.25">
      <c r="E54" s="65">
        <v>42</v>
      </c>
      <c r="F54" s="34">
        <v>0.11553047984935486</v>
      </c>
      <c r="G54" s="34">
        <v>242.51169865182382</v>
      </c>
      <c r="H54" s="34">
        <f t="shared" si="0"/>
        <v>28.017492914327349</v>
      </c>
    </row>
    <row r="55" spans="5:8" s="30" customFormat="1" x14ac:dyDescent="0.25">
      <c r="E55" s="65">
        <v>43</v>
      </c>
      <c r="F55" s="34">
        <v>0.11553047984935486</v>
      </c>
      <c r="G55" s="34">
        <v>242.90924822130032</v>
      </c>
      <c r="H55" s="34">
        <f t="shared" si="0"/>
        <v>28.063422006852875</v>
      </c>
    </row>
    <row r="56" spans="5:8" s="30" customFormat="1" x14ac:dyDescent="0.25">
      <c r="E56" s="65">
        <v>44</v>
      </c>
      <c r="F56" s="34">
        <v>0.11553047984935486</v>
      </c>
      <c r="G56" s="34">
        <v>243.29247298292179</v>
      </c>
      <c r="H56" s="34">
        <f t="shared" si="0"/>
        <v>28.107696147453158</v>
      </c>
    </row>
    <row r="57" spans="5:8" s="30" customFormat="1" x14ac:dyDescent="0.25">
      <c r="E57" s="65">
        <v>45</v>
      </c>
      <c r="F57" s="34">
        <v>0.11553047984935486</v>
      </c>
      <c r="G57" s="34">
        <v>243.6587749808559</v>
      </c>
      <c r="H57" s="34">
        <f t="shared" si="0"/>
        <v>28.150015193044261</v>
      </c>
    </row>
    <row r="58" spans="5:8" s="30" customFormat="1" x14ac:dyDescent="0.25">
      <c r="E58" s="65">
        <v>46</v>
      </c>
      <c r="F58" s="34">
        <v>0.11553047984935486</v>
      </c>
      <c r="G58" s="34">
        <v>244.00551212180008</v>
      </c>
      <c r="H58" s="34">
        <f t="shared" si="0"/>
        <v>28.190073901319135</v>
      </c>
    </row>
    <row r="59" spans="5:8" s="30" customFormat="1" x14ac:dyDescent="0.25">
      <c r="E59" s="65">
        <v>47</v>
      </c>
      <c r="F59" s="34">
        <v>0.11553047984935486</v>
      </c>
      <c r="G59" s="34">
        <v>244.33000369651035</v>
      </c>
      <c r="H59" s="34">
        <f t="shared" si="0"/>
        <v>28.227562568652488</v>
      </c>
    </row>
    <row r="60" spans="5:8" s="30" customFormat="1" x14ac:dyDescent="0.25">
      <c r="E60" s="65">
        <v>48</v>
      </c>
      <c r="F60" s="34">
        <v>0.11553047984935486</v>
      </c>
      <c r="G60" s="34">
        <v>244.62953574170567</v>
      </c>
      <c r="H60" s="34">
        <f t="shared" si="0"/>
        <v>28.262167649564159</v>
      </c>
    </row>
    <row r="61" spans="5:8" s="30" customFormat="1" x14ac:dyDescent="0.25">
      <c r="E61" s="65">
        <v>49</v>
      </c>
      <c r="F61" s="34">
        <v>0.11553047984935486</v>
      </c>
      <c r="G61" s="34">
        <v>244.90136625306206</v>
      </c>
      <c r="H61" s="34">
        <f t="shared" si="0"/>
        <v>28.29357235897886</v>
      </c>
    </row>
    <row r="62" spans="5:8" s="30" customFormat="1" x14ac:dyDescent="0.25">
      <c r="E62" s="65">
        <v>50</v>
      </c>
      <c r="F62" s="34">
        <v>0.11553047984935486</v>
      </c>
      <c r="G62" s="34">
        <v>245.14273025928878</v>
      </c>
      <c r="H62" s="34">
        <f t="shared" si="0"/>
        <v>28.321457258436595</v>
      </c>
    </row>
    <row r="63" spans="5:8" s="30" customFormat="1" x14ac:dyDescent="0.25">
      <c r="E63" s="65">
        <v>51</v>
      </c>
      <c r="F63" s="34">
        <v>0.11553047984935486</v>
      </c>
      <c r="G63" s="34">
        <v>245.35084476661123</v>
      </c>
      <c r="H63" s="34">
        <f t="shared" si="0"/>
        <v>28.345500827331172</v>
      </c>
    </row>
    <row r="64" spans="5:8" s="30" customFormat="1" x14ac:dyDescent="0.25">
      <c r="E64" s="65">
        <v>52</v>
      </c>
      <c r="F64" s="34">
        <v>0.11553047984935486</v>
      </c>
      <c r="G64" s="34">
        <v>245.52291358240421</v>
      </c>
      <c r="H64" s="34">
        <f t="shared" si="0"/>
        <v>28.365380020186844</v>
      </c>
    </row>
    <row r="65" spans="5:8" s="30" customFormat="1" x14ac:dyDescent="0.25">
      <c r="E65" s="65">
        <v>53</v>
      </c>
      <c r="F65" s="34">
        <v>0.11553047984935486</v>
      </c>
      <c r="G65" s="34">
        <v>245.65613202617487</v>
      </c>
      <c r="H65" s="34">
        <f t="shared" si="0"/>
        <v>28.380770810920453</v>
      </c>
    </row>
    <row r="66" spans="5:8" s="30" customFormat="1" x14ac:dyDescent="0.25">
      <c r="E66" s="65">
        <v>54</v>
      </c>
      <c r="F66" s="34">
        <v>0.11553047984935486</v>
      </c>
      <c r="G66" s="34">
        <v>245.74769153561539</v>
      </c>
      <c r="H66" s="34">
        <f t="shared" si="0"/>
        <v>28.391348724980887</v>
      </c>
    </row>
    <row r="67" spans="5:8" s="30" customFormat="1" x14ac:dyDescent="0.25">
      <c r="E67" s="65">
        <v>55</v>
      </c>
      <c r="F67" s="34">
        <v>0.11553047984935486</v>
      </c>
      <c r="G67" s="34">
        <v>245.79478417501369</v>
      </c>
      <c r="H67" s="34">
        <f t="shared" si="0"/>
        <v>28.396789360207944</v>
      </c>
    </row>
    <row r="68" spans="5:8" s="30" customFormat="1" x14ac:dyDescent="0.25">
      <c r="E68" s="65">
        <v>56</v>
      </c>
      <c r="F68" s="34">
        <v>0.11553047984935486</v>
      </c>
      <c r="G68" s="34">
        <v>245.7946070529147</v>
      </c>
      <c r="H68" s="34">
        <f t="shared" si="0"/>
        <v>28.396768897206858</v>
      </c>
    </row>
    <row r="69" spans="5:8" s="30" customFormat="1" x14ac:dyDescent="0.25">
      <c r="E69" s="65">
        <v>57</v>
      </c>
      <c r="F69" s="34">
        <v>0.11553047984935486</v>
      </c>
      <c r="G69" s="34">
        <v>245.74436665557835</v>
      </c>
      <c r="H69" s="34">
        <f t="shared" si="0"/>
        <v>28.390964599994767</v>
      </c>
    </row>
    <row r="70" spans="5:8" s="30" customFormat="1" x14ac:dyDescent="0.25">
      <c r="E70" s="65">
        <v>58</v>
      </c>
      <c r="F70" s="34">
        <v>0.11553047984935486</v>
      </c>
      <c r="G70" s="34">
        <v>245.6412831024648</v>
      </c>
      <c r="H70" s="34">
        <f t="shared" si="0"/>
        <v>28.379055307638982</v>
      </c>
    </row>
    <row r="71" spans="5:8" s="30" customFormat="1" x14ac:dyDescent="0.25">
      <c r="E71" s="65">
        <v>59</v>
      </c>
      <c r="F71" s="34">
        <v>0.11553047984935486</v>
      </c>
      <c r="G71" s="34">
        <v>245.4825943296986</v>
      </c>
      <c r="H71" s="34">
        <f t="shared" si="0"/>
        <v>28.360721917574597</v>
      </c>
    </row>
    <row r="72" spans="5:8" s="30" customFormat="1" x14ac:dyDescent="0.25">
      <c r="E72" s="65">
        <v>60</v>
      </c>
      <c r="F72" s="34">
        <v>0.11553047984935486</v>
      </c>
      <c r="G72" s="34">
        <v>245.26556020721807</v>
      </c>
      <c r="H72" s="34">
        <f t="shared" si="0"/>
        <v>28.335647861260739</v>
      </c>
    </row>
    <row r="73" spans="5:8" s="30" customFormat="1" x14ac:dyDescent="0.25"/>
    <row r="74" spans="5:8" s="30" customFormat="1" x14ac:dyDescent="0.25"/>
  </sheetData>
  <mergeCells count="1">
    <mergeCell ref="A10:B12"/>
  </mergeCells>
  <pageMargins left="0.7" right="0.7" top="0.75" bottom="0.75" header="0.3" footer="0.3"/>
  <pageSetup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K74"/>
  <sheetViews>
    <sheetView zoomScale="80" zoomScaleNormal="80" workbookViewId="0">
      <selection activeCell="B7" sqref="B7:F7"/>
    </sheetView>
  </sheetViews>
  <sheetFormatPr defaultColWidth="9.140625" defaultRowHeight="15.75" x14ac:dyDescent="0.25"/>
  <cols>
    <col min="1" max="1" width="9.140625" style="29"/>
    <col min="2" max="2" width="20.42578125" style="30" customWidth="1"/>
    <col min="3" max="3" width="21.140625" style="30" customWidth="1"/>
    <col min="4" max="4" width="16.140625" style="29" customWidth="1"/>
    <col min="5" max="5" width="19.7109375" style="30" customWidth="1"/>
    <col min="6" max="6" width="13.140625" style="30" bestFit="1" customWidth="1"/>
    <col min="7" max="7" width="11.140625" style="30" bestFit="1" customWidth="1"/>
    <col min="8" max="8" width="12.42578125" style="29" bestFit="1" customWidth="1"/>
    <col min="9" max="16384" width="9.140625" style="29"/>
  </cols>
  <sheetData>
    <row r="1" spans="1:11" s="30" customFormat="1" x14ac:dyDescent="0.25">
      <c r="A1" s="29"/>
      <c r="B1" s="328" t="s">
        <v>94</v>
      </c>
      <c r="C1" s="328" t="s">
        <v>0</v>
      </c>
      <c r="D1" s="328" t="s">
        <v>63</v>
      </c>
      <c r="E1" s="67"/>
      <c r="F1" s="67"/>
      <c r="H1" s="29"/>
      <c r="I1" s="29"/>
      <c r="J1" s="29"/>
      <c r="K1" s="29"/>
    </row>
    <row r="2" spans="1:11" s="30" customFormat="1" ht="63" x14ac:dyDescent="0.25">
      <c r="B2" s="66" t="s">
        <v>98</v>
      </c>
      <c r="C2" s="66" t="s">
        <v>95</v>
      </c>
      <c r="D2" s="66"/>
      <c r="E2" s="68"/>
      <c r="F2" s="68"/>
    </row>
    <row r="3" spans="1:11" s="30" customFormat="1" ht="47.25" x14ac:dyDescent="0.25">
      <c r="B3" s="66" t="s">
        <v>100</v>
      </c>
      <c r="C3" s="66" t="s">
        <v>103</v>
      </c>
      <c r="D3" s="66">
        <v>0.23799999999999999</v>
      </c>
      <c r="E3" s="68"/>
      <c r="F3" s="68"/>
    </row>
    <row r="4" spans="1:11" s="30" customFormat="1" ht="78.75" x14ac:dyDescent="0.25">
      <c r="B4" s="66" t="s">
        <v>99</v>
      </c>
      <c r="C4" s="66" t="s">
        <v>148</v>
      </c>
      <c r="D4" s="66">
        <f>5/100</f>
        <v>0.05</v>
      </c>
      <c r="E4" s="69"/>
      <c r="F4" s="69"/>
    </row>
    <row r="5" spans="1:11" s="30" customFormat="1" x14ac:dyDescent="0.25">
      <c r="B5" s="66" t="s">
        <v>60</v>
      </c>
      <c r="C5" s="66" t="s">
        <v>149</v>
      </c>
      <c r="D5" s="66"/>
      <c r="E5" s="68"/>
      <c r="F5" s="68"/>
    </row>
    <row r="6" spans="1:11" s="30" customFormat="1" x14ac:dyDescent="0.25">
      <c r="B6" s="43"/>
      <c r="C6" s="43"/>
      <c r="D6" s="43"/>
      <c r="E6" s="43"/>
      <c r="F6" s="43"/>
    </row>
    <row r="7" spans="1:11" s="30" customFormat="1" ht="21.75" customHeight="1" x14ac:dyDescent="0.25">
      <c r="B7" s="314" t="s">
        <v>21</v>
      </c>
      <c r="C7" s="232" t="s">
        <v>62</v>
      </c>
      <c r="D7" s="314" t="s">
        <v>98</v>
      </c>
      <c r="E7" s="314" t="s">
        <v>53</v>
      </c>
      <c r="F7" s="314" t="s">
        <v>61</v>
      </c>
    </row>
    <row r="8" spans="1:11" s="30" customFormat="1" ht="21.75" customHeight="1" x14ac:dyDescent="0.25">
      <c r="B8" s="34">
        <v>0.01</v>
      </c>
      <c r="C8" s="236">
        <v>0.37365525256982607</v>
      </c>
      <c r="D8" s="37">
        <f>(C8/0.238)*0.05</f>
        <v>7.8499002640719767E-2</v>
      </c>
      <c r="E8" s="34">
        <v>41.38798202509917</v>
      </c>
      <c r="F8" s="60">
        <f>D8*E8</f>
        <v>3.2489153102823218</v>
      </c>
    </row>
    <row r="9" spans="1:11" s="30" customFormat="1" ht="15.75" customHeight="1" x14ac:dyDescent="0.25">
      <c r="B9" s="191">
        <v>0.5</v>
      </c>
      <c r="C9" s="83">
        <v>0.37970757199505828</v>
      </c>
      <c r="D9" s="109">
        <f>(C9/0.238)*0.05</f>
        <v>7.977049831828957E-2</v>
      </c>
      <c r="E9" s="104">
        <v>53.831141676161266</v>
      </c>
      <c r="F9" s="104">
        <f>D9*E9</f>
        <v>4.2941369965498302</v>
      </c>
    </row>
    <row r="10" spans="1:11" s="30" customFormat="1" ht="15.75" customHeight="1" x14ac:dyDescent="0.25">
      <c r="B10" s="192">
        <v>1</v>
      </c>
      <c r="C10" s="83">
        <v>0.39465229890731962</v>
      </c>
      <c r="D10" s="109">
        <f t="shared" ref="D10:D72" si="0">(C10/0.238)*0.05</f>
        <v>8.2910146829268838E-2</v>
      </c>
      <c r="E10" s="104">
        <v>63.380661538063698</v>
      </c>
      <c r="F10" s="104">
        <f t="shared" ref="F10:F72" si="1">D10*E10</f>
        <v>5.2548999542570529</v>
      </c>
    </row>
    <row r="11" spans="1:11" s="30" customFormat="1" ht="15.75" customHeight="1" x14ac:dyDescent="0.25">
      <c r="B11" s="251">
        <v>1.5</v>
      </c>
      <c r="C11" s="35">
        <v>0.40781477536290961</v>
      </c>
      <c r="D11" s="37">
        <f t="shared" si="0"/>
        <v>8.567537297540119E-2</v>
      </c>
      <c r="E11" s="60">
        <v>71.012511472657152</v>
      </c>
      <c r="F11" s="60">
        <f t="shared" si="1"/>
        <v>6.0840234063398579</v>
      </c>
    </row>
    <row r="12" spans="1:11" s="30" customFormat="1" x14ac:dyDescent="0.25">
      <c r="B12" s="251">
        <v>2</v>
      </c>
      <c r="C12" s="35">
        <v>0.41778488639992217</v>
      </c>
      <c r="D12" s="37">
        <f t="shared" si="0"/>
        <v>8.7769934117630719E-2</v>
      </c>
      <c r="E12" s="60">
        <v>79.306671182823663</v>
      </c>
      <c r="F12" s="60">
        <f t="shared" si="1"/>
        <v>6.9607413048050359</v>
      </c>
    </row>
    <row r="13" spans="1:11" s="30" customFormat="1" x14ac:dyDescent="0.25">
      <c r="B13" s="251">
        <v>3</v>
      </c>
      <c r="C13" s="35">
        <v>0.42965542212340863</v>
      </c>
      <c r="D13" s="37">
        <f t="shared" si="0"/>
        <v>9.0263744143573243E-2</v>
      </c>
      <c r="E13" s="60">
        <v>88.871580679028682</v>
      </c>
      <c r="F13" s="60">
        <f t="shared" si="1"/>
        <v>8.0218816200467717</v>
      </c>
    </row>
    <row r="14" spans="1:11" s="30" customFormat="1" x14ac:dyDescent="0.25">
      <c r="B14" s="251">
        <v>4</v>
      </c>
      <c r="C14" s="35">
        <v>0.36585387371088257</v>
      </c>
      <c r="D14" s="37">
        <f t="shared" si="0"/>
        <v>7.6860057502286264E-2</v>
      </c>
      <c r="E14" s="60">
        <v>99.601784270773265</v>
      </c>
      <c r="F14" s="60">
        <f t="shared" si="1"/>
        <v>7.6553988663819448</v>
      </c>
    </row>
    <row r="15" spans="1:11" s="30" customFormat="1" x14ac:dyDescent="0.25">
      <c r="B15" s="251">
        <v>4.5</v>
      </c>
      <c r="C15" s="35">
        <v>0.34044133356266287</v>
      </c>
      <c r="D15" s="37">
        <f t="shared" si="0"/>
        <v>7.152128856358464E-2</v>
      </c>
      <c r="E15" s="60">
        <v>104.49610825639985</v>
      </c>
      <c r="F15" s="60">
        <f t="shared" si="1"/>
        <v>7.4736963123775526</v>
      </c>
    </row>
    <row r="16" spans="1:11" s="30" customFormat="1" x14ac:dyDescent="0.25">
      <c r="B16" s="191">
        <v>5</v>
      </c>
      <c r="C16" s="83">
        <v>0.31876805882503673</v>
      </c>
      <c r="D16" s="109">
        <f t="shared" si="0"/>
        <v>6.6968079585091753E-2</v>
      </c>
      <c r="E16" s="104">
        <v>109.17415101385284</v>
      </c>
      <c r="F16" s="104">
        <f t="shared" si="1"/>
        <v>7.3111832337305218</v>
      </c>
    </row>
    <row r="17" spans="2:9" s="30" customFormat="1" x14ac:dyDescent="0.25">
      <c r="B17" s="251">
        <v>6</v>
      </c>
      <c r="C17" s="35">
        <v>0.28494626157714215</v>
      </c>
      <c r="D17" s="37">
        <f t="shared" si="0"/>
        <v>5.9862659995197937E-2</v>
      </c>
      <c r="E17" s="60">
        <v>118.11939252666471</v>
      </c>
      <c r="F17" s="60">
        <f t="shared" si="1"/>
        <v>7.070941033663054</v>
      </c>
    </row>
    <row r="18" spans="2:9" s="30" customFormat="1" x14ac:dyDescent="0.25">
      <c r="B18" s="251">
        <v>7</v>
      </c>
      <c r="C18" s="35">
        <v>0.2614499262044333</v>
      </c>
      <c r="D18" s="37">
        <f t="shared" si="0"/>
        <v>5.4926455084964992E-2</v>
      </c>
      <c r="E18" s="60">
        <v>126.84460048220875</v>
      </c>
      <c r="F18" s="60">
        <f t="shared" si="1"/>
        <v>6.9671242511563678</v>
      </c>
    </row>
    <row r="19" spans="2:9" s="30" customFormat="1" x14ac:dyDescent="0.25">
      <c r="B19" s="251">
        <v>8</v>
      </c>
      <c r="C19" s="35">
        <v>0.24602713678200192</v>
      </c>
      <c r="D19" s="37">
        <f t="shared" si="0"/>
        <v>5.1686373273529818E-2</v>
      </c>
      <c r="E19" s="60">
        <v>135.65555680838523</v>
      </c>
      <c r="F19" s="60">
        <f t="shared" si="1"/>
        <v>7.011543745826728</v>
      </c>
    </row>
    <row r="20" spans="2:9" s="30" customFormat="1" ht="23.25" x14ac:dyDescent="0.25">
      <c r="B20" s="251">
        <v>9</v>
      </c>
      <c r="C20" s="35">
        <v>0.23692286446678926</v>
      </c>
      <c r="D20" s="37">
        <f t="shared" si="0"/>
        <v>4.9773711022434719E-2</v>
      </c>
      <c r="E20" s="60">
        <v>144.75343942670185</v>
      </c>
      <c r="F20" s="60">
        <f t="shared" si="1"/>
        <v>7.204915863528166</v>
      </c>
      <c r="I20" s="42"/>
    </row>
    <row r="21" spans="2:9" s="30" customFormat="1" ht="23.25" x14ac:dyDescent="0.25">
      <c r="B21" s="191">
        <v>10</v>
      </c>
      <c r="C21" s="83">
        <v>0.23264852954323934</v>
      </c>
      <c r="D21" s="109">
        <f t="shared" si="0"/>
        <v>4.8875741500680539E-2</v>
      </c>
      <c r="E21" s="104">
        <v>154.2224206529134</v>
      </c>
      <c r="F21" s="104">
        <f t="shared" si="1"/>
        <v>7.5377351654410107</v>
      </c>
      <c r="I21" s="42"/>
    </row>
    <row r="22" spans="2:9" s="30" customFormat="1" ht="23.25" x14ac:dyDescent="0.25">
      <c r="B22" s="251">
        <v>10.5</v>
      </c>
      <c r="C22" s="35">
        <v>0.23187350820692015</v>
      </c>
      <c r="D22" s="37">
        <f t="shared" si="0"/>
        <v>4.8712921892210125E-2</v>
      </c>
      <c r="E22" s="60">
        <v>159.0894451651003</v>
      </c>
      <c r="F22" s="60">
        <f t="shared" si="1"/>
        <v>7.7497117162025768</v>
      </c>
      <c r="I22" s="42"/>
    </row>
    <row r="23" spans="2:9" s="30" customFormat="1" ht="23.25" x14ac:dyDescent="0.25">
      <c r="B23" s="193">
        <v>11</v>
      </c>
      <c r="C23" s="35">
        <v>0.23174676484236986</v>
      </c>
      <c r="D23" s="37">
        <f t="shared" si="0"/>
        <v>4.8686295134951652E-2</v>
      </c>
      <c r="E23" s="60">
        <v>164.02891270496642</v>
      </c>
      <c r="F23" s="60">
        <f t="shared" si="1"/>
        <v>7.9859600546192153</v>
      </c>
      <c r="I23" s="42"/>
    </row>
    <row r="24" spans="2:9" s="30" customFormat="1" ht="23.25" x14ac:dyDescent="0.25">
      <c r="B24" s="193">
        <v>12</v>
      </c>
      <c r="C24" s="35">
        <v>0.2324555042750252</v>
      </c>
      <c r="D24" s="37">
        <f t="shared" si="0"/>
        <v>4.8835189973744794E-2</v>
      </c>
      <c r="E24" s="60">
        <v>174.06810970101117</v>
      </c>
      <c r="F24" s="60">
        <f t="shared" si="1"/>
        <v>8.5006492056195295</v>
      </c>
      <c r="I24" s="42"/>
    </row>
    <row r="25" spans="2:9" s="30" customFormat="1" ht="23.25" x14ac:dyDescent="0.25">
      <c r="B25" s="193">
        <v>13</v>
      </c>
      <c r="C25" s="35">
        <v>0.23206420741191089</v>
      </c>
      <c r="D25" s="37">
        <f t="shared" si="0"/>
        <v>4.8752984750401455E-2</v>
      </c>
      <c r="E25" s="60">
        <v>184.31439944245017</v>
      </c>
      <c r="F25" s="60">
        <f t="shared" si="1"/>
        <v>8.9858771052971758</v>
      </c>
      <c r="I25" s="42"/>
    </row>
    <row r="26" spans="2:9" s="30" customFormat="1" ht="23.25" x14ac:dyDescent="0.25">
      <c r="B26" s="193">
        <v>14</v>
      </c>
      <c r="C26" s="35">
        <v>0.22672958428385201</v>
      </c>
      <c r="D26" s="37">
        <f t="shared" si="0"/>
        <v>4.7632265605851265E-2</v>
      </c>
      <c r="E26" s="60">
        <v>194.99086929943499</v>
      </c>
      <c r="F26" s="60">
        <f t="shared" si="1"/>
        <v>9.2878568771865169</v>
      </c>
      <c r="I26" s="42"/>
    </row>
    <row r="27" spans="2:9" s="30" customFormat="1" x14ac:dyDescent="0.25">
      <c r="B27" s="193">
        <v>15</v>
      </c>
      <c r="C27" s="35">
        <v>0.21700274996966512</v>
      </c>
      <c r="D27" s="37">
        <f t="shared" si="0"/>
        <v>4.5588813018837215E-2</v>
      </c>
      <c r="E27" s="60">
        <v>205.77417499532027</v>
      </c>
      <c r="F27" s="60">
        <f t="shared" si="1"/>
        <v>9.3810003879671431</v>
      </c>
    </row>
    <row r="28" spans="2:9" s="30" customFormat="1" x14ac:dyDescent="0.25">
      <c r="B28" s="193">
        <v>16</v>
      </c>
      <c r="C28" s="35">
        <v>0.21192063680143436</v>
      </c>
      <c r="D28" s="37">
        <f t="shared" si="0"/>
        <v>4.4521142185175291E-2</v>
      </c>
      <c r="E28" s="60">
        <v>214.68138649493855</v>
      </c>
      <c r="F28" s="60">
        <f t="shared" si="1"/>
        <v>9.5578605326517305</v>
      </c>
    </row>
    <row r="29" spans="2:9" s="30" customFormat="1" x14ac:dyDescent="0.25">
      <c r="B29" s="193">
        <v>17</v>
      </c>
      <c r="C29" s="35">
        <v>0.21307147880043939</v>
      </c>
      <c r="D29" s="37">
        <f t="shared" si="0"/>
        <v>4.4762915714378029E-2</v>
      </c>
      <c r="E29" s="60">
        <v>220.98498338086458</v>
      </c>
      <c r="F29" s="60">
        <f t="shared" si="1"/>
        <v>9.8919321852208704</v>
      </c>
    </row>
    <row r="30" spans="2:9" s="30" customFormat="1" x14ac:dyDescent="0.25">
      <c r="B30" s="193">
        <v>18</v>
      </c>
      <c r="C30" s="35">
        <v>0.21597114306126064</v>
      </c>
      <c r="D30" s="37">
        <f t="shared" si="0"/>
        <v>4.5372088878416102E-2</v>
      </c>
      <c r="E30" s="60">
        <v>225.51590370162751</v>
      </c>
      <c r="F30" s="60">
        <f t="shared" si="1"/>
        <v>10.232127626246569</v>
      </c>
    </row>
    <row r="31" spans="2:9" s="30" customFormat="1" x14ac:dyDescent="0.25">
      <c r="B31" s="193">
        <v>19</v>
      </c>
      <c r="C31" s="35">
        <v>0.21843322163961326</v>
      </c>
      <c r="D31" s="37">
        <f t="shared" si="0"/>
        <v>4.5889332277229682E-2</v>
      </c>
      <c r="E31" s="60">
        <v>228.86286112621855</v>
      </c>
      <c r="F31" s="60">
        <f t="shared" si="1"/>
        <v>10.502363880138516</v>
      </c>
    </row>
    <row r="32" spans="2:9" s="30" customFormat="1" x14ac:dyDescent="0.25">
      <c r="B32" s="193">
        <v>20</v>
      </c>
      <c r="C32" s="35">
        <v>0.22410911273486062</v>
      </c>
      <c r="D32" s="37">
        <f t="shared" si="0"/>
        <v>4.7081746372869882E-2</v>
      </c>
      <c r="E32" s="60">
        <v>231.31445125893075</v>
      </c>
      <c r="F32" s="60">
        <f t="shared" si="1"/>
        <v>10.890688326552549</v>
      </c>
    </row>
    <row r="33" spans="2:6" s="30" customFormat="1" x14ac:dyDescent="0.25">
      <c r="B33" s="193">
        <v>21</v>
      </c>
      <c r="C33" s="35">
        <v>0.23027177872220916</v>
      </c>
      <c r="D33" s="37">
        <f t="shared" si="0"/>
        <v>4.8376424101304452E-2</v>
      </c>
      <c r="E33" s="60">
        <v>233.0632589862274</v>
      </c>
      <c r="F33" s="60">
        <f t="shared" si="1"/>
        <v>11.274767059149893</v>
      </c>
    </row>
    <row r="34" spans="2:6" s="30" customFormat="1" x14ac:dyDescent="0.25">
      <c r="B34" s="193">
        <v>22</v>
      </c>
      <c r="C34" s="35">
        <v>0.23221706763961916</v>
      </c>
      <c r="D34" s="37">
        <f t="shared" si="0"/>
        <v>4.8785098243617479E-2</v>
      </c>
      <c r="E34" s="60">
        <v>234.26792592277934</v>
      </c>
      <c r="F34" s="60">
        <f t="shared" si="1"/>
        <v>11.428783781471292</v>
      </c>
    </row>
    <row r="35" spans="2:6" s="30" customFormat="1" x14ac:dyDescent="0.25">
      <c r="B35" s="193">
        <v>23</v>
      </c>
      <c r="C35" s="35">
        <v>0.23423557152312177</v>
      </c>
      <c r="D35" s="37">
        <f t="shared" si="0"/>
        <v>4.9209153681328111E-2</v>
      </c>
      <c r="E35" s="60">
        <v>235.06261378617052</v>
      </c>
      <c r="F35" s="60">
        <f t="shared" si="1"/>
        <v>11.56723228653834</v>
      </c>
    </row>
    <row r="36" spans="2:6" s="30" customFormat="1" x14ac:dyDescent="0.25">
      <c r="B36" s="193">
        <v>24</v>
      </c>
      <c r="C36" s="35">
        <v>0.23619825252455157</v>
      </c>
      <c r="D36" s="37">
        <f t="shared" si="0"/>
        <v>4.9621481622804955E-2</v>
      </c>
      <c r="E36" s="60">
        <v>235.55755499029567</v>
      </c>
      <c r="F36" s="60">
        <f t="shared" si="1"/>
        <v>11.688714886063824</v>
      </c>
    </row>
    <row r="37" spans="2:6" s="30" customFormat="1" x14ac:dyDescent="0.25">
      <c r="B37" s="194">
        <v>25</v>
      </c>
      <c r="C37" s="132">
        <v>0.2380510972657566</v>
      </c>
      <c r="D37" s="109">
        <f t="shared" si="0"/>
        <v>5.0010734719696776E-2</v>
      </c>
      <c r="E37" s="104">
        <v>235.84034830968122</v>
      </c>
      <c r="F37" s="104">
        <f t="shared" si="1"/>
        <v>11.794549095516356</v>
      </c>
    </row>
    <row r="38" spans="2:6" s="30" customFormat="1" x14ac:dyDescent="0.25">
      <c r="B38" s="193">
        <v>26</v>
      </c>
      <c r="C38" s="35">
        <v>0.23986138700367304</v>
      </c>
      <c r="D38" s="37">
        <f t="shared" si="0"/>
        <v>5.0391047689847285E-2</v>
      </c>
      <c r="E38" s="60">
        <v>236.05500987906257</v>
      </c>
      <c r="F38" s="60">
        <f t="shared" si="1"/>
        <v>11.895059260243213</v>
      </c>
    </row>
    <row r="39" spans="2:6" s="30" customFormat="1" x14ac:dyDescent="0.25">
      <c r="B39" s="193">
        <v>27</v>
      </c>
      <c r="C39" s="35">
        <v>0.24180967275663146</v>
      </c>
      <c r="D39" s="37">
        <f t="shared" si="0"/>
        <v>5.0800351419460391E-2</v>
      </c>
      <c r="E39" s="60">
        <v>236.38908054246249</v>
      </c>
      <c r="F39" s="60">
        <f t="shared" si="1"/>
        <v>12.008648363280221</v>
      </c>
    </row>
    <row r="40" spans="2:6" s="30" customFormat="1" x14ac:dyDescent="0.25">
      <c r="B40" s="193">
        <v>28</v>
      </c>
      <c r="C40" s="35">
        <v>0.24378513972603638</v>
      </c>
      <c r="D40" s="37">
        <f t="shared" si="0"/>
        <v>5.1215365488663116E-2</v>
      </c>
      <c r="E40" s="60">
        <v>236.7390436986289</v>
      </c>
      <c r="F40" s="60">
        <f t="shared" si="1"/>
        <v>12.124676648461868</v>
      </c>
    </row>
    <row r="41" spans="2:6" s="30" customFormat="1" x14ac:dyDescent="0.25">
      <c r="B41" s="193">
        <v>29</v>
      </c>
      <c r="C41" s="35">
        <v>0.24577649233821453</v>
      </c>
      <c r="D41" s="37">
        <f t="shared" si="0"/>
        <v>5.163371687777616E-2</v>
      </c>
      <c r="E41" s="60">
        <v>237.10394747664529</v>
      </c>
      <c r="F41" s="60">
        <f t="shared" si="1"/>
        <v>12.242558094612212</v>
      </c>
    </row>
    <row r="42" spans="2:6" s="30" customFormat="1" x14ac:dyDescent="0.25">
      <c r="B42" s="193">
        <v>30</v>
      </c>
      <c r="C42" s="35">
        <v>0.24777315542896963</v>
      </c>
      <c r="D42" s="37">
        <f t="shared" si="0"/>
        <v>5.2053183913649083E-2</v>
      </c>
      <c r="E42" s="60">
        <v>237.48267236484853</v>
      </c>
      <c r="F42" s="60">
        <f t="shared" si="1"/>
        <v>12.361729220912329</v>
      </c>
    </row>
    <row r="43" spans="2:6" s="30" customFormat="1" x14ac:dyDescent="0.25">
      <c r="B43" s="193">
        <v>31</v>
      </c>
      <c r="C43" s="35">
        <v>0.249765258192953</v>
      </c>
      <c r="D43" s="37">
        <f t="shared" si="0"/>
        <v>5.2471692897679202E-2</v>
      </c>
      <c r="E43" s="60">
        <v>237.87394193966907</v>
      </c>
      <c r="F43" s="60">
        <f t="shared" si="1"/>
        <v>12.481648429818689</v>
      </c>
    </row>
    <row r="44" spans="2:6" s="30" customFormat="1" x14ac:dyDescent="0.25">
      <c r="B44" s="193">
        <v>32</v>
      </c>
      <c r="C44" s="35">
        <v>0.25174361850162852</v>
      </c>
      <c r="D44" s="37">
        <f t="shared" si="0"/>
        <v>5.2887314811266496E-2</v>
      </c>
      <c r="E44" s="60">
        <v>238.27633294394644</v>
      </c>
      <c r="F44" s="60">
        <f t="shared" si="1"/>
        <v>12.601795432480646</v>
      </c>
    </row>
    <row r="45" spans="2:6" s="30" customFormat="1" x14ac:dyDescent="0.25">
      <c r="B45" s="193">
        <v>33</v>
      </c>
      <c r="C45" s="35">
        <v>0.25369972740672847</v>
      </c>
      <c r="D45" s="37">
        <f t="shared" si="0"/>
        <v>5.3298262060237078E-2</v>
      </c>
      <c r="E45" s="60">
        <v>238.68828484641506</v>
      </c>
      <c r="F45" s="60">
        <f t="shared" si="1"/>
        <v>12.721670756452744</v>
      </c>
    </row>
    <row r="46" spans="2:6" s="30" customFormat="1" x14ac:dyDescent="0.25">
      <c r="B46" s="193">
        <v>34</v>
      </c>
      <c r="C46" s="35">
        <v>0.2556257337832667</v>
      </c>
      <c r="D46" s="37">
        <f t="shared" si="0"/>
        <v>5.3702885248585443E-2</v>
      </c>
      <c r="E46" s="60">
        <v>239.10810894156009</v>
      </c>
      <c r="F46" s="60">
        <f t="shared" si="1"/>
        <v>12.840795336494867</v>
      </c>
    </row>
    <row r="47" spans="2:6" s="30" customFormat="1" x14ac:dyDescent="0.25">
      <c r="B47" s="193">
        <v>35</v>
      </c>
      <c r="C47" s="35">
        <v>0.25751442910076772</v>
      </c>
      <c r="D47" s="37">
        <f t="shared" si="0"/>
        <v>5.4099669979152887E-2</v>
      </c>
      <c r="E47" s="60">
        <v>239.53399702998493</v>
      </c>
      <c r="F47" s="60">
        <f t="shared" si="1"/>
        <v>12.958710188109572</v>
      </c>
    </row>
    <row r="48" spans="2:6" s="30" customFormat="1" x14ac:dyDescent="0.25">
      <c r="B48" s="193">
        <v>36</v>
      </c>
      <c r="C48" s="35">
        <v>0.2593592323199434</v>
      </c>
      <c r="D48" s="37">
        <f t="shared" si="0"/>
        <v>5.4487233680660385E-2</v>
      </c>
      <c r="E48" s="60">
        <v>239.96402971264283</v>
      </c>
      <c r="F48" s="60">
        <f t="shared" si="1"/>
        <v>13.074976161905701</v>
      </c>
    </row>
    <row r="49" spans="2:6" s="30" customFormat="1" x14ac:dyDescent="0.25">
      <c r="B49" s="193">
        <v>37</v>
      </c>
      <c r="C49" s="35">
        <v>0.2611541749141415</v>
      </c>
      <c r="D49" s="37">
        <f t="shared" si="0"/>
        <v>5.4864322460954101E-2</v>
      </c>
      <c r="E49" s="60">
        <v>240.3961843285241</v>
      </c>
      <c r="F49" s="60">
        <f t="shared" si="1"/>
        <v>13.189173775383107</v>
      </c>
    </row>
    <row r="50" spans="2:6" s="30" customFormat="1" x14ac:dyDescent="0.25">
      <c r="B50" s="193">
        <v>38</v>
      </c>
      <c r="C50" s="35">
        <v>0.2628938860154183</v>
      </c>
      <c r="D50" s="37">
        <f t="shared" si="0"/>
        <v>5.5229807986432428E-2</v>
      </c>
      <c r="E50" s="60">
        <v>240.82834256254671</v>
      </c>
      <c r="F50" s="60">
        <f t="shared" si="1"/>
        <v>13.300903117420226</v>
      </c>
    </row>
    <row r="51" spans="2:6" s="30" customFormat="1" x14ac:dyDescent="0.25">
      <c r="B51" s="193">
        <v>39</v>
      </c>
      <c r="C51" s="35">
        <v>0.2645735776851873</v>
      </c>
      <c r="D51" s="37">
        <f t="shared" si="0"/>
        <v>5.5582684387644403E-2</v>
      </c>
      <c r="E51" s="60">
        <v>241.25829774798879</v>
      </c>
      <c r="F51" s="60">
        <f t="shared" si="1"/>
        <v>13.409783819626801</v>
      </c>
    </row>
    <row r="52" spans="2:6" s="30" customFormat="1" x14ac:dyDescent="0.25">
      <c r="B52" s="193">
        <v>40</v>
      </c>
      <c r="C52" s="35">
        <v>0.26618903030943714</v>
      </c>
      <c r="D52" s="37">
        <f t="shared" si="0"/>
        <v>5.5922065191058225E-2</v>
      </c>
      <c r="E52" s="60">
        <v>241.683761885667</v>
      </c>
      <c r="F52" s="60">
        <f t="shared" si="1"/>
        <v>13.515455087790462</v>
      </c>
    </row>
    <row r="53" spans="2:6" s="30" customFormat="1" x14ac:dyDescent="0.25">
      <c r="B53" s="193">
        <v>41</v>
      </c>
      <c r="C53" s="35">
        <v>0.26773657811852086</v>
      </c>
      <c r="D53" s="37">
        <f t="shared" si="0"/>
        <v>5.6247180277000187E-2</v>
      </c>
      <c r="E53" s="60">
        <v>242.10237240017918</v>
      </c>
      <c r="F53" s="60">
        <f t="shared" si="1"/>
        <v>13.617575785882313</v>
      </c>
    </row>
    <row r="54" spans="2:6" s="30" customFormat="1" x14ac:dyDescent="0.25">
      <c r="B54" s="193">
        <v>42</v>
      </c>
      <c r="C54" s="35">
        <v>0.26921309483150935</v>
      </c>
      <c r="D54" s="37">
        <f t="shared" si="0"/>
        <v>5.6557372863762473E-2</v>
      </c>
      <c r="E54" s="60">
        <v>242.51169865182382</v>
      </c>
      <c r="F54" s="60">
        <f t="shared" si="1"/>
        <v>13.715824564475604</v>
      </c>
    </row>
    <row r="55" spans="2:6" s="30" customFormat="1" x14ac:dyDescent="0.25">
      <c r="B55" s="193">
        <v>43</v>
      </c>
      <c r="C55" s="35">
        <v>0.27061597942511684</v>
      </c>
      <c r="D55" s="37">
        <f t="shared" si="0"/>
        <v>5.6852096517881694E-2</v>
      </c>
      <c r="E55" s="60">
        <v>242.90924822130032</v>
      </c>
      <c r="F55" s="60">
        <f t="shared" si="1"/>
        <v>13.809900024963447</v>
      </c>
    </row>
    <row r="56" spans="2:6" s="30" customFormat="1" x14ac:dyDescent="0.25">
      <c r="B56" s="193">
        <v>44</v>
      </c>
      <c r="C56" s="35">
        <v>0.27194314202719033</v>
      </c>
      <c r="D56" s="37">
        <f t="shared" si="0"/>
        <v>5.7130912190586206E-2</v>
      </c>
      <c r="E56" s="60">
        <v>243.29247298292179</v>
      </c>
      <c r="F56" s="60">
        <f t="shared" si="1"/>
        <v>13.899520910617872</v>
      </c>
    </row>
    <row r="57" spans="2:6" s="30" customFormat="1" x14ac:dyDescent="0.25">
      <c r="B57" s="193">
        <v>45</v>
      </c>
      <c r="C57" s="35">
        <v>0.27319298993476743</v>
      </c>
      <c r="D57" s="37">
        <f t="shared" si="0"/>
        <v>5.7393485280413326E-2</v>
      </c>
      <c r="E57" s="60">
        <v>243.6587749808559</v>
      </c>
      <c r="F57" s="60">
        <f t="shared" si="1"/>
        <v>13.984426315307296</v>
      </c>
    </row>
    <row r="58" spans="2:6" s="30" customFormat="1" x14ac:dyDescent="0.25">
      <c r="B58" s="193">
        <v>46</v>
      </c>
      <c r="C58" s="35">
        <v>0.2743644137567034</v>
      </c>
      <c r="D58" s="37">
        <f t="shared" si="0"/>
        <v>5.763958272199652E-2</v>
      </c>
      <c r="E58" s="60">
        <v>244.00551212180008</v>
      </c>
      <c r="F58" s="60">
        <f t="shared" si="1"/>
        <v>14.064375900567621</v>
      </c>
    </row>
    <row r="59" spans="2:6" s="30" customFormat="1" x14ac:dyDescent="0.25">
      <c r="B59" s="193">
        <v>47</v>
      </c>
      <c r="C59" s="35">
        <v>0.2754567736808648</v>
      </c>
      <c r="D59" s="37">
        <f t="shared" si="0"/>
        <v>5.7869070101022026E-2</v>
      </c>
      <c r="E59" s="60">
        <v>244.33000369651035</v>
      </c>
      <c r="F59" s="60">
        <f t="shared" si="1"/>
        <v>14.139150111696328</v>
      </c>
    </row>
    <row r="60" spans="2:6" s="30" customFormat="1" x14ac:dyDescent="0.25">
      <c r="B60" s="193">
        <v>48</v>
      </c>
      <c r="C60" s="35">
        <v>0.27646988586588894</v>
      </c>
      <c r="D60" s="37">
        <f t="shared" si="0"/>
        <v>5.8081908795354825E-2</v>
      </c>
      <c r="E60" s="60">
        <v>244.62953574170567</v>
      </c>
      <c r="F60" s="60">
        <f t="shared" si="1"/>
        <v>14.208550383599741</v>
      </c>
    </row>
    <row r="61" spans="2:6" s="30" customFormat="1" x14ac:dyDescent="0.25">
      <c r="B61" s="193">
        <v>49</v>
      </c>
      <c r="C61" s="35">
        <v>0.27740400895751577</v>
      </c>
      <c r="D61" s="37">
        <f t="shared" si="0"/>
        <v>5.8278153142335247E-2</v>
      </c>
      <c r="E61" s="60">
        <v>244.90136625306206</v>
      </c>
      <c r="F61" s="60">
        <f t="shared" si="1"/>
        <v>14.272399327263084</v>
      </c>
    </row>
    <row r="62" spans="2:6" s="30" customFormat="1" x14ac:dyDescent="0.25">
      <c r="B62" s="193">
        <v>50</v>
      </c>
      <c r="C62" s="35">
        <v>0.27825983072948052</v>
      </c>
      <c r="D62" s="37">
        <f t="shared" si="0"/>
        <v>5.8457947632243816E-2</v>
      </c>
      <c r="E62" s="60">
        <v>245.14273025928878</v>
      </c>
      <c r="F62" s="60">
        <f t="shared" si="1"/>
        <v>14.330540887922774</v>
      </c>
    </row>
    <row r="63" spans="2:6" s="30" customFormat="1" x14ac:dyDescent="0.25">
      <c r="B63" s="193">
        <v>51</v>
      </c>
      <c r="C63" s="35">
        <v>0.27903845484898154</v>
      </c>
      <c r="D63" s="37">
        <f t="shared" si="0"/>
        <v>5.8621524127937301E-2</v>
      </c>
      <c r="E63" s="60">
        <v>245.35084476661123</v>
      </c>
      <c r="F63" s="60">
        <f t="shared" si="1"/>
        <v>14.382840466295699</v>
      </c>
    </row>
    <row r="64" spans="2:6" s="30" customFormat="1" x14ac:dyDescent="0.25">
      <c r="B64" s="193">
        <v>52</v>
      </c>
      <c r="C64" s="35">
        <v>0.27974138776670954</v>
      </c>
      <c r="D64" s="37">
        <f t="shared" si="0"/>
        <v>5.8769199110653272E-2</v>
      </c>
      <c r="E64" s="60">
        <v>245.52291358240421</v>
      </c>
      <c r="F64" s="60">
        <f t="shared" si="1"/>
        <v>14.429184994552029</v>
      </c>
    </row>
    <row r="65" spans="2:6" s="30" customFormat="1" x14ac:dyDescent="0.25">
      <c r="B65" s="193">
        <v>53</v>
      </c>
      <c r="C65" s="35">
        <v>0.28037052573144794</v>
      </c>
      <c r="D65" s="37">
        <f t="shared" si="0"/>
        <v>5.8901370951984867E-2</v>
      </c>
      <c r="E65" s="60">
        <v>245.65613202617487</v>
      </c>
      <c r="F65" s="60">
        <f t="shared" si="1"/>
        <v>14.469482959103496</v>
      </c>
    </row>
    <row r="66" spans="2:6" s="30" customFormat="1" x14ac:dyDescent="0.25">
      <c r="B66" s="193">
        <v>54</v>
      </c>
      <c r="C66" s="35">
        <v>0.28092814192923987</v>
      </c>
      <c r="D66" s="37">
        <f t="shared" si="0"/>
        <v>5.9018517212025196E-2</v>
      </c>
      <c r="E66" s="60">
        <v>245.74769153561539</v>
      </c>
      <c r="F66" s="60">
        <f t="shared" si="1"/>
        <v>14.503664362710175</v>
      </c>
    </row>
    <row r="67" spans="2:6" s="30" customFormat="1" x14ac:dyDescent="0.25">
      <c r="B67" s="193">
        <v>55</v>
      </c>
      <c r="C67" s="35">
        <v>0.2814168737471221</v>
      </c>
      <c r="D67" s="37">
        <f t="shared" si="0"/>
        <v>5.9121191963681125E-2</v>
      </c>
      <c r="E67" s="60">
        <v>245.79478417501369</v>
      </c>
      <c r="F67" s="60">
        <f t="shared" si="1"/>
        <v>14.531680618882556</v>
      </c>
    </row>
    <row r="68" spans="2:6" s="30" customFormat="1" x14ac:dyDescent="0.25">
      <c r="B68" s="193">
        <v>56</v>
      </c>
      <c r="C68" s="35">
        <v>0.28183971016142756</v>
      </c>
      <c r="D68" s="37">
        <f t="shared" si="0"/>
        <v>5.9210023143157056E-2</v>
      </c>
      <c r="E68" s="60">
        <v>245.7946070529147</v>
      </c>
      <c r="F68" s="60">
        <f t="shared" si="1"/>
        <v>14.553504372066273</v>
      </c>
    </row>
    <row r="69" spans="2:6" s="30" customFormat="1" x14ac:dyDescent="0.25">
      <c r="B69" s="193">
        <v>57</v>
      </c>
      <c r="C69" s="35">
        <v>0.28219997925065632</v>
      </c>
      <c r="D69" s="37">
        <f t="shared" si="0"/>
        <v>5.9285709926608476E-2</v>
      </c>
      <c r="E69" s="60">
        <v>245.74436665557835</v>
      </c>
      <c r="F69" s="60">
        <f t="shared" si="1"/>
        <v>14.569129237640734</v>
      </c>
    </row>
    <row r="70" spans="2:6" s="30" customFormat="1" x14ac:dyDescent="0.25">
      <c r="B70" s="193">
        <v>58</v>
      </c>
      <c r="C70" s="35">
        <v>0.28250133583291054</v>
      </c>
      <c r="D70" s="37">
        <f t="shared" si="0"/>
        <v>5.9349020132964406E-2</v>
      </c>
      <c r="E70" s="60">
        <v>245.6412831024648</v>
      </c>
      <c r="F70" s="60">
        <f t="shared" si="1"/>
        <v>14.578569456335392</v>
      </c>
    </row>
    <row r="71" spans="2:6" s="30" customFormat="1" x14ac:dyDescent="0.25">
      <c r="B71" s="193">
        <v>59</v>
      </c>
      <c r="C71" s="35">
        <v>0.28274774922790247</v>
      </c>
      <c r="D71" s="37">
        <f t="shared" si="0"/>
        <v>5.94007876529207E-2</v>
      </c>
      <c r="E71" s="60">
        <v>245.4825943296986</v>
      </c>
      <c r="F71" s="60">
        <f t="shared" si="1"/>
        <v>14.581859458266502</v>
      </c>
    </row>
    <row r="72" spans="2:6" s="30" customFormat="1" x14ac:dyDescent="0.25">
      <c r="B72" s="193">
        <v>60</v>
      </c>
      <c r="C72" s="35">
        <v>0.28294349114352513</v>
      </c>
      <c r="D72" s="37">
        <f t="shared" si="0"/>
        <v>5.9441909904101919E-2</v>
      </c>
      <c r="E72" s="60">
        <v>245.26556020721807</v>
      </c>
      <c r="F72" s="60">
        <f t="shared" si="1"/>
        <v>14.579053332416542</v>
      </c>
    </row>
    <row r="73" spans="2:6" s="30" customFormat="1" x14ac:dyDescent="0.25"/>
    <row r="74" spans="2:6" s="30" customFormat="1" x14ac:dyDescent="0.25"/>
  </sheetData>
  <pageMargins left="0.7" right="0.7" top="0.75" bottom="0.75" header="0.3" footer="0.3"/>
  <pageSetup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J74"/>
  <sheetViews>
    <sheetView zoomScale="80" zoomScaleNormal="80" workbookViewId="0">
      <selection activeCell="B1" sqref="B1:D1"/>
    </sheetView>
  </sheetViews>
  <sheetFormatPr defaultColWidth="9.140625" defaultRowHeight="15.75" x14ac:dyDescent="0.25"/>
  <cols>
    <col min="1" max="1" width="9.140625" style="29"/>
    <col min="2" max="2" width="17.140625" style="30" customWidth="1"/>
    <col min="3" max="3" width="22.42578125" style="30" customWidth="1"/>
    <col min="4" max="4" width="16.7109375" style="53" bestFit="1" customWidth="1"/>
    <col min="5" max="5" width="19.7109375" style="30" customWidth="1"/>
    <col min="6" max="6" width="19.42578125" style="30" bestFit="1" customWidth="1"/>
    <col min="7" max="16384" width="9.140625" style="29"/>
  </cols>
  <sheetData>
    <row r="1" spans="1:10" s="30" customFormat="1" x14ac:dyDescent="0.25">
      <c r="A1" s="29"/>
      <c r="B1" s="328" t="s">
        <v>94</v>
      </c>
      <c r="C1" s="328" t="s">
        <v>0</v>
      </c>
      <c r="D1" s="328" t="s">
        <v>63</v>
      </c>
      <c r="G1" s="29"/>
      <c r="H1" s="29"/>
      <c r="I1" s="29"/>
      <c r="J1" s="29"/>
    </row>
    <row r="2" spans="1:10" s="30" customFormat="1" ht="63" x14ac:dyDescent="0.25">
      <c r="B2" s="36" t="s">
        <v>126</v>
      </c>
      <c r="C2" s="36" t="s">
        <v>95</v>
      </c>
      <c r="D2" s="36"/>
    </row>
    <row r="3" spans="1:10" s="30" customFormat="1" ht="27" customHeight="1" x14ac:dyDescent="0.25">
      <c r="B3" s="36" t="s">
        <v>127</v>
      </c>
      <c r="C3" s="195" t="s">
        <v>96</v>
      </c>
      <c r="D3" s="36">
        <v>1.6E-2</v>
      </c>
    </row>
    <row r="4" spans="1:10" s="30" customFormat="1" ht="79.5" customHeight="1" x14ac:dyDescent="0.25">
      <c r="B4" s="36" t="s">
        <v>122</v>
      </c>
      <c r="C4" s="36" t="s">
        <v>128</v>
      </c>
      <c r="D4" s="36">
        <v>0.15</v>
      </c>
    </row>
    <row r="5" spans="1:10" s="30" customFormat="1" x14ac:dyDescent="0.25">
      <c r="B5" s="36" t="s">
        <v>123</v>
      </c>
      <c r="C5" s="36" t="s">
        <v>124</v>
      </c>
      <c r="D5" s="36"/>
    </row>
    <row r="6" spans="1:10" s="30" customFormat="1" x14ac:dyDescent="0.25">
      <c r="B6" s="43"/>
      <c r="C6" s="43"/>
      <c r="D6" s="52"/>
      <c r="E6" s="43"/>
      <c r="F6" s="43"/>
    </row>
    <row r="7" spans="1:10" s="30" customFormat="1" ht="21.75" customHeight="1" x14ac:dyDescent="0.25">
      <c r="B7" s="232" t="s">
        <v>58</v>
      </c>
      <c r="C7" s="232" t="s">
        <v>125</v>
      </c>
      <c r="D7" s="325" t="s">
        <v>129</v>
      </c>
      <c r="E7" s="314" t="s">
        <v>49</v>
      </c>
      <c r="F7" s="314" t="s">
        <v>130</v>
      </c>
    </row>
    <row r="8" spans="1:10" s="30" customFormat="1" ht="21.75" customHeight="1" x14ac:dyDescent="0.25">
      <c r="B8" s="228">
        <v>0.01</v>
      </c>
      <c r="C8" s="236">
        <v>1.3153239696033655E-2</v>
      </c>
      <c r="D8" s="71">
        <f>(C8/0.016)*0.15</f>
        <v>0.12331162215031551</v>
      </c>
      <c r="E8" s="34">
        <v>41.38798202509917</v>
      </c>
      <c r="F8" s="35">
        <f>D8*E8</f>
        <v>5.1036192010430792</v>
      </c>
    </row>
    <row r="9" spans="1:10" s="30" customFormat="1" ht="15.75" customHeight="1" x14ac:dyDescent="0.25">
      <c r="B9" s="191">
        <v>0.5</v>
      </c>
      <c r="C9" s="83">
        <v>1.3026140988103776E-2</v>
      </c>
      <c r="D9" s="133">
        <f>(C9/0.016)*0.15</f>
        <v>0.12212007176347289</v>
      </c>
      <c r="E9" s="104">
        <v>53.831141676161266</v>
      </c>
      <c r="F9" s="83">
        <f>D9*E9</f>
        <v>6.57386288460249</v>
      </c>
    </row>
    <row r="10" spans="1:10" s="30" customFormat="1" ht="15.75" customHeight="1" x14ac:dyDescent="0.25">
      <c r="B10" s="192">
        <v>1</v>
      </c>
      <c r="C10" s="83">
        <v>1.2712301722946287E-2</v>
      </c>
      <c r="D10" s="133">
        <f t="shared" ref="D10:D72" si="0">(C10/0.016)*0.15</f>
        <v>0.11917782865262143</v>
      </c>
      <c r="E10" s="104">
        <v>63.380661538063698</v>
      </c>
      <c r="F10" s="83">
        <f>D10*E10</f>
        <v>7.5535696206731489</v>
      </c>
    </row>
    <row r="11" spans="1:10" s="30" customFormat="1" ht="15.75" customHeight="1" x14ac:dyDescent="0.25">
      <c r="B11" s="251">
        <v>1.5</v>
      </c>
      <c r="C11" s="35">
        <v>1.2435889717378898E-2</v>
      </c>
      <c r="D11" s="71">
        <f t="shared" si="0"/>
        <v>0.11658646610042715</v>
      </c>
      <c r="E11" s="60">
        <v>71.012511472657152</v>
      </c>
      <c r="F11" s="35">
        <f>D11*E11</f>
        <v>8.2790977615131371</v>
      </c>
    </row>
    <row r="12" spans="1:10" s="30" customFormat="1" x14ac:dyDescent="0.25">
      <c r="B12" s="251">
        <v>2</v>
      </c>
      <c r="C12" s="35">
        <v>1.2226517385601635E-2</v>
      </c>
      <c r="D12" s="71">
        <f t="shared" si="0"/>
        <v>0.11462360049001533</v>
      </c>
      <c r="E12" s="60">
        <v>79.306671182823663</v>
      </c>
      <c r="F12" s="35">
        <f t="shared" ref="F12:F72" si="1">D12*E12</f>
        <v>9.0904161938529899</v>
      </c>
    </row>
    <row r="13" spans="1:10" s="30" customFormat="1" x14ac:dyDescent="0.25">
      <c r="B13" s="251">
        <v>3</v>
      </c>
      <c r="C13" s="35">
        <v>1.1977236135408421E-2</v>
      </c>
      <c r="D13" s="71">
        <f t="shared" si="0"/>
        <v>0.11228658876945394</v>
      </c>
      <c r="E13" s="60">
        <v>88.871580679028682</v>
      </c>
      <c r="F13" s="35">
        <f t="shared" si="1"/>
        <v>9.9790866329974417</v>
      </c>
    </row>
    <row r="14" spans="1:10" s="30" customFormat="1" x14ac:dyDescent="0.25">
      <c r="B14" s="251">
        <v>4</v>
      </c>
      <c r="C14" s="35">
        <v>1.3317068652071466E-2</v>
      </c>
      <c r="D14" s="71">
        <f t="shared" si="0"/>
        <v>0.12484751861316999</v>
      </c>
      <c r="E14" s="60">
        <v>99.601784270773265</v>
      </c>
      <c r="F14" s="35">
        <f t="shared" si="1"/>
        <v>12.435035615650307</v>
      </c>
    </row>
    <row r="15" spans="1:10" s="30" customFormat="1" x14ac:dyDescent="0.25">
      <c r="B15" s="251">
        <v>4.5</v>
      </c>
      <c r="C15" s="35">
        <v>1.3850731995184083E-2</v>
      </c>
      <c r="D15" s="71">
        <f t="shared" si="0"/>
        <v>0.12985061245485077</v>
      </c>
      <c r="E15" s="60">
        <v>104.49610825639985</v>
      </c>
      <c r="F15" s="35">
        <f t="shared" si="1"/>
        <v>13.568883656241908</v>
      </c>
    </row>
    <row r="16" spans="1:10" s="30" customFormat="1" x14ac:dyDescent="0.25">
      <c r="B16" s="191">
        <v>5</v>
      </c>
      <c r="C16" s="83">
        <v>1.430587076467423E-2</v>
      </c>
      <c r="D16" s="133">
        <f t="shared" si="0"/>
        <v>0.1341175384188209</v>
      </c>
      <c r="E16" s="104">
        <v>109.17415101385284</v>
      </c>
      <c r="F16" s="83">
        <f t="shared" si="1"/>
        <v>14.642168392942562</v>
      </c>
    </row>
    <row r="17" spans="2:10" s="30" customFormat="1" x14ac:dyDescent="0.25">
      <c r="B17" s="251">
        <v>6</v>
      </c>
      <c r="C17" s="35">
        <v>1.5016128506880016E-2</v>
      </c>
      <c r="D17" s="71">
        <f t="shared" si="0"/>
        <v>0.14077620475200014</v>
      </c>
      <c r="E17" s="60">
        <v>118.11939252666471</v>
      </c>
      <c r="F17" s="35">
        <f t="shared" si="1"/>
        <v>16.628399787515626</v>
      </c>
    </row>
    <row r="18" spans="2:10" s="30" customFormat="1" x14ac:dyDescent="0.25">
      <c r="B18" s="251">
        <v>7</v>
      </c>
      <c r="C18" s="35">
        <v>1.5509551549706901E-2</v>
      </c>
      <c r="D18" s="71">
        <f t="shared" si="0"/>
        <v>0.14540204577850219</v>
      </c>
      <c r="E18" s="60">
        <v>126.84460048220875</v>
      </c>
      <c r="F18" s="35">
        <f t="shared" si="1"/>
        <v>18.443464406069936</v>
      </c>
    </row>
    <row r="19" spans="2:10" s="30" customFormat="1" x14ac:dyDescent="0.25">
      <c r="B19" s="251">
        <v>8</v>
      </c>
      <c r="C19" s="35">
        <v>1.5833430127577961E-2</v>
      </c>
      <c r="D19" s="71">
        <f t="shared" si="0"/>
        <v>0.14843840744604336</v>
      </c>
      <c r="E19" s="60">
        <v>135.65555680838523</v>
      </c>
      <c r="F19" s="35">
        <f t="shared" si="1"/>
        <v>20.136494813842969</v>
      </c>
    </row>
    <row r="20" spans="2:10" s="30" customFormat="1" ht="23.25" x14ac:dyDescent="0.25">
      <c r="B20" s="251">
        <v>9</v>
      </c>
      <c r="C20" s="35">
        <v>1.6024619846197425E-2</v>
      </c>
      <c r="D20" s="71">
        <f t="shared" si="0"/>
        <v>0.15023081105810085</v>
      </c>
      <c r="E20" s="60">
        <v>144.75343942670185</v>
      </c>
      <c r="F20" s="35">
        <f t="shared" si="1"/>
        <v>21.746426608523091</v>
      </c>
      <c r="J20" s="42"/>
    </row>
    <row r="21" spans="2:10" s="30" customFormat="1" ht="23.25" x14ac:dyDescent="0.25">
      <c r="B21" s="191">
        <v>10</v>
      </c>
      <c r="C21" s="83">
        <v>1.6114380879591973E-2</v>
      </c>
      <c r="D21" s="133">
        <f t="shared" si="0"/>
        <v>0.15107232074617474</v>
      </c>
      <c r="E21" s="104">
        <v>154.2224206529134</v>
      </c>
      <c r="F21" s="83">
        <f t="shared" si="1"/>
        <v>23.298738999128418</v>
      </c>
      <c r="J21" s="42"/>
    </row>
    <row r="22" spans="2:10" s="30" customFormat="1" ht="23.25" x14ac:dyDescent="0.25">
      <c r="B22" s="251">
        <v>10.5</v>
      </c>
      <c r="C22" s="35">
        <v>1.6130656327654678E-2</v>
      </c>
      <c r="D22" s="71">
        <f t="shared" si="0"/>
        <v>0.15122490307176259</v>
      </c>
      <c r="E22" s="60">
        <v>159.0894451651003</v>
      </c>
      <c r="F22" s="35">
        <f t="shared" si="1"/>
        <v>24.058285924832784</v>
      </c>
      <c r="J22" s="42"/>
    </row>
    <row r="23" spans="2:10" s="30" customFormat="1" ht="23.25" x14ac:dyDescent="0.25">
      <c r="B23" s="193">
        <v>11</v>
      </c>
      <c r="C23" s="35">
        <v>1.6133317938310233E-2</v>
      </c>
      <c r="D23" s="71">
        <f t="shared" si="0"/>
        <v>0.15124985567165841</v>
      </c>
      <c r="E23" s="60">
        <v>164.02891270496642</v>
      </c>
      <c r="F23" s="35">
        <f t="shared" si="1"/>
        <v>24.809349372605226</v>
      </c>
      <c r="J23" s="42"/>
    </row>
    <row r="24" spans="2:10" s="30" customFormat="1" ht="23.25" x14ac:dyDescent="0.25">
      <c r="B24" s="193">
        <v>12</v>
      </c>
      <c r="C24" s="35">
        <v>1.6118434410224473E-2</v>
      </c>
      <c r="D24" s="71">
        <f t="shared" si="0"/>
        <v>0.15111032259585444</v>
      </c>
      <c r="E24" s="60">
        <v>174.06810970101117</v>
      </c>
      <c r="F24" s="35">
        <f t="shared" si="1"/>
        <v>26.303488210570379</v>
      </c>
      <c r="J24" s="42"/>
    </row>
    <row r="25" spans="2:10" s="30" customFormat="1" ht="23.25" x14ac:dyDescent="0.25">
      <c r="B25" s="193">
        <v>13</v>
      </c>
      <c r="C25" s="35">
        <v>1.6126651644349874E-2</v>
      </c>
      <c r="D25" s="71">
        <f t="shared" si="0"/>
        <v>0.15118735916578005</v>
      </c>
      <c r="E25" s="60">
        <v>184.31439944245017</v>
      </c>
      <c r="F25" s="35">
        <f t="shared" si="1"/>
        <v>27.866007307930765</v>
      </c>
      <c r="J25" s="42"/>
    </row>
    <row r="26" spans="2:10" s="30" customFormat="1" ht="23.25" x14ac:dyDescent="0.25">
      <c r="B26" s="193">
        <v>14</v>
      </c>
      <c r="C26" s="35">
        <v>1.6238678730039108E-2</v>
      </c>
      <c r="D26" s="71">
        <f t="shared" si="0"/>
        <v>0.15223761309411663</v>
      </c>
      <c r="E26" s="60">
        <v>194.99086929943499</v>
      </c>
      <c r="F26" s="35">
        <f t="shared" si="1"/>
        <v>29.684944517292848</v>
      </c>
      <c r="J26" s="42"/>
    </row>
    <row r="27" spans="2:10" s="30" customFormat="1" x14ac:dyDescent="0.25">
      <c r="B27" s="193">
        <v>15</v>
      </c>
      <c r="C27" s="35">
        <v>1.6442942250637034E-2</v>
      </c>
      <c r="D27" s="71">
        <f t="shared" si="0"/>
        <v>0.1541525835997222</v>
      </c>
      <c r="E27" s="60">
        <v>205.77417499532027</v>
      </c>
      <c r="F27" s="35">
        <f t="shared" si="1"/>
        <v>31.720620713629973</v>
      </c>
    </row>
    <row r="28" spans="2:10" s="30" customFormat="1" x14ac:dyDescent="0.25">
      <c r="B28" s="193">
        <v>16</v>
      </c>
      <c r="C28" s="35">
        <v>1.654966662716988E-2</v>
      </c>
      <c r="D28" s="71">
        <f t="shared" si="0"/>
        <v>0.15515312462971761</v>
      </c>
      <c r="E28" s="60">
        <v>214.68138649493855</v>
      </c>
      <c r="F28" s="35">
        <f t="shared" si="1"/>
        <v>33.308487914529778</v>
      </c>
    </row>
    <row r="29" spans="2:10" s="30" customFormat="1" x14ac:dyDescent="0.25">
      <c r="B29" s="193">
        <v>17</v>
      </c>
      <c r="C29" s="35">
        <v>1.6525498945190776E-2</v>
      </c>
      <c r="D29" s="71">
        <f t="shared" si="0"/>
        <v>0.15492655261116353</v>
      </c>
      <c r="E29" s="60">
        <v>220.98498338086458</v>
      </c>
      <c r="F29" s="35">
        <f t="shared" si="1"/>
        <v>34.236441654032618</v>
      </c>
    </row>
    <row r="30" spans="2:10" s="30" customFormat="1" x14ac:dyDescent="0.25">
      <c r="B30" s="193">
        <v>18</v>
      </c>
      <c r="C30" s="35">
        <v>1.6464605995713526E-2</v>
      </c>
      <c r="D30" s="71">
        <f t="shared" si="0"/>
        <v>0.1543556812098143</v>
      </c>
      <c r="E30" s="60">
        <v>225.51590370162751</v>
      </c>
      <c r="F30" s="35">
        <f t="shared" si="1"/>
        <v>34.809660939511595</v>
      </c>
    </row>
    <row r="31" spans="2:10" s="30" customFormat="1" x14ac:dyDescent="0.25">
      <c r="B31" s="193">
        <v>19</v>
      </c>
      <c r="C31" s="35">
        <v>1.6412902345568123E-2</v>
      </c>
      <c r="D31" s="71">
        <f t="shared" si="0"/>
        <v>0.15387095948970111</v>
      </c>
      <c r="E31" s="60">
        <v>228.86286112621855</v>
      </c>
      <c r="F31" s="35">
        <f t="shared" si="1"/>
        <v>35.215348033049466</v>
      </c>
    </row>
    <row r="32" spans="2:10" s="30" customFormat="1" x14ac:dyDescent="0.25">
      <c r="B32" s="193">
        <v>20</v>
      </c>
      <c r="C32" s="35">
        <v>1.6293708632567929E-2</v>
      </c>
      <c r="D32" s="71">
        <f t="shared" si="0"/>
        <v>0.15275351843032431</v>
      </c>
      <c r="E32" s="60">
        <v>231.31445125893075</v>
      </c>
      <c r="F32" s="35">
        <f t="shared" si="1"/>
        <v>35.334096293581432</v>
      </c>
    </row>
    <row r="33" spans="2:6" s="30" customFormat="1" x14ac:dyDescent="0.25">
      <c r="B33" s="193">
        <v>21</v>
      </c>
      <c r="C33" s="35">
        <v>1.6164292646833608E-2</v>
      </c>
      <c r="D33" s="71">
        <f t="shared" si="0"/>
        <v>0.15154024356406506</v>
      </c>
      <c r="E33" s="60">
        <v>233.0632589862274</v>
      </c>
      <c r="F33" s="35">
        <f t="shared" si="1"/>
        <v>35.318463032607674</v>
      </c>
    </row>
    <row r="34" spans="2:6" s="30" customFormat="1" x14ac:dyDescent="0.25">
      <c r="B34" s="193">
        <v>22</v>
      </c>
      <c r="C34" s="35">
        <v>1.6123441579568E-2</v>
      </c>
      <c r="D34" s="71">
        <f t="shared" si="0"/>
        <v>0.15115726480844999</v>
      </c>
      <c r="E34" s="60">
        <v>234.26792592277934</v>
      </c>
      <c r="F34" s="35">
        <f t="shared" si="1"/>
        <v>35.411298914835903</v>
      </c>
    </row>
    <row r="35" spans="2:6" s="30" customFormat="1" x14ac:dyDescent="0.25">
      <c r="B35" s="193">
        <v>23</v>
      </c>
      <c r="C35" s="35">
        <v>1.6081052998014444E-2</v>
      </c>
      <c r="D35" s="71">
        <f t="shared" si="0"/>
        <v>0.1507598718563854</v>
      </c>
      <c r="E35" s="60">
        <v>235.06261378617052</v>
      </c>
      <c r="F35" s="35">
        <f t="shared" si="1"/>
        <v>35.438009532630076</v>
      </c>
    </row>
    <row r="36" spans="2:6" s="30" customFormat="1" x14ac:dyDescent="0.25">
      <c r="B36" s="193">
        <v>24</v>
      </c>
      <c r="C36" s="35">
        <v>1.6039836696984416E-2</v>
      </c>
      <c r="D36" s="71">
        <f t="shared" si="0"/>
        <v>0.15037346903422891</v>
      </c>
      <c r="E36" s="60">
        <v>235.55755499029567</v>
      </c>
      <c r="F36" s="35">
        <f t="shared" si="1"/>
        <v>35.421606701111898</v>
      </c>
    </row>
    <row r="37" spans="2:6" s="30" customFormat="1" x14ac:dyDescent="0.25">
      <c r="B37" s="194">
        <v>25</v>
      </c>
      <c r="C37" s="121">
        <v>1.6000926957419115E-2</v>
      </c>
      <c r="D37" s="133">
        <f t="shared" si="0"/>
        <v>0.15000869022580418</v>
      </c>
      <c r="E37" s="134">
        <v>235.84034830968122</v>
      </c>
      <c r="F37" s="132">
        <f t="shared" si="1"/>
        <v>35.378101752332732</v>
      </c>
    </row>
    <row r="38" spans="2:6" s="30" customFormat="1" x14ac:dyDescent="0.25">
      <c r="B38" s="193">
        <v>26</v>
      </c>
      <c r="C38" s="35">
        <v>1.5962910872922866E-2</v>
      </c>
      <c r="D38" s="71">
        <f t="shared" si="0"/>
        <v>0.14965228943365186</v>
      </c>
      <c r="E38" s="60">
        <v>236.05500987906257</v>
      </c>
      <c r="F38" s="35">
        <f t="shared" si="1"/>
        <v>35.326172660685017</v>
      </c>
    </row>
    <row r="39" spans="2:6" s="30" customFormat="1" x14ac:dyDescent="0.25">
      <c r="B39" s="193">
        <v>27</v>
      </c>
      <c r="C39" s="35">
        <v>1.5921996872110739E-2</v>
      </c>
      <c r="D39" s="71">
        <f t="shared" si="0"/>
        <v>0.14926872067603816</v>
      </c>
      <c r="E39" s="60">
        <v>236.38908054246249</v>
      </c>
      <c r="F39" s="35">
        <f t="shared" si="1"/>
        <v>35.28549563435832</v>
      </c>
    </row>
    <row r="40" spans="2:6" s="30" customFormat="1" x14ac:dyDescent="0.25">
      <c r="B40" s="193">
        <v>28</v>
      </c>
      <c r="C40" s="35">
        <v>1.5880512065753236E-2</v>
      </c>
      <c r="D40" s="71">
        <f t="shared" si="0"/>
        <v>0.14887980061643658</v>
      </c>
      <c r="E40" s="60">
        <v>236.7390436986289</v>
      </c>
      <c r="F40" s="35">
        <f t="shared" si="1"/>
        <v>35.245661623977739</v>
      </c>
    </row>
    <row r="41" spans="2:6" s="30" customFormat="1" x14ac:dyDescent="0.25">
      <c r="B41" s="193">
        <v>29</v>
      </c>
      <c r="C41" s="35">
        <v>1.5838693660897497E-2</v>
      </c>
      <c r="D41" s="71">
        <f t="shared" si="0"/>
        <v>0.14848775307091402</v>
      </c>
      <c r="E41" s="60">
        <v>237.10394747664529</v>
      </c>
      <c r="F41" s="35">
        <f t="shared" si="1"/>
        <v>35.207032405051073</v>
      </c>
    </row>
    <row r="42" spans="2:6" s="30" customFormat="1" x14ac:dyDescent="0.25">
      <c r="B42" s="193">
        <v>30</v>
      </c>
      <c r="C42" s="35">
        <v>1.5796763735991638E-2</v>
      </c>
      <c r="D42" s="71">
        <f t="shared" si="0"/>
        <v>0.14809466002492161</v>
      </c>
      <c r="E42" s="60">
        <v>237.48267236484853</v>
      </c>
      <c r="F42" s="35">
        <f t="shared" si="1"/>
        <v>35.169915625682087</v>
      </c>
    </row>
    <row r="43" spans="2:6" s="30" customFormat="1" x14ac:dyDescent="0.25">
      <c r="B43" s="193">
        <v>31</v>
      </c>
      <c r="C43" s="35">
        <v>1.5754929577947985E-2</v>
      </c>
      <c r="D43" s="71">
        <f t="shared" si="0"/>
        <v>0.14770246479326235</v>
      </c>
      <c r="E43" s="60">
        <v>237.87394193966907</v>
      </c>
      <c r="F43" s="35">
        <f t="shared" si="1"/>
        <v>35.134567534578501</v>
      </c>
    </row>
    <row r="44" spans="2:6" s="30" customFormat="1" x14ac:dyDescent="0.25">
      <c r="B44" s="193">
        <v>32</v>
      </c>
      <c r="C44" s="35">
        <v>1.5713384011465804E-2</v>
      </c>
      <c r="D44" s="71">
        <f t="shared" si="0"/>
        <v>0.14731297510749192</v>
      </c>
      <c r="E44" s="60">
        <v>238.27633294394644</v>
      </c>
      <c r="F44" s="35">
        <f t="shared" si="1"/>
        <v>35.101195503676038</v>
      </c>
    </row>
    <row r="45" spans="2:6" s="30" customFormat="1" x14ac:dyDescent="0.25">
      <c r="B45" s="193">
        <v>33</v>
      </c>
      <c r="C45" s="35">
        <v>1.5672305724458702E-2</v>
      </c>
      <c r="D45" s="71">
        <f t="shared" si="0"/>
        <v>0.14692786616680034</v>
      </c>
      <c r="E45" s="60">
        <v>238.68828484641506</v>
      </c>
      <c r="F45" s="35">
        <f t="shared" si="1"/>
        <v>35.069960371497189</v>
      </c>
    </row>
    <row r="46" spans="2:6" s="30" customFormat="1" x14ac:dyDescent="0.25">
      <c r="B46" s="193">
        <v>34</v>
      </c>
      <c r="C46" s="35">
        <v>1.5631859590551401E-2</v>
      </c>
      <c r="D46" s="71">
        <f t="shared" si="0"/>
        <v>0.14654868366141938</v>
      </c>
      <c r="E46" s="60">
        <v>239.10810894156009</v>
      </c>
      <c r="F46" s="35">
        <f t="shared" si="1"/>
        <v>35.040978618156892</v>
      </c>
    </row>
    <row r="47" spans="2:6" s="30" customFormat="1" x14ac:dyDescent="0.25">
      <c r="B47" s="193">
        <v>35</v>
      </c>
      <c r="C47" s="35">
        <v>1.5592196988883878E-2</v>
      </c>
      <c r="D47" s="71">
        <f t="shared" si="0"/>
        <v>0.14617684677078635</v>
      </c>
      <c r="E47" s="60">
        <v>239.53399702998493</v>
      </c>
      <c r="F47" s="35">
        <f t="shared" si="1"/>
        <v>35.014324380246101</v>
      </c>
    </row>
    <row r="48" spans="2:6" s="30" customFormat="1" x14ac:dyDescent="0.25">
      <c r="B48" s="193">
        <v>36</v>
      </c>
      <c r="C48" s="35">
        <v>1.5553456121281188E-2</v>
      </c>
      <c r="D48" s="71">
        <f t="shared" si="0"/>
        <v>0.14581365113701114</v>
      </c>
      <c r="E48" s="60">
        <v>239.96402971264283</v>
      </c>
      <c r="F48" s="35">
        <f t="shared" si="1"/>
        <v>34.990031313950674</v>
      </c>
    </row>
    <row r="49" spans="2:6" s="30" customFormat="1" x14ac:dyDescent="0.25">
      <c r="B49" s="193">
        <v>37</v>
      </c>
      <c r="C49" s="35">
        <v>1.551576232680303E-2</v>
      </c>
      <c r="D49" s="71">
        <f t="shared" si="0"/>
        <v>0.14546027181377841</v>
      </c>
      <c r="E49" s="60">
        <v>240.3961843285241</v>
      </c>
      <c r="F49" s="35">
        <f t="shared" si="1"/>
        <v>34.968094315422292</v>
      </c>
    </row>
    <row r="50" spans="2:6" s="30" customFormat="1" x14ac:dyDescent="0.25">
      <c r="B50" s="193">
        <v>38</v>
      </c>
      <c r="C50" s="35">
        <v>1.5479228393676216E-2</v>
      </c>
      <c r="D50" s="71">
        <f t="shared" si="0"/>
        <v>0.14511776619071451</v>
      </c>
      <c r="E50" s="60">
        <v>240.82834256254671</v>
      </c>
      <c r="F50" s="35">
        <f t="shared" si="1"/>
        <v>34.948471108088953</v>
      </c>
    </row>
    <row r="51" spans="2:6" s="30" customFormat="1" x14ac:dyDescent="0.25">
      <c r="B51" s="193">
        <v>39</v>
      </c>
      <c r="C51" s="35">
        <v>1.544395486861107E-2</v>
      </c>
      <c r="D51" s="71">
        <f t="shared" si="0"/>
        <v>0.14478707689322876</v>
      </c>
      <c r="E51" s="60">
        <v>241.25829774798879</v>
      </c>
      <c r="F51" s="35">
        <f t="shared" si="1"/>
        <v>34.931083707167531</v>
      </c>
    </row>
    <row r="52" spans="2:6" s="30" customFormat="1" x14ac:dyDescent="0.25">
      <c r="B52" s="193">
        <v>40</v>
      </c>
      <c r="C52" s="35">
        <v>1.5410030363501821E-2</v>
      </c>
      <c r="D52" s="71">
        <f t="shared" si="0"/>
        <v>0.14446903465782956</v>
      </c>
      <c r="E52" s="60">
        <v>241.683761885667</v>
      </c>
      <c r="F52" s="35">
        <f t="shared" si="1"/>
        <v>34.915819772095055</v>
      </c>
    </row>
    <row r="53" spans="2:6" s="30" customFormat="1" x14ac:dyDescent="0.25">
      <c r="B53" s="193">
        <v>41</v>
      </c>
      <c r="C53" s="35">
        <v>1.5377531859511061E-2</v>
      </c>
      <c r="D53" s="71">
        <f t="shared" si="0"/>
        <v>0.1441643611829162</v>
      </c>
      <c r="E53" s="60">
        <v>242.10237240017918</v>
      </c>
      <c r="F53" s="35">
        <f t="shared" si="1"/>
        <v>34.902533857940313</v>
      </c>
    </row>
    <row r="54" spans="2:6" s="30" customFormat="1" x14ac:dyDescent="0.25">
      <c r="B54" s="193">
        <v>42</v>
      </c>
      <c r="C54" s="35">
        <v>1.5346525008538307E-2</v>
      </c>
      <c r="D54" s="71">
        <f t="shared" si="0"/>
        <v>0.14387367195504661</v>
      </c>
      <c r="E54" s="60">
        <v>242.51169865182382</v>
      </c>
      <c r="F54" s="35">
        <f t="shared" si="1"/>
        <v>34.891048577093621</v>
      </c>
    </row>
    <row r="55" spans="2:6" s="30" customFormat="1" x14ac:dyDescent="0.25">
      <c r="B55" s="193">
        <v>43</v>
      </c>
      <c r="C55" s="35">
        <v>1.5317064432072548E-2</v>
      </c>
      <c r="D55" s="71">
        <f t="shared" si="0"/>
        <v>0.14359747905068013</v>
      </c>
      <c r="E55" s="60">
        <v>242.90924822130032</v>
      </c>
      <c r="F55" s="35">
        <f t="shared" si="1"/>
        <v>34.881155682674631</v>
      </c>
    </row>
    <row r="56" spans="2:6" s="30" customFormat="1" x14ac:dyDescent="0.25">
      <c r="B56" s="193">
        <v>44</v>
      </c>
      <c r="C56" s="35">
        <v>1.5289194017429003E-2</v>
      </c>
      <c r="D56" s="71">
        <f t="shared" si="0"/>
        <v>0.14333619391339689</v>
      </c>
      <c r="E56" s="60">
        <v>243.29247298292179</v>
      </c>
      <c r="F56" s="35">
        <f t="shared" si="1"/>
        <v>34.872617085149955</v>
      </c>
    </row>
    <row r="57" spans="2:6" s="30" customFormat="1" x14ac:dyDescent="0.25">
      <c r="B57" s="193">
        <v>45</v>
      </c>
      <c r="C57" s="35">
        <v>1.5262947211369884E-2</v>
      </c>
      <c r="D57" s="71">
        <f t="shared" si="0"/>
        <v>0.14309013010659266</v>
      </c>
      <c r="E57" s="60">
        <v>243.6587749808559</v>
      </c>
      <c r="F57" s="35">
        <f t="shared" si="1"/>
        <v>34.865165813623655</v>
      </c>
    </row>
    <row r="58" spans="2:6" s="30" customFormat="1" x14ac:dyDescent="0.25">
      <c r="B58" s="193">
        <v>46</v>
      </c>
      <c r="C58" s="35">
        <v>1.5238347311109231E-2</v>
      </c>
      <c r="D58" s="71">
        <f t="shared" si="0"/>
        <v>0.14285950604164904</v>
      </c>
      <c r="E58" s="60">
        <v>244.00551212180008</v>
      </c>
      <c r="F58" s="35">
        <f t="shared" si="1"/>
        <v>34.858506933159966</v>
      </c>
    </row>
    <row r="59" spans="2:6" s="30" customFormat="1" x14ac:dyDescent="0.25">
      <c r="B59" s="193">
        <v>47</v>
      </c>
      <c r="C59" s="35">
        <v>1.5215407752701839E-2</v>
      </c>
      <c r="D59" s="71">
        <f t="shared" si="0"/>
        <v>0.14264444768157972</v>
      </c>
      <c r="E59" s="60">
        <v>244.33000369651035</v>
      </c>
      <c r="F59" s="35">
        <f t="shared" si="1"/>
        <v>34.852318429327049</v>
      </c>
    </row>
    <row r="60" spans="2:6" s="30" customFormat="1" x14ac:dyDescent="0.25">
      <c r="B60" s="193">
        <v>48</v>
      </c>
      <c r="C60" s="35">
        <v>1.5194132396816332E-2</v>
      </c>
      <c r="D60" s="71">
        <f t="shared" si="0"/>
        <v>0.14244499122015311</v>
      </c>
      <c r="E60" s="60">
        <v>244.62953574170567</v>
      </c>
      <c r="F60" s="35">
        <f t="shared" si="1"/>
        <v>34.846252070917394</v>
      </c>
    </row>
    <row r="61" spans="2:6" s="30" customFormat="1" x14ac:dyDescent="0.25">
      <c r="B61" s="193">
        <v>49</v>
      </c>
      <c r="C61" s="35">
        <v>1.5174515811892171E-2</v>
      </c>
      <c r="D61" s="71">
        <f t="shared" si="0"/>
        <v>0.1422610857364891</v>
      </c>
      <c r="E61" s="60">
        <v>244.90136625306206</v>
      </c>
      <c r="F61" s="35">
        <f t="shared" si="1"/>
        <v>34.83993426151018</v>
      </c>
    </row>
    <row r="62" spans="2:6" s="30" customFormat="1" x14ac:dyDescent="0.25">
      <c r="B62" s="193">
        <v>50</v>
      </c>
      <c r="C62" s="35">
        <v>1.5156543554680907E-2</v>
      </c>
      <c r="D62" s="71">
        <f t="shared" si="0"/>
        <v>0.14209259582513351</v>
      </c>
      <c r="E62" s="60">
        <v>245.14273025928878</v>
      </c>
      <c r="F62" s="35">
        <f t="shared" si="1"/>
        <v>34.832966890202847</v>
      </c>
    </row>
    <row r="63" spans="2:6" s="30" customFormat="1" x14ac:dyDescent="0.25">
      <c r="B63" s="193">
        <v>51</v>
      </c>
      <c r="C63" s="35">
        <v>1.5140192448171387E-2</v>
      </c>
      <c r="D63" s="71">
        <f t="shared" si="0"/>
        <v>0.14193930420160675</v>
      </c>
      <c r="E63" s="60">
        <v>245.35084476661123</v>
      </c>
      <c r="F63" s="35">
        <f t="shared" si="1"/>
        <v>34.824928191449224</v>
      </c>
    </row>
    <row r="64" spans="2:6" s="30" customFormat="1" x14ac:dyDescent="0.25">
      <c r="B64" s="193">
        <v>52</v>
      </c>
      <c r="C64" s="35">
        <v>1.5125430856899101E-2</v>
      </c>
      <c r="D64" s="71">
        <f t="shared" si="0"/>
        <v>0.14180091428342906</v>
      </c>
      <c r="E64" s="60">
        <v>245.52291358240421</v>
      </c>
      <c r="F64" s="35">
        <f t="shared" si="1"/>
        <v>34.815373623516258</v>
      </c>
    </row>
    <row r="65" spans="2:6" s="30" customFormat="1" x14ac:dyDescent="0.25">
      <c r="B65" s="193">
        <v>53</v>
      </c>
      <c r="C65" s="35">
        <v>1.5112218959639595E-2</v>
      </c>
      <c r="D65" s="71">
        <f t="shared" si="0"/>
        <v>0.14167705274662121</v>
      </c>
      <c r="E65" s="60">
        <v>245.65613202617487</v>
      </c>
      <c r="F65" s="35">
        <f t="shared" si="1"/>
        <v>34.803836774603319</v>
      </c>
    </row>
    <row r="66" spans="2:6" s="30" customFormat="1" x14ac:dyDescent="0.25">
      <c r="B66" s="193">
        <v>54</v>
      </c>
      <c r="C66" s="35">
        <v>1.5100509019485963E-2</v>
      </c>
      <c r="D66" s="71">
        <f t="shared" si="0"/>
        <v>0.14156727205768088</v>
      </c>
      <c r="E66" s="60">
        <v>245.74769153561539</v>
      </c>
      <c r="F66" s="35">
        <f t="shared" si="1"/>
        <v>34.789830305169502</v>
      </c>
    </row>
    <row r="67" spans="2:6" s="30" customFormat="1" x14ac:dyDescent="0.25">
      <c r="B67" s="193">
        <v>55</v>
      </c>
      <c r="C67" s="35">
        <v>1.5090245651310438E-2</v>
      </c>
      <c r="D67" s="71">
        <f t="shared" si="0"/>
        <v>0.14147105298103535</v>
      </c>
      <c r="E67" s="60">
        <v>245.79478417501369</v>
      </c>
      <c r="F67" s="35">
        <f t="shared" si="1"/>
        <v>34.772846934485514</v>
      </c>
    </row>
    <row r="68" spans="2:6" s="30" customFormat="1" x14ac:dyDescent="0.25">
      <c r="B68" s="193">
        <v>56</v>
      </c>
      <c r="C68" s="35">
        <v>1.5081366086610024E-2</v>
      </c>
      <c r="D68" s="71">
        <f t="shared" si="0"/>
        <v>0.14138780706196896</v>
      </c>
      <c r="E68" s="60">
        <v>245.7946070529147</v>
      </c>
      <c r="F68" s="35">
        <f t="shared" si="1"/>
        <v>34.752360478869981</v>
      </c>
    </row>
    <row r="69" spans="2:6" s="30" customFormat="1" x14ac:dyDescent="0.25">
      <c r="B69" s="193">
        <v>57</v>
      </c>
      <c r="C69" s="35">
        <v>1.5073800435736218E-2</v>
      </c>
      <c r="D69" s="71">
        <f t="shared" si="0"/>
        <v>0.14131687908502702</v>
      </c>
      <c r="E69" s="60">
        <v>245.74436665557835</v>
      </c>
      <c r="F69" s="35">
        <f t="shared" si="1"/>
        <v>34.727826948492911</v>
      </c>
    </row>
    <row r="70" spans="2:6" s="30" customFormat="1" x14ac:dyDescent="0.25">
      <c r="B70" s="193">
        <v>58</v>
      </c>
      <c r="C70" s="35">
        <v>1.5067471947508881E-2</v>
      </c>
      <c r="D70" s="71">
        <f t="shared" si="0"/>
        <v>0.14125754950789576</v>
      </c>
      <c r="E70" s="60">
        <v>245.6412831024648</v>
      </c>
      <c r="F70" s="35">
        <f t="shared" si="1"/>
        <v>34.698685709029462</v>
      </c>
    </row>
    <row r="71" spans="2:6" s="30" customFormat="1" x14ac:dyDescent="0.25">
      <c r="B71" s="193">
        <v>59</v>
      </c>
      <c r="C71" s="35">
        <v>1.506229726621405E-2</v>
      </c>
      <c r="D71" s="71">
        <f t="shared" si="0"/>
        <v>0.1412090368707567</v>
      </c>
      <c r="E71" s="60">
        <v>245.4825943296986</v>
      </c>
      <c r="F71" s="35">
        <f t="shared" si="1"/>
        <v>34.664360713831421</v>
      </c>
    </row>
    <row r="72" spans="2:6" s="30" customFormat="1" x14ac:dyDescent="0.25">
      <c r="B72" s="193">
        <v>60</v>
      </c>
      <c r="C72" s="35">
        <v>1.5058186685985972E-2</v>
      </c>
      <c r="D72" s="71">
        <f t="shared" si="0"/>
        <v>0.14117050018111849</v>
      </c>
      <c r="E72" s="60">
        <v>245.26556020721807</v>
      </c>
      <c r="F72" s="35">
        <f t="shared" si="1"/>
        <v>34.624261811655202</v>
      </c>
    </row>
    <row r="73" spans="2:6" s="30" customFormat="1" x14ac:dyDescent="0.25">
      <c r="D73" s="51"/>
    </row>
    <row r="74" spans="2:6" s="30" customFormat="1" x14ac:dyDescent="0.25">
      <c r="D74" s="51"/>
    </row>
  </sheetData>
  <pageMargins left="0.7" right="0.7" top="0.75" bottom="0.75" header="0.3" footer="0.3"/>
  <pageSetup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B2:F74"/>
  <sheetViews>
    <sheetView zoomScale="80" zoomScaleNormal="80" workbookViewId="0">
      <selection activeCell="B9" sqref="B9:F9"/>
    </sheetView>
  </sheetViews>
  <sheetFormatPr defaultRowHeight="15" x14ac:dyDescent="0.25"/>
  <cols>
    <col min="2" max="2" width="16.28515625" customWidth="1"/>
    <col min="3" max="3" width="23.85546875" customWidth="1"/>
    <col min="4" max="5" width="11.42578125" customWidth="1"/>
    <col min="6" max="6" width="16.140625" customWidth="1"/>
  </cols>
  <sheetData>
    <row r="2" spans="2:6" ht="36.75" customHeight="1" x14ac:dyDescent="0.25">
      <c r="B2" s="278" t="s">
        <v>200</v>
      </c>
      <c r="C2" s="279"/>
      <c r="D2" s="279"/>
      <c r="E2" s="280"/>
    </row>
    <row r="3" spans="2:6" ht="15.75" x14ac:dyDescent="0.25">
      <c r="B3" s="328" t="s">
        <v>94</v>
      </c>
      <c r="C3" s="328" t="s">
        <v>0</v>
      </c>
      <c r="D3" s="328" t="s">
        <v>63</v>
      </c>
      <c r="E3" s="51"/>
    </row>
    <row r="4" spans="2:6" ht="63" x14ac:dyDescent="0.25">
      <c r="B4" s="36" t="s">
        <v>192</v>
      </c>
      <c r="C4" s="36" t="s">
        <v>95</v>
      </c>
      <c r="D4" s="36"/>
      <c r="E4" s="51"/>
    </row>
    <row r="5" spans="2:6" ht="31.5" x14ac:dyDescent="0.25">
      <c r="B5" s="36" t="s">
        <v>194</v>
      </c>
      <c r="C5" s="36" t="s">
        <v>96</v>
      </c>
      <c r="D5" s="36">
        <v>4.2000000000000003E-2</v>
      </c>
      <c r="E5" s="51"/>
    </row>
    <row r="6" spans="2:6" ht="28.5" customHeight="1" x14ac:dyDescent="0.25">
      <c r="B6" s="36" t="s">
        <v>195</v>
      </c>
      <c r="C6" s="36"/>
      <c r="D6" s="36">
        <v>0.215</v>
      </c>
      <c r="E6" s="51"/>
    </row>
    <row r="7" spans="2:6" ht="15.75" x14ac:dyDescent="0.25">
      <c r="B7" s="36" t="s">
        <v>196</v>
      </c>
      <c r="C7" s="36" t="s">
        <v>197</v>
      </c>
      <c r="D7" s="36"/>
      <c r="E7" s="51"/>
    </row>
    <row r="8" spans="2:6" ht="15.75" x14ac:dyDescent="0.25">
      <c r="B8" s="43"/>
      <c r="C8" s="43"/>
      <c r="D8" s="52"/>
      <c r="E8" s="43"/>
      <c r="F8" s="43"/>
    </row>
    <row r="9" spans="2:6" ht="20.25" customHeight="1" x14ac:dyDescent="0.25">
      <c r="B9" s="232" t="s">
        <v>58</v>
      </c>
      <c r="C9" s="232" t="s">
        <v>193</v>
      </c>
      <c r="D9" s="325" t="s">
        <v>198</v>
      </c>
      <c r="E9" s="314" t="s">
        <v>49</v>
      </c>
      <c r="F9" s="314" t="s">
        <v>199</v>
      </c>
    </row>
    <row r="10" spans="2:6" s="145" customFormat="1" ht="15.75" x14ac:dyDescent="0.25">
      <c r="B10" s="228">
        <v>0.01</v>
      </c>
      <c r="C10" s="236">
        <v>3.4145810250903366E-2</v>
      </c>
      <c r="D10" s="71">
        <f>(C10/0.042)*0.215</f>
        <v>0.17479402866533864</v>
      </c>
      <c r="E10" s="34">
        <v>41.38798202509917</v>
      </c>
      <c r="F10" s="35">
        <f>D10*E10</f>
        <v>7.2343721164957042</v>
      </c>
    </row>
    <row r="11" spans="2:6" ht="15.75" x14ac:dyDescent="0.25">
      <c r="B11" s="131">
        <v>0.5</v>
      </c>
      <c r="C11" s="83">
        <v>3.3815862005117409E-2</v>
      </c>
      <c r="D11" s="133">
        <f>(C11/0.042)*0.215</f>
        <v>0.1731050078833391</v>
      </c>
      <c r="E11" s="104">
        <v>53.831141676161266</v>
      </c>
      <c r="F11" s="83">
        <f>D11*E11</f>
        <v>9.3184402042210408</v>
      </c>
    </row>
    <row r="12" spans="2:6" ht="15.75" x14ac:dyDescent="0.25">
      <c r="B12" s="84">
        <v>1</v>
      </c>
      <c r="C12" s="83">
        <v>3.3001135272768566E-2</v>
      </c>
      <c r="D12" s="133">
        <f t="shared" ref="D12:D74" si="0">(C12/0.042)*0.215</f>
        <v>0.16893438294393431</v>
      </c>
      <c r="E12" s="104">
        <v>63.380661538063698</v>
      </c>
      <c r="F12" s="83">
        <f>D12*E12</f>
        <v>10.707172947511141</v>
      </c>
    </row>
    <row r="13" spans="2:6" s="145" customFormat="1" ht="15.75" x14ac:dyDescent="0.25">
      <c r="B13" s="250">
        <v>1.5</v>
      </c>
      <c r="C13" s="35">
        <v>3.2283569706315615E-2</v>
      </c>
      <c r="D13" s="71">
        <f t="shared" si="0"/>
        <v>0.16526113063947279</v>
      </c>
      <c r="E13" s="60">
        <v>71.012511472657152</v>
      </c>
      <c r="F13" s="35">
        <f>D13*E13</f>
        <v>11.735607935519853</v>
      </c>
    </row>
    <row r="14" spans="2:6" ht="15.75" x14ac:dyDescent="0.25">
      <c r="B14" s="250">
        <v>2</v>
      </c>
      <c r="C14" s="35">
        <v>3.1740039133021848E-2</v>
      </c>
      <c r="D14" s="71">
        <f t="shared" si="0"/>
        <v>0.16247877175237371</v>
      </c>
      <c r="E14" s="60">
        <v>79.306671182823663</v>
      </c>
      <c r="F14" s="35">
        <f t="shared" ref="F14:F74" si="1">D14*E14</f>
        <v>12.88565052555456</v>
      </c>
    </row>
    <row r="15" spans="2:6" ht="15.75" x14ac:dyDescent="0.25">
      <c r="B15" s="250">
        <v>3</v>
      </c>
      <c r="C15" s="35">
        <v>3.1092905007520263E-2</v>
      </c>
      <c r="D15" s="71">
        <f t="shared" si="0"/>
        <v>0.15916606134802036</v>
      </c>
      <c r="E15" s="60">
        <v>88.871580679028682</v>
      </c>
      <c r="F15" s="35">
        <f t="shared" si="1"/>
        <v>14.145339462453821</v>
      </c>
    </row>
    <row r="16" spans="2:6" ht="15.75" x14ac:dyDescent="0.25">
      <c r="B16" s="250">
        <v>4</v>
      </c>
      <c r="C16" s="35">
        <v>3.457111022077753E-2</v>
      </c>
      <c r="D16" s="71">
        <f t="shared" si="0"/>
        <v>0.176971159463504</v>
      </c>
      <c r="E16" s="60">
        <v>99.601784270773265</v>
      </c>
      <c r="F16" s="35">
        <f t="shared" si="1"/>
        <v>17.62664324703254</v>
      </c>
    </row>
    <row r="17" spans="2:6" s="145" customFormat="1" ht="15.75" x14ac:dyDescent="0.25">
      <c r="B17" s="250">
        <v>4.5</v>
      </c>
      <c r="C17" s="35">
        <v>3.5956500259497877E-2</v>
      </c>
      <c r="D17" s="71">
        <f t="shared" si="0"/>
        <v>0.18406303704266769</v>
      </c>
      <c r="E17" s="60">
        <v>104.49610825639985</v>
      </c>
      <c r="F17" s="35">
        <f t="shared" si="1"/>
        <v>19.233871044812339</v>
      </c>
    </row>
    <row r="18" spans="2:6" ht="15.75" x14ac:dyDescent="0.25">
      <c r="B18" s="131">
        <v>5</v>
      </c>
      <c r="C18" s="83">
        <v>3.7138040505094297E-2</v>
      </c>
      <c r="D18" s="133">
        <f t="shared" si="0"/>
        <v>0.19011139782369699</v>
      </c>
      <c r="E18" s="104">
        <v>109.17415101385284</v>
      </c>
      <c r="F18" s="83">
        <f t="shared" si="1"/>
        <v>20.755250455458949</v>
      </c>
    </row>
    <row r="19" spans="2:6" ht="15.75" x14ac:dyDescent="0.25">
      <c r="B19" s="250">
        <v>6</v>
      </c>
      <c r="C19" s="35">
        <v>3.8981869603860519E-2</v>
      </c>
      <c r="D19" s="71">
        <f t="shared" si="0"/>
        <v>0.19955004678166693</v>
      </c>
      <c r="E19" s="60">
        <v>118.11939252666471</v>
      </c>
      <c r="F19" s="35">
        <f t="shared" si="1"/>
        <v>23.570730304518023</v>
      </c>
    </row>
    <row r="20" spans="2:6" ht="15.75" x14ac:dyDescent="0.25">
      <c r="B20" s="250">
        <v>7</v>
      </c>
      <c r="C20" s="35">
        <v>4.026279582303912E-2</v>
      </c>
      <c r="D20" s="71">
        <f t="shared" si="0"/>
        <v>0.20610716909412882</v>
      </c>
      <c r="E20" s="60">
        <v>126.84460048220875</v>
      </c>
      <c r="F20" s="35">
        <f t="shared" si="1"/>
        <v>26.143581520263812</v>
      </c>
    </row>
    <row r="21" spans="2:6" ht="15.75" x14ac:dyDescent="0.25">
      <c r="B21" s="250">
        <v>8</v>
      </c>
      <c r="C21" s="35">
        <v>4.1103584611192387E-2</v>
      </c>
      <c r="D21" s="71">
        <f t="shared" si="0"/>
        <v>0.21041120693824675</v>
      </c>
      <c r="E21" s="60">
        <v>135.65555680838523</v>
      </c>
      <c r="F21" s="35">
        <f t="shared" si="1"/>
        <v>28.543449435932231</v>
      </c>
    </row>
    <row r="22" spans="2:6" ht="15.75" x14ac:dyDescent="0.25">
      <c r="B22" s="250">
        <v>9</v>
      </c>
      <c r="C22" s="35">
        <v>4.159991312072852E-2</v>
      </c>
      <c r="D22" s="71">
        <f t="shared" si="0"/>
        <v>0.21295193621325312</v>
      </c>
      <c r="E22" s="60">
        <v>144.75343942670185</v>
      </c>
      <c r="F22" s="35">
        <f t="shared" si="1"/>
        <v>30.825525199444009</v>
      </c>
    </row>
    <row r="23" spans="2:6" ht="15.75" x14ac:dyDescent="0.25">
      <c r="B23" s="131">
        <v>10</v>
      </c>
      <c r="C23" s="83">
        <v>4.183293276342076E-2</v>
      </c>
      <c r="D23" s="133">
        <f t="shared" si="0"/>
        <v>0.21414477486036815</v>
      </c>
      <c r="E23" s="104">
        <v>154.2224206529134</v>
      </c>
      <c r="F23" s="83">
        <f t="shared" si="1"/>
        <v>33.025925549139131</v>
      </c>
    </row>
    <row r="24" spans="2:6" s="145" customFormat="1" ht="15.75" x14ac:dyDescent="0.25">
      <c r="B24" s="250">
        <v>10.5</v>
      </c>
      <c r="C24" s="35">
        <v>4.1875183826591549E-2</v>
      </c>
      <c r="D24" s="71">
        <f t="shared" si="0"/>
        <v>0.21436106006469482</v>
      </c>
      <c r="E24" s="60">
        <v>159.0894451651003</v>
      </c>
      <c r="F24" s="35">
        <f t="shared" si="1"/>
        <v>34.102582110695039</v>
      </c>
    </row>
    <row r="25" spans="2:6" ht="15.75" x14ac:dyDescent="0.25">
      <c r="B25" s="65">
        <v>11</v>
      </c>
      <c r="C25" s="35">
        <v>4.1882093367853375E-2</v>
      </c>
      <c r="D25" s="71">
        <f t="shared" si="0"/>
        <v>0.21439643033543987</v>
      </c>
      <c r="E25" s="60">
        <v>164.02891270496642</v>
      </c>
      <c r="F25" s="35">
        <f t="shared" si="1"/>
        <v>35.167213355748281</v>
      </c>
    </row>
    <row r="26" spans="2:6" ht="15.75" x14ac:dyDescent="0.25">
      <c r="B26" s="65">
        <v>12</v>
      </c>
      <c r="C26" s="35">
        <v>4.1843455728942734E-2</v>
      </c>
      <c r="D26" s="71">
        <f t="shared" si="0"/>
        <v>0.21419864242196876</v>
      </c>
      <c r="E26" s="60">
        <v>174.06810970101117</v>
      </c>
      <c r="F26" s="35">
        <f t="shared" si="1"/>
        <v>37.285152786914921</v>
      </c>
    </row>
    <row r="27" spans="2:6" ht="15.75" x14ac:dyDescent="0.25">
      <c r="B27" s="65">
        <v>13</v>
      </c>
      <c r="C27" s="35">
        <v>4.1864787668732271E-2</v>
      </c>
      <c r="D27" s="71">
        <f t="shared" si="0"/>
        <v>0.21430784163755803</v>
      </c>
      <c r="E27" s="60">
        <v>184.31439944245017</v>
      </c>
      <c r="F27" s="35">
        <f t="shared" si="1"/>
        <v>39.500021127234227</v>
      </c>
    </row>
    <row r="28" spans="2:6" ht="15.75" x14ac:dyDescent="0.25">
      <c r="B28" s="65">
        <v>14</v>
      </c>
      <c r="C28" s="35">
        <v>4.2155609983181526E-2</v>
      </c>
      <c r="D28" s="71">
        <f t="shared" si="0"/>
        <v>0.21579657491390544</v>
      </c>
      <c r="E28" s="60">
        <v>194.99086929943499</v>
      </c>
      <c r="F28" s="35">
        <f t="shared" si="1"/>
        <v>42.078361734303066</v>
      </c>
    </row>
    <row r="29" spans="2:6" ht="15.75" x14ac:dyDescent="0.25">
      <c r="B29" s="65">
        <v>15</v>
      </c>
      <c r="C29" s="35">
        <v>4.2685878082653742E-2</v>
      </c>
      <c r="D29" s="71">
        <f t="shared" si="0"/>
        <v>0.21851104256596557</v>
      </c>
      <c r="E29" s="60">
        <v>205.77417499532027</v>
      </c>
      <c r="F29" s="35">
        <f t="shared" si="1"/>
        <v>44.963929511378872</v>
      </c>
    </row>
    <row r="30" spans="2:6" ht="15.75" x14ac:dyDescent="0.25">
      <c r="B30" s="65">
        <v>16</v>
      </c>
      <c r="C30" s="35">
        <v>4.2962934564133012E-2</v>
      </c>
      <c r="D30" s="71">
        <f t="shared" si="0"/>
        <v>0.21992930788782372</v>
      </c>
      <c r="E30" s="60">
        <v>214.68138649493855</v>
      </c>
      <c r="F30" s="35">
        <f t="shared" si="1"/>
        <v>47.214728748230222</v>
      </c>
    </row>
    <row r="31" spans="2:6" ht="15.75" x14ac:dyDescent="0.25">
      <c r="B31" s="65">
        <v>17</v>
      </c>
      <c r="C31" s="35">
        <v>4.2900195261715256E-2</v>
      </c>
      <c r="D31" s="71">
        <f t="shared" si="0"/>
        <v>0.21960814241116139</v>
      </c>
      <c r="E31" s="60">
        <v>220.98498338086458</v>
      </c>
      <c r="F31" s="35">
        <f t="shared" si="1"/>
        <v>48.53010170103304</v>
      </c>
    </row>
    <row r="32" spans="2:6" ht="15.75" x14ac:dyDescent="0.25">
      <c r="B32" s="65">
        <v>18</v>
      </c>
      <c r="C32" s="35">
        <v>4.2742117164872313E-2</v>
      </c>
      <c r="D32" s="71">
        <f t="shared" si="0"/>
        <v>0.21879893310589399</v>
      </c>
      <c r="E32" s="60">
        <v>225.51590370162751</v>
      </c>
      <c r="F32" s="35">
        <f t="shared" si="1"/>
        <v>49.342639128327626</v>
      </c>
    </row>
    <row r="33" spans="2:6" ht="15.75" x14ac:dyDescent="0.25">
      <c r="B33" s="65">
        <v>19</v>
      </c>
      <c r="C33" s="35">
        <v>4.2607894489094841E-2</v>
      </c>
      <c r="D33" s="71">
        <f t="shared" si="0"/>
        <v>0.21811184083703308</v>
      </c>
      <c r="E33" s="60">
        <v>228.86286112621855</v>
      </c>
      <c r="F33" s="35">
        <f t="shared" si="1"/>
        <v>49.917699939469784</v>
      </c>
    </row>
    <row r="34" spans="2:6" ht="15.75" x14ac:dyDescent="0.25">
      <c r="B34" s="65">
        <v>20</v>
      </c>
      <c r="C34" s="35">
        <v>4.2298467610146342E-2</v>
      </c>
      <c r="D34" s="71">
        <f t="shared" si="0"/>
        <v>0.21652786990908246</v>
      </c>
      <c r="E34" s="60">
        <v>231.31445125893075</v>
      </c>
      <c r="F34" s="35">
        <f t="shared" si="1"/>
        <v>50.086025410284549</v>
      </c>
    </row>
    <row r="35" spans="2:6" ht="15.75" x14ac:dyDescent="0.25">
      <c r="B35" s="65">
        <v>21</v>
      </c>
      <c r="C35" s="35">
        <v>4.1962503711180044E-2</v>
      </c>
      <c r="D35" s="71">
        <f t="shared" si="0"/>
        <v>0.21480805471199305</v>
      </c>
      <c r="E35" s="60">
        <v>233.0632589862274</v>
      </c>
      <c r="F35" s="35">
        <f t="shared" si="1"/>
        <v>50.063865287668939</v>
      </c>
    </row>
    <row r="36" spans="2:6" ht="15.75" x14ac:dyDescent="0.25">
      <c r="B36" s="65">
        <v>22</v>
      </c>
      <c r="C36" s="35">
        <v>4.185645434055852E-2</v>
      </c>
      <c r="D36" s="71">
        <f t="shared" si="0"/>
        <v>0.21426518293381144</v>
      </c>
      <c r="E36" s="60">
        <v>234.26792592277934</v>
      </c>
      <c r="F36" s="35">
        <f t="shared" si="1"/>
        <v>50.1954600033689</v>
      </c>
    </row>
    <row r="37" spans="2:6" ht="15.75" x14ac:dyDescent="0.25">
      <c r="B37" s="65">
        <v>23</v>
      </c>
      <c r="C37" s="35">
        <v>4.1746413582845497E-2</v>
      </c>
      <c r="D37" s="71">
        <f t="shared" si="0"/>
        <v>0.2137018790550424</v>
      </c>
      <c r="E37" s="60">
        <v>235.06261378617052</v>
      </c>
      <c r="F37" s="35">
        <f t="shared" si="1"/>
        <v>50.233322261694354</v>
      </c>
    </row>
    <row r="38" spans="2:6" ht="15.75" x14ac:dyDescent="0.25">
      <c r="B38" s="65">
        <v>24</v>
      </c>
      <c r="C38" s="35">
        <v>4.1639416065371547E-2</v>
      </c>
      <c r="D38" s="71">
        <f t="shared" si="0"/>
        <v>0.21315415366797336</v>
      </c>
      <c r="E38" s="60">
        <v>235.55755499029567</v>
      </c>
      <c r="F38" s="35">
        <f t="shared" si="1"/>
        <v>50.210071274053568</v>
      </c>
    </row>
    <row r="39" spans="2:6" ht="15.75" x14ac:dyDescent="0.25">
      <c r="B39" s="85">
        <v>25</v>
      </c>
      <c r="C39" s="121">
        <v>4.1538406381460016E-2</v>
      </c>
      <c r="D39" s="133">
        <f t="shared" si="0"/>
        <v>0.2126370802860453</v>
      </c>
      <c r="E39" s="134">
        <v>235.84034830968122</v>
      </c>
      <c r="F39" s="132">
        <f t="shared" si="1"/>
        <v>50.148403078214571</v>
      </c>
    </row>
    <row r="40" spans="2:6" ht="15.75" x14ac:dyDescent="0.25">
      <c r="B40" s="65">
        <v>26</v>
      </c>
      <c r="C40" s="35">
        <v>4.1439716626107764E-2</v>
      </c>
      <c r="D40" s="71">
        <f t="shared" si="0"/>
        <v>0.21213188272888497</v>
      </c>
      <c r="E40" s="60">
        <v>236.05500987906257</v>
      </c>
      <c r="F40" s="35">
        <f t="shared" si="1"/>
        <v>50.074793673231085</v>
      </c>
    </row>
    <row r="41" spans="2:6" ht="15.75" x14ac:dyDescent="0.25">
      <c r="B41" s="65">
        <v>27</v>
      </c>
      <c r="C41" s="35">
        <v>4.1333503879999477E-2</v>
      </c>
      <c r="D41" s="71">
        <f t="shared" si="0"/>
        <v>0.21158817462380683</v>
      </c>
      <c r="E41" s="60">
        <v>236.38908054246249</v>
      </c>
      <c r="F41" s="35">
        <f t="shared" si="1"/>
        <v>50.017134052979692</v>
      </c>
    </row>
    <row r="42" spans="2:6" ht="15.75" x14ac:dyDescent="0.25">
      <c r="B42" s="65">
        <v>28</v>
      </c>
      <c r="C42" s="35">
        <v>4.1225809322695407E-2</v>
      </c>
      <c r="D42" s="71">
        <f t="shared" si="0"/>
        <v>0.21103688105665505</v>
      </c>
      <c r="E42" s="60">
        <v>236.7390436986289</v>
      </c>
      <c r="F42" s="35">
        <f t="shared" si="1"/>
        <v>49.960669406493814</v>
      </c>
    </row>
    <row r="43" spans="2:6" ht="15.75" x14ac:dyDescent="0.25">
      <c r="B43" s="65">
        <v>29</v>
      </c>
      <c r="C43" s="35">
        <v>4.111724874368991E-2</v>
      </c>
      <c r="D43" s="71">
        <f t="shared" si="0"/>
        <v>0.21048115428317452</v>
      </c>
      <c r="E43" s="60">
        <v>237.10394747664529</v>
      </c>
      <c r="F43" s="35">
        <f t="shared" si="1"/>
        <v>49.905912549981487</v>
      </c>
    </row>
    <row r="44" spans="2:6" ht="15.75" x14ac:dyDescent="0.25">
      <c r="B44" s="65">
        <v>30</v>
      </c>
      <c r="C44" s="35">
        <v>4.1008398658634294E-2</v>
      </c>
      <c r="D44" s="71">
        <f t="shared" si="0"/>
        <v>0.20992394551443744</v>
      </c>
      <c r="E44" s="60">
        <v>237.48267236484853</v>
      </c>
      <c r="F44" s="35">
        <f t="shared" si="1"/>
        <v>49.85329957414146</v>
      </c>
    </row>
    <row r="45" spans="2:6" ht="15.75" x14ac:dyDescent="0.25">
      <c r="B45" s="65">
        <v>31</v>
      </c>
      <c r="C45" s="35">
        <v>4.0899797184352972E-2</v>
      </c>
      <c r="D45" s="71">
        <f t="shared" si="0"/>
        <v>0.20936800939609257</v>
      </c>
      <c r="E45" s="60">
        <v>237.87394193966907</v>
      </c>
      <c r="F45" s="35">
        <f t="shared" si="1"/>
        <v>49.803193711110211</v>
      </c>
    </row>
    <row r="46" spans="2:6" ht="15.75" x14ac:dyDescent="0.25">
      <c r="B46" s="65">
        <v>32</v>
      </c>
      <c r="C46" s="35">
        <v>4.0791944893765225E-2</v>
      </c>
      <c r="D46" s="71">
        <f t="shared" si="0"/>
        <v>0.20881590838475053</v>
      </c>
      <c r="E46" s="60">
        <v>238.27633294394644</v>
      </c>
      <c r="F46" s="35">
        <f t="shared" si="1"/>
        <v>49.755888910277434</v>
      </c>
    </row>
    <row r="47" spans="2:6" ht="15.75" x14ac:dyDescent="0.25">
      <c r="B47" s="65">
        <v>33</v>
      </c>
      <c r="C47" s="35">
        <v>4.0685305660694789E-2</v>
      </c>
      <c r="D47" s="71">
        <f t="shared" si="0"/>
        <v>0.20827001707260426</v>
      </c>
      <c r="E47" s="60">
        <v>238.68828484641506</v>
      </c>
      <c r="F47" s="35">
        <f t="shared" si="1"/>
        <v>49.71161315999349</v>
      </c>
    </row>
    <row r="48" spans="2:6" ht="15.75" x14ac:dyDescent="0.25">
      <c r="B48" s="65">
        <v>34</v>
      </c>
      <c r="C48" s="35">
        <v>4.0580307497071436E-2</v>
      </c>
      <c r="D48" s="71">
        <f t="shared" si="0"/>
        <v>0.20773252647310375</v>
      </c>
      <c r="E48" s="60">
        <v>239.10810894156009</v>
      </c>
      <c r="F48" s="35">
        <f t="shared" si="1"/>
        <v>49.670531570636406</v>
      </c>
    </row>
    <row r="49" spans="2:6" ht="15.75" x14ac:dyDescent="0.25">
      <c r="B49" s="65">
        <v>35</v>
      </c>
      <c r="C49" s="35">
        <v>4.0477343383142551E-2</v>
      </c>
      <c r="D49" s="71">
        <f t="shared" si="0"/>
        <v>0.20720544827084877</v>
      </c>
      <c r="E49" s="60">
        <v>239.53399702998493</v>
      </c>
      <c r="F49" s="35">
        <f t="shared" si="1"/>
        <v>49.632749230706189</v>
      </c>
    </row>
    <row r="50" spans="2:6" ht="15.75" x14ac:dyDescent="0.25">
      <c r="B50" s="65">
        <v>36</v>
      </c>
      <c r="C50" s="35">
        <v>4.0376772090845968E-2</v>
      </c>
      <c r="D50" s="71">
        <f t="shared" si="0"/>
        <v>0.20669061903647337</v>
      </c>
      <c r="E50" s="60">
        <v>239.96402971264283</v>
      </c>
      <c r="F50" s="35">
        <f t="shared" si="1"/>
        <v>49.598313847792838</v>
      </c>
    </row>
    <row r="51" spans="2:6" ht="15.75" x14ac:dyDescent="0.25">
      <c r="B51" s="65">
        <v>37</v>
      </c>
      <c r="C51" s="35">
        <v>4.0278919000380671E-2</v>
      </c>
      <c r="D51" s="71">
        <f t="shared" si="0"/>
        <v>0.20618970440671056</v>
      </c>
      <c r="E51" s="60">
        <v>240.3961843285241</v>
      </c>
      <c r="F51" s="35">
        <f t="shared" si="1"/>
        <v>49.567218187199487</v>
      </c>
    </row>
    <row r="52" spans="2:6" ht="15.75" x14ac:dyDescent="0.25">
      <c r="B52" s="65">
        <v>38</v>
      </c>
      <c r="C52" s="35">
        <v>4.0184076909983456E-2</v>
      </c>
      <c r="D52" s="71">
        <f t="shared" si="0"/>
        <v>0.2057042032296772</v>
      </c>
      <c r="E52" s="60">
        <v>240.82834256254671</v>
      </c>
      <c r="F52" s="35">
        <f t="shared" si="1"/>
        <v>49.53940232195243</v>
      </c>
    </row>
    <row r="53" spans="2:6" ht="15.75" x14ac:dyDescent="0.25">
      <c r="B53" s="65">
        <v>39</v>
      </c>
      <c r="C53" s="35">
        <v>4.0092506838914341E-2</v>
      </c>
      <c r="D53" s="71">
        <f t="shared" si="0"/>
        <v>0.20523545167539484</v>
      </c>
      <c r="E53" s="60">
        <v>241.25829774798879</v>
      </c>
      <c r="F53" s="35">
        <f t="shared" si="1"/>
        <v>49.514755708745369</v>
      </c>
    </row>
    <row r="54" spans="2:6" ht="15.75" x14ac:dyDescent="0.25">
      <c r="B54" s="65">
        <v>40</v>
      </c>
      <c r="C54" s="35">
        <v>4.0004438823650727E-2</v>
      </c>
      <c r="D54" s="71">
        <f t="shared" si="0"/>
        <v>0.20478462731154537</v>
      </c>
      <c r="E54" s="60">
        <v>241.683761885667</v>
      </c>
      <c r="F54" s="35">
        <f t="shared" si="1"/>
        <v>49.493119105008589</v>
      </c>
    </row>
    <row r="55" spans="2:6" ht="15.75" x14ac:dyDescent="0.25">
      <c r="B55" s="65">
        <v>41</v>
      </c>
      <c r="C55" s="35">
        <v>3.9920072707290713E-2</v>
      </c>
      <c r="D55" s="71">
        <f t="shared" si="0"/>
        <v>0.20435275314446436</v>
      </c>
      <c r="E55" s="60">
        <v>242.10237240017918</v>
      </c>
      <c r="F55" s="35">
        <f t="shared" si="1"/>
        <v>49.474286342782996</v>
      </c>
    </row>
    <row r="56" spans="2:6" ht="15.75" x14ac:dyDescent="0.25">
      <c r="B56" s="65">
        <v>42</v>
      </c>
      <c r="C56" s="35">
        <v>3.9839578922165442E-2</v>
      </c>
      <c r="D56" s="71">
        <f t="shared" si="0"/>
        <v>0.2039407016253707</v>
      </c>
      <c r="E56" s="60">
        <v>242.51169865182382</v>
      </c>
      <c r="F56" s="35">
        <f t="shared" si="1"/>
        <v>49.458005975413414</v>
      </c>
    </row>
    <row r="57" spans="2:6" ht="15.75" x14ac:dyDescent="0.25">
      <c r="B57" s="65">
        <v>43</v>
      </c>
      <c r="C57" s="35">
        <v>3.9763099265660337E-2</v>
      </c>
      <c r="D57" s="71">
        <f t="shared" si="0"/>
        <v>0.20354919862183268</v>
      </c>
      <c r="E57" s="60">
        <v>242.90924822130032</v>
      </c>
      <c r="F57" s="35">
        <f t="shared" si="1"/>
        <v>49.443982813277515</v>
      </c>
    </row>
    <row r="58" spans="2:6" ht="15.75" x14ac:dyDescent="0.25">
      <c r="B58" s="65">
        <v>44</v>
      </c>
      <c r="C58" s="35">
        <v>3.9690747669245692E-2</v>
      </c>
      <c r="D58" s="71">
        <f t="shared" si="0"/>
        <v>0.20317882735447196</v>
      </c>
      <c r="E58" s="60">
        <v>243.29247298292179</v>
      </c>
      <c r="F58" s="35">
        <f t="shared" si="1"/>
        <v>49.431879364839602</v>
      </c>
    </row>
    <row r="59" spans="2:6" ht="15.75" x14ac:dyDescent="0.25">
      <c r="B59" s="65">
        <v>45</v>
      </c>
      <c r="C59" s="35">
        <v>3.9622610960716217E-2</v>
      </c>
      <c r="D59" s="71">
        <f t="shared" si="0"/>
        <v>0.20283003229890442</v>
      </c>
      <c r="E59" s="60">
        <v>243.6587749808559</v>
      </c>
      <c r="F59" s="35">
        <f t="shared" si="1"/>
        <v>49.421317199278484</v>
      </c>
    </row>
    <row r="60" spans="2:6" ht="15.75" x14ac:dyDescent="0.25">
      <c r="B60" s="65">
        <v>46</v>
      </c>
      <c r="C60" s="35">
        <v>3.9558749619639566E-2</v>
      </c>
      <c r="D60" s="71">
        <f t="shared" si="0"/>
        <v>0.20250312305291682</v>
      </c>
      <c r="E60" s="60">
        <v>244.00551212180008</v>
      </c>
      <c r="F60" s="35">
        <f t="shared" si="1"/>
        <v>49.41187824679087</v>
      </c>
    </row>
    <row r="61" spans="2:6" ht="15.75" x14ac:dyDescent="0.25">
      <c r="B61" s="65">
        <v>47</v>
      </c>
      <c r="C61" s="35">
        <v>3.9499198526013975E-2</v>
      </c>
      <c r="D61" s="71">
        <f t="shared" si="0"/>
        <v>0.20219827816888106</v>
      </c>
      <c r="E61" s="60">
        <v>244.33000369651035</v>
      </c>
      <c r="F61" s="35">
        <f t="shared" si="1"/>
        <v>49.403106052430736</v>
      </c>
    </row>
    <row r="62" spans="2:6" ht="15.75" x14ac:dyDescent="0.25">
      <c r="B62" s="65">
        <v>48</v>
      </c>
      <c r="C62" s="35">
        <v>3.9443967702135201E-2</v>
      </c>
      <c r="D62" s="71">
        <f t="shared" si="0"/>
        <v>0.20191554895140637</v>
      </c>
      <c r="E62" s="60">
        <v>244.62953574170567</v>
      </c>
      <c r="F62" s="35">
        <f t="shared" si="1"/>
        <v>49.394506999014183</v>
      </c>
    </row>
    <row r="63" spans="2:6" ht="15.75" x14ac:dyDescent="0.25">
      <c r="B63" s="65">
        <v>49</v>
      </c>
      <c r="C63" s="35">
        <v>3.9393043047672077E-2</v>
      </c>
      <c r="D63" s="71">
        <f t="shared" si="0"/>
        <v>0.2016548632202261</v>
      </c>
      <c r="E63" s="60">
        <v>244.90136625306206</v>
      </c>
      <c r="F63" s="35">
        <f t="shared" si="1"/>
        <v>49.385551514207727</v>
      </c>
    </row>
    <row r="64" spans="2:6" ht="15.75" x14ac:dyDescent="0.25">
      <c r="B64" s="65">
        <v>50</v>
      </c>
      <c r="C64" s="35">
        <v>3.9346387067951634E-2</v>
      </c>
      <c r="D64" s="71">
        <f t="shared" si="0"/>
        <v>0.20141602903832384</v>
      </c>
      <c r="E64" s="60">
        <v>245.14273025928878</v>
      </c>
      <c r="F64" s="35">
        <f t="shared" si="1"/>
        <v>49.375675276438898</v>
      </c>
    </row>
    <row r="65" spans="2:6" ht="15.75" x14ac:dyDescent="0.25">
      <c r="B65" s="65">
        <v>51</v>
      </c>
      <c r="C65" s="35">
        <v>3.9303939595452926E-2</v>
      </c>
      <c r="D65" s="71">
        <f t="shared" si="0"/>
        <v>0.20119873840529473</v>
      </c>
      <c r="E65" s="60">
        <v>245.35084476661123</v>
      </c>
      <c r="F65" s="35">
        <f t="shared" si="1"/>
        <v>49.364280433715486</v>
      </c>
    </row>
    <row r="66" spans="2:6" ht="15.75" x14ac:dyDescent="0.25">
      <c r="B66" s="65">
        <v>52</v>
      </c>
      <c r="C66" s="35">
        <v>3.9265618504510068E-2</v>
      </c>
      <c r="D66" s="71">
        <f t="shared" si="0"/>
        <v>0.20100257091594437</v>
      </c>
      <c r="E66" s="60">
        <v>245.52291358240421</v>
      </c>
      <c r="F66" s="35">
        <f t="shared" si="1"/>
        <v>49.350736848836483</v>
      </c>
    </row>
    <row r="67" spans="2:6" ht="15.75" x14ac:dyDescent="0.25">
      <c r="B67" s="65">
        <v>53</v>
      </c>
      <c r="C67" s="35">
        <v>3.9231320419224391E-2</v>
      </c>
      <c r="D67" s="71">
        <f t="shared" si="0"/>
        <v>0.20082699738412485</v>
      </c>
      <c r="E67" s="60">
        <v>245.65613202617487</v>
      </c>
      <c r="F67" s="35">
        <f t="shared" si="1"/>
        <v>49.334383383814853</v>
      </c>
    </row>
    <row r="68" spans="2:6" ht="15.75" x14ac:dyDescent="0.25">
      <c r="B68" s="65">
        <v>54</v>
      </c>
      <c r="C68" s="35">
        <v>3.920092141458556E-2</v>
      </c>
      <c r="D68" s="71">
        <f t="shared" si="0"/>
        <v>0.20067138343180702</v>
      </c>
      <c r="E68" s="60">
        <v>245.74769153561539</v>
      </c>
      <c r="F68" s="35">
        <f t="shared" si="1"/>
        <v>49.31452923562491</v>
      </c>
    </row>
    <row r="69" spans="2:6" ht="15.75" x14ac:dyDescent="0.25">
      <c r="B69" s="65">
        <v>55</v>
      </c>
      <c r="C69" s="35">
        <v>3.9174277710801897E-2</v>
      </c>
      <c r="D69" s="71">
        <f t="shared" si="0"/>
        <v>0.20053499304339065</v>
      </c>
      <c r="E69" s="60">
        <v>245.79478417501369</v>
      </c>
      <c r="F69" s="35">
        <f t="shared" si="1"/>
        <v>49.290455334638075</v>
      </c>
    </row>
    <row r="70" spans="2:6" ht="15.75" x14ac:dyDescent="0.25">
      <c r="B70" s="65">
        <v>56</v>
      </c>
      <c r="C70" s="35">
        <v>3.9151226360839619E-2</v>
      </c>
      <c r="D70" s="71">
        <f t="shared" si="0"/>
        <v>0.20041699208525041</v>
      </c>
      <c r="E70" s="60">
        <v>245.7946070529147</v>
      </c>
      <c r="F70" s="35">
        <f t="shared" si="1"/>
        <v>49.261415816321239</v>
      </c>
    </row>
    <row r="71" spans="2:6" ht="15.75" x14ac:dyDescent="0.25">
      <c r="B71" s="65">
        <v>57</v>
      </c>
      <c r="C71" s="35">
        <v>3.9131585931171227E-2</v>
      </c>
      <c r="D71" s="71">
        <f t="shared" si="0"/>
        <v>0.20031645179051935</v>
      </c>
      <c r="E71" s="60">
        <v>245.74436665557835</v>
      </c>
      <c r="F71" s="35">
        <f t="shared" si="1"/>
        <v>49.226639575953868</v>
      </c>
    </row>
    <row r="72" spans="2:6" ht="15.75" x14ac:dyDescent="0.25">
      <c r="B72" s="65">
        <v>58</v>
      </c>
      <c r="C72" s="35">
        <v>3.9115157175733058E-2</v>
      </c>
      <c r="D72" s="71">
        <f t="shared" si="0"/>
        <v>0.2002323522091097</v>
      </c>
      <c r="E72" s="60">
        <v>245.6412831024648</v>
      </c>
      <c r="F72" s="35">
        <f t="shared" si="1"/>
        <v>49.185331915270361</v>
      </c>
    </row>
    <row r="73" spans="2:6" ht="15.75" x14ac:dyDescent="0.25">
      <c r="B73" s="65">
        <v>59</v>
      </c>
      <c r="C73" s="35">
        <v>3.9101723703091673E-2</v>
      </c>
      <c r="D73" s="71">
        <f t="shared" si="0"/>
        <v>0.20016358562296926</v>
      </c>
      <c r="E73" s="60">
        <v>245.4825943296986</v>
      </c>
      <c r="F73" s="35">
        <f t="shared" si="1"/>
        <v>49.136676289061256</v>
      </c>
    </row>
    <row r="74" spans="2:6" ht="15.75" x14ac:dyDescent="0.25">
      <c r="B74" s="64">
        <v>60</v>
      </c>
      <c r="C74" s="20">
        <v>3.9091052636819584E-2</v>
      </c>
      <c r="D74" s="71">
        <f t="shared" si="0"/>
        <v>0.20010895992657643</v>
      </c>
      <c r="E74" s="58">
        <v>245.26556020721807</v>
      </c>
      <c r="F74" s="20">
        <f t="shared" si="1"/>
        <v>49.079836158875523</v>
      </c>
    </row>
  </sheetData>
  <mergeCells count="1">
    <mergeCell ref="B2:E2"/>
  </mergeCells>
  <pageMargins left="0.7" right="0.7" top="0.75" bottom="0.75" header="0.3" footer="0.3"/>
  <pageSetup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75"/>
  <sheetViews>
    <sheetView zoomScale="70" zoomScaleNormal="70" workbookViewId="0">
      <selection activeCell="B8" sqref="B8:I8"/>
    </sheetView>
  </sheetViews>
  <sheetFormatPr defaultColWidth="9.140625" defaultRowHeight="15.75" x14ac:dyDescent="0.25"/>
  <cols>
    <col min="1" max="1" width="9.140625" style="29"/>
    <col min="2" max="2" width="24.7109375" style="30" customWidth="1"/>
    <col min="3" max="3" width="32.5703125" style="30" customWidth="1"/>
    <col min="4" max="4" width="16.140625" style="47" customWidth="1"/>
    <col min="5" max="5" width="19.7109375" style="30" customWidth="1"/>
    <col min="6" max="6" width="18.5703125" style="30" bestFit="1" customWidth="1"/>
    <col min="7" max="7" width="18.5703125" style="30" customWidth="1"/>
    <col min="8" max="8" width="16.140625" style="29" customWidth="1"/>
    <col min="9" max="9" width="18.5703125" style="47" bestFit="1" customWidth="1"/>
    <col min="10" max="10" width="9.140625" style="29"/>
    <col min="11" max="11" width="13.140625" style="29" bestFit="1" customWidth="1"/>
    <col min="12" max="16384" width="9.140625" style="29"/>
  </cols>
  <sheetData>
    <row r="1" spans="1:13" s="30" customFormat="1" x14ac:dyDescent="0.25">
      <c r="A1" s="29"/>
      <c r="B1" s="328" t="s">
        <v>94</v>
      </c>
      <c r="C1" s="328" t="s">
        <v>0</v>
      </c>
      <c r="D1" s="328" t="s">
        <v>63</v>
      </c>
      <c r="I1" s="32"/>
      <c r="J1" s="29"/>
      <c r="K1" s="29"/>
      <c r="L1" s="29"/>
      <c r="M1" s="29"/>
    </row>
    <row r="2" spans="1:13" s="30" customFormat="1" ht="63" x14ac:dyDescent="0.25">
      <c r="B2" s="36" t="s">
        <v>111</v>
      </c>
      <c r="C2" s="36" t="s">
        <v>95</v>
      </c>
      <c r="D2" s="36"/>
      <c r="I2" s="32"/>
    </row>
    <row r="3" spans="1:13" s="30" customFormat="1" ht="31.5" x14ac:dyDescent="0.25">
      <c r="B3" s="36" t="s">
        <v>102</v>
      </c>
      <c r="C3" s="36" t="s">
        <v>96</v>
      </c>
      <c r="D3" s="36">
        <v>1.9E-2</v>
      </c>
      <c r="I3" s="32"/>
    </row>
    <row r="4" spans="1:13" s="30" customFormat="1" ht="52.5" customHeight="1" x14ac:dyDescent="0.25">
      <c r="B4" s="36" t="s">
        <v>101</v>
      </c>
      <c r="C4" s="36" t="s">
        <v>104</v>
      </c>
      <c r="D4" s="36">
        <f>6.5/100</f>
        <v>6.5000000000000002E-2</v>
      </c>
      <c r="I4" s="32"/>
    </row>
    <row r="5" spans="1:13" s="30" customFormat="1" x14ac:dyDescent="0.25">
      <c r="B5" s="36" t="s">
        <v>97</v>
      </c>
      <c r="C5" s="36" t="s">
        <v>150</v>
      </c>
      <c r="D5" s="36"/>
      <c r="I5" s="32"/>
    </row>
    <row r="6" spans="1:13" s="30" customFormat="1" ht="47.25" x14ac:dyDescent="0.25">
      <c r="B6" s="36" t="s">
        <v>112</v>
      </c>
      <c r="C6" s="54" t="s">
        <v>136</v>
      </c>
      <c r="D6" s="54" t="s">
        <v>135</v>
      </c>
      <c r="G6" s="46"/>
      <c r="H6" s="46"/>
      <c r="I6" s="46"/>
    </row>
    <row r="7" spans="1:13" s="30" customFormat="1" x14ac:dyDescent="0.25">
      <c r="B7" s="43"/>
      <c r="C7" s="43"/>
      <c r="G7" s="43"/>
      <c r="H7" s="43"/>
      <c r="I7" s="46"/>
    </row>
    <row r="8" spans="1:13" s="30" customFormat="1" ht="41.25" customHeight="1" x14ac:dyDescent="0.25">
      <c r="B8" s="232" t="s">
        <v>58</v>
      </c>
      <c r="C8" s="232" t="s">
        <v>69</v>
      </c>
      <c r="D8" s="333" t="s">
        <v>111</v>
      </c>
      <c r="E8" s="232" t="s">
        <v>49</v>
      </c>
      <c r="F8" s="232" t="s">
        <v>113</v>
      </c>
      <c r="G8" s="232" t="s">
        <v>126</v>
      </c>
      <c r="H8" s="325" t="s">
        <v>112</v>
      </c>
      <c r="I8" s="333" t="s">
        <v>114</v>
      </c>
    </row>
    <row r="9" spans="1:13" s="30" customFormat="1" ht="18.75" customHeight="1" x14ac:dyDescent="0.25">
      <c r="B9" s="73">
        <v>0.01</v>
      </c>
      <c r="C9" s="235">
        <v>3.5431429095409694E-2</v>
      </c>
      <c r="D9" s="72">
        <f>(C9/0.019)*0.065</f>
        <v>0.12121278374745423</v>
      </c>
      <c r="E9" s="73">
        <v>41.38798202509917</v>
      </c>
      <c r="F9" s="35">
        <f>D9*E9</f>
        <v>5.0167525149518681</v>
      </c>
      <c r="G9" s="73">
        <v>0.12331162215031551</v>
      </c>
      <c r="H9" s="71">
        <f>D9+G9</f>
        <v>0.24452440589776975</v>
      </c>
      <c r="I9" s="139">
        <f>H9*E9</f>
        <v>10.120371715994947</v>
      </c>
    </row>
    <row r="10" spans="1:13" s="30" customFormat="1" ht="15.75" customHeight="1" x14ac:dyDescent="0.25">
      <c r="B10" s="131">
        <v>0.5</v>
      </c>
      <c r="C10" s="124">
        <v>3.2588057733734285E-2</v>
      </c>
      <c r="D10" s="136">
        <f>(C10/0.019)*0.065</f>
        <v>0.11148546066803836</v>
      </c>
      <c r="E10" s="104">
        <v>53.831141676161266</v>
      </c>
      <c r="F10" s="83">
        <f>D10*E10</f>
        <v>6.0013896280532775</v>
      </c>
      <c r="G10" s="83">
        <v>0.12212007176347289</v>
      </c>
      <c r="H10" s="133">
        <f>D10+G10</f>
        <v>0.23360553243151125</v>
      </c>
      <c r="I10" s="137">
        <f>H10*E10</f>
        <v>12.575252512655767</v>
      </c>
    </row>
    <row r="11" spans="1:13" s="30" customFormat="1" ht="15.75" customHeight="1" x14ac:dyDescent="0.25">
      <c r="B11" s="131">
        <v>1</v>
      </c>
      <c r="C11" s="124">
        <v>3.0850177934569078E-2</v>
      </c>
      <c r="D11" s="136">
        <f t="shared" ref="D11:D73" si="0">(C11/0.019)*0.065</f>
        <v>0.10554008240773632</v>
      </c>
      <c r="E11" s="104">
        <v>63.380661538063698</v>
      </c>
      <c r="F11" s="83">
        <f>D11*E11</f>
        <v>6.6892002417840866</v>
      </c>
      <c r="G11" s="83">
        <v>0.11917782865262143</v>
      </c>
      <c r="H11" s="133">
        <f t="shared" ref="H11:H73" si="1">D11+G11</f>
        <v>0.22471791106035777</v>
      </c>
      <c r="I11" s="137">
        <f t="shared" ref="I11:I73" si="2">H11*E11</f>
        <v>14.242769862457237</v>
      </c>
    </row>
    <row r="12" spans="1:13" s="30" customFormat="1" ht="15.75" customHeight="1" x14ac:dyDescent="0.25">
      <c r="B12" s="250">
        <v>1.5</v>
      </c>
      <c r="C12" s="39">
        <v>2.9657885911486812E-2</v>
      </c>
      <c r="D12" s="72">
        <f t="shared" si="0"/>
        <v>0.10146118864456015</v>
      </c>
      <c r="E12" s="60">
        <v>71.012511472657152</v>
      </c>
      <c r="F12" s="35">
        <f>D12*E12</f>
        <v>7.2050138226512592</v>
      </c>
      <c r="G12" s="35">
        <v>0.11658646610042715</v>
      </c>
      <c r="H12" s="71">
        <f t="shared" si="1"/>
        <v>0.2180476547449873</v>
      </c>
      <c r="I12" s="139">
        <f t="shared" si="2"/>
        <v>15.484111584164397</v>
      </c>
    </row>
    <row r="13" spans="1:13" s="30" customFormat="1" x14ac:dyDescent="0.25">
      <c r="B13" s="250">
        <v>2</v>
      </c>
      <c r="C13" s="39">
        <v>2.8769025347316839E-2</v>
      </c>
      <c r="D13" s="72">
        <f t="shared" si="0"/>
        <v>9.8420349872399712E-2</v>
      </c>
      <c r="E13" s="60">
        <v>79.306671182823663</v>
      </c>
      <c r="F13" s="35">
        <f t="shared" ref="F13:F73" si="3">D13*E13</f>
        <v>7.8053903250288652</v>
      </c>
      <c r="G13" s="35">
        <v>0.11462360049001533</v>
      </c>
      <c r="H13" s="70">
        <f t="shared" si="1"/>
        <v>0.21304395036241502</v>
      </c>
      <c r="I13" s="138">
        <f t="shared" si="2"/>
        <v>16.895806518881855</v>
      </c>
    </row>
    <row r="14" spans="1:13" s="30" customFormat="1" x14ac:dyDescent="0.25">
      <c r="B14" s="250">
        <v>3</v>
      </c>
      <c r="C14" s="39">
        <v>2.7490366675556516E-2</v>
      </c>
      <c r="D14" s="72">
        <f t="shared" si="0"/>
        <v>9.4045991258482828E-2</v>
      </c>
      <c r="E14" s="60">
        <v>88.871580679028682</v>
      </c>
      <c r="F14" s="35">
        <f t="shared" si="3"/>
        <v>8.3580158996674836</v>
      </c>
      <c r="G14" s="35">
        <v>0.11228658876945394</v>
      </c>
      <c r="H14" s="70">
        <f t="shared" si="1"/>
        <v>0.20633258002793675</v>
      </c>
      <c r="I14" s="138">
        <f t="shared" si="2"/>
        <v>18.337102532664922</v>
      </c>
    </row>
    <row r="15" spans="1:13" s="30" customFormat="1" x14ac:dyDescent="0.25">
      <c r="B15" s="250">
        <v>4</v>
      </c>
      <c r="C15" s="39">
        <v>2.656669103766943E-2</v>
      </c>
      <c r="D15" s="72">
        <f t="shared" si="0"/>
        <v>9.0886048286763846E-2</v>
      </c>
      <c r="E15" s="60">
        <v>99.601784270773265</v>
      </c>
      <c r="F15" s="35">
        <f t="shared" si="3"/>
        <v>9.052412574681334</v>
      </c>
      <c r="G15" s="35">
        <v>0.12484751861316999</v>
      </c>
      <c r="H15" s="70">
        <f t="shared" si="1"/>
        <v>0.21573356689993384</v>
      </c>
      <c r="I15" s="138">
        <f t="shared" si="2"/>
        <v>21.487448190331641</v>
      </c>
    </row>
    <row r="16" spans="1:13" s="30" customFormat="1" x14ac:dyDescent="0.25">
      <c r="B16" s="250">
        <v>4.5</v>
      </c>
      <c r="C16" s="39">
        <v>2.6178420297428198E-2</v>
      </c>
      <c r="D16" s="72">
        <f t="shared" si="0"/>
        <v>8.9557753649096475E-2</v>
      </c>
      <c r="E16" s="60">
        <v>104.49610825639985</v>
      </c>
      <c r="F16" s="35">
        <f t="shared" si="3"/>
        <v>9.3584367205159733</v>
      </c>
      <c r="G16" s="35">
        <v>0.12985061245485077</v>
      </c>
      <c r="H16" s="70">
        <f t="shared" si="1"/>
        <v>0.21940836610394726</v>
      </c>
      <c r="I16" s="138">
        <f t="shared" si="2"/>
        <v>22.927320376757883</v>
      </c>
    </row>
    <row r="17" spans="2:13" s="30" customFormat="1" x14ac:dyDescent="0.25">
      <c r="B17" s="131">
        <v>5</v>
      </c>
      <c r="C17" s="124">
        <v>2.5821421879516433E-2</v>
      </c>
      <c r="D17" s="136">
        <f t="shared" si="0"/>
        <v>8.8336443272029913E-2</v>
      </c>
      <c r="E17" s="104">
        <v>109.17415101385284</v>
      </c>
      <c r="F17" s="83">
        <f t="shared" si="3"/>
        <v>9.6440561978072381</v>
      </c>
      <c r="G17" s="83">
        <v>0.1341175384188209</v>
      </c>
      <c r="H17" s="133">
        <f t="shared" si="1"/>
        <v>0.22245398169085082</v>
      </c>
      <c r="I17" s="137">
        <f t="shared" si="2"/>
        <v>24.2862245907498</v>
      </c>
    </row>
    <row r="18" spans="2:13" s="30" customFormat="1" x14ac:dyDescent="0.25">
      <c r="B18" s="250">
        <v>6</v>
      </c>
      <c r="C18" s="39">
        <v>2.5168146963869011E-2</v>
      </c>
      <c r="D18" s="72">
        <f t="shared" si="0"/>
        <v>8.6101555402709778E-2</v>
      </c>
      <c r="E18" s="60">
        <v>118.11939252666471</v>
      </c>
      <c r="F18" s="35">
        <f t="shared" si="3"/>
        <v>10.170263419769045</v>
      </c>
      <c r="G18" s="35">
        <v>0.14077620475200014</v>
      </c>
      <c r="H18" s="70">
        <f t="shared" si="1"/>
        <v>0.22687776015470992</v>
      </c>
      <c r="I18" s="138">
        <f t="shared" si="2"/>
        <v>26.798663207284672</v>
      </c>
    </row>
    <row r="19" spans="2:13" s="30" customFormat="1" x14ac:dyDescent="0.25">
      <c r="B19" s="250">
        <v>7</v>
      </c>
      <c r="C19" s="39">
        <v>2.4559896043651965E-2</v>
      </c>
      <c r="D19" s="72">
        <f t="shared" si="0"/>
        <v>8.4020696991440935E-2</v>
      </c>
      <c r="E19" s="60">
        <v>126.84460048220875</v>
      </c>
      <c r="F19" s="35">
        <f t="shared" si="3"/>
        <v>10.657571742116044</v>
      </c>
      <c r="G19" s="35">
        <v>0.14540204577850219</v>
      </c>
      <c r="H19" s="70">
        <f t="shared" si="1"/>
        <v>0.22942274276994312</v>
      </c>
      <c r="I19" s="138">
        <f t="shared" si="2"/>
        <v>29.10103614818598</v>
      </c>
    </row>
    <row r="20" spans="2:13" s="30" customFormat="1" x14ac:dyDescent="0.25">
      <c r="B20" s="250">
        <v>8</v>
      </c>
      <c r="C20" s="39">
        <v>2.3971286628652368E-2</v>
      </c>
      <c r="D20" s="72">
        <f t="shared" si="0"/>
        <v>8.2007033203284424E-2</v>
      </c>
      <c r="E20" s="60">
        <v>135.65555680838523</v>
      </c>
      <c r="F20" s="35">
        <f t="shared" si="3"/>
        <v>11.124709751395283</v>
      </c>
      <c r="G20" s="35">
        <v>0.14843840744604336</v>
      </c>
      <c r="H20" s="70">
        <f t="shared" si="1"/>
        <v>0.23044544064932779</v>
      </c>
      <c r="I20" s="138">
        <f t="shared" si="2"/>
        <v>31.261204565238252</v>
      </c>
    </row>
    <row r="21" spans="2:13" s="30" customFormat="1" ht="23.25" x14ac:dyDescent="0.25">
      <c r="B21" s="250">
        <v>9</v>
      </c>
      <c r="C21" s="39">
        <v>2.3391308196428581E-2</v>
      </c>
      <c r="D21" s="72">
        <f t="shared" si="0"/>
        <v>8.0022896461466195E-2</v>
      </c>
      <c r="E21" s="60">
        <v>144.75343942670185</v>
      </c>
      <c r="F21" s="35">
        <f t="shared" si="3"/>
        <v>11.58358949568408</v>
      </c>
      <c r="G21" s="35">
        <v>0.15023081105810085</v>
      </c>
      <c r="H21" s="70">
        <f t="shared" si="1"/>
        <v>0.23025370751956703</v>
      </c>
      <c r="I21" s="138">
        <f t="shared" si="2"/>
        <v>33.330016104207168</v>
      </c>
      <c r="M21" s="42"/>
    </row>
    <row r="22" spans="2:13" s="30" customFormat="1" ht="23.25" x14ac:dyDescent="0.25">
      <c r="B22" s="131">
        <v>10</v>
      </c>
      <c r="C22" s="124">
        <v>2.2819663003571522E-2</v>
      </c>
      <c r="D22" s="136">
        <f t="shared" si="0"/>
        <v>7.8067268170113113E-2</v>
      </c>
      <c r="E22" s="104">
        <v>154.2224206529134</v>
      </c>
      <c r="F22" s="83">
        <f t="shared" si="3"/>
        <v>12.039723070954981</v>
      </c>
      <c r="G22" s="83">
        <v>0.15107232074617474</v>
      </c>
      <c r="H22" s="133">
        <f t="shared" si="1"/>
        <v>0.22913958891628786</v>
      </c>
      <c r="I22" s="137">
        <f t="shared" si="2"/>
        <v>35.338462070083402</v>
      </c>
      <c r="M22" s="42"/>
    </row>
    <row r="23" spans="2:13" s="30" customFormat="1" ht="23.25" x14ac:dyDescent="0.25">
      <c r="B23" s="250">
        <v>10.5</v>
      </c>
      <c r="C23" s="39">
        <v>2.2539089398627726E-2</v>
      </c>
      <c r="D23" s="72">
        <f t="shared" si="0"/>
        <v>7.710741110056854E-2</v>
      </c>
      <c r="E23" s="60">
        <v>159.0894451651003</v>
      </c>
      <c r="F23" s="35">
        <f t="shared" si="3"/>
        <v>12.266975250106745</v>
      </c>
      <c r="G23" s="35">
        <v>0.15122490307176259</v>
      </c>
      <c r="H23" s="71">
        <f t="shared" si="1"/>
        <v>0.22833231417233113</v>
      </c>
      <c r="I23" s="139">
        <f t="shared" si="2"/>
        <v>36.325261174939527</v>
      </c>
      <c r="M23" s="42"/>
    </row>
    <row r="24" spans="2:13" s="30" customFormat="1" ht="23.25" x14ac:dyDescent="0.25">
      <c r="B24" s="65">
        <v>11</v>
      </c>
      <c r="C24" s="39">
        <v>2.22638467637052E-2</v>
      </c>
      <c r="D24" s="72">
        <f t="shared" si="0"/>
        <v>7.6165791560044105E-2</v>
      </c>
      <c r="E24" s="60">
        <v>164.02891270496642</v>
      </c>
      <c r="F24" s="35">
        <f t="shared" si="3"/>
        <v>12.493391974907142</v>
      </c>
      <c r="G24" s="35">
        <v>0.15124985567165841</v>
      </c>
      <c r="H24" s="70">
        <f t="shared" si="1"/>
        <v>0.22741564723170252</v>
      </c>
      <c r="I24" s="138">
        <f t="shared" si="2"/>
        <v>37.302741347512367</v>
      </c>
      <c r="M24" s="42"/>
    </row>
    <row r="25" spans="2:13" s="30" customFormat="1" ht="23.25" x14ac:dyDescent="0.25">
      <c r="B25" s="65">
        <v>12</v>
      </c>
      <c r="C25" s="39">
        <v>2.1735915592343405E-2</v>
      </c>
      <c r="D25" s="72">
        <f t="shared" si="0"/>
        <v>7.435971123696429E-2</v>
      </c>
      <c r="E25" s="60">
        <v>174.06810970101117</v>
      </c>
      <c r="F25" s="35">
        <f t="shared" si="3"/>
        <v>12.943654372931412</v>
      </c>
      <c r="G25" s="35">
        <v>0.15111032259585444</v>
      </c>
      <c r="H25" s="70">
        <f t="shared" si="1"/>
        <v>0.22547003383281872</v>
      </c>
      <c r="I25" s="138">
        <f t="shared" si="2"/>
        <v>39.247142583501791</v>
      </c>
      <c r="M25" s="42"/>
    </row>
    <row r="26" spans="2:13" s="30" customFormat="1" ht="23.25" x14ac:dyDescent="0.25">
      <c r="B26" s="65">
        <v>13</v>
      </c>
      <c r="C26" s="39">
        <v>2.1248953386995423E-2</v>
      </c>
      <c r="D26" s="72">
        <f t="shared" si="0"/>
        <v>7.2693787902879073E-2</v>
      </c>
      <c r="E26" s="60">
        <v>184.31439944245017</v>
      </c>
      <c r="F26" s="35">
        <f t="shared" si="3"/>
        <v>13.398511860516006</v>
      </c>
      <c r="G26" s="35">
        <v>0.15118735916578005</v>
      </c>
      <c r="H26" s="70">
        <f t="shared" si="1"/>
        <v>0.22388114706865914</v>
      </c>
      <c r="I26" s="138">
        <f t="shared" si="2"/>
        <v>41.264519168446775</v>
      </c>
      <c r="M26" s="42"/>
    </row>
    <row r="27" spans="2:13" s="30" customFormat="1" ht="23.25" x14ac:dyDescent="0.25">
      <c r="B27" s="65">
        <v>14</v>
      </c>
      <c r="C27" s="39">
        <v>2.0813874810541932E-2</v>
      </c>
      <c r="D27" s="72">
        <f t="shared" si="0"/>
        <v>7.1205361193959246E-2</v>
      </c>
      <c r="E27" s="60">
        <v>194.99086929943499</v>
      </c>
      <c r="F27" s="35">
        <f t="shared" si="3"/>
        <v>13.884395277990368</v>
      </c>
      <c r="G27" s="35">
        <v>0.15223761309411663</v>
      </c>
      <c r="H27" s="70">
        <f t="shared" si="1"/>
        <v>0.22344297428807586</v>
      </c>
      <c r="I27" s="138">
        <f t="shared" si="2"/>
        <v>43.569339795283213</v>
      </c>
      <c r="M27" s="42"/>
    </row>
    <row r="28" spans="2:13" s="30" customFormat="1" x14ac:dyDescent="0.25">
      <c r="B28" s="65">
        <v>15</v>
      </c>
      <c r="C28" s="39">
        <v>2.0437294757979355E-2</v>
      </c>
      <c r="D28" s="72">
        <f t="shared" si="0"/>
        <v>6.99170610141399E-2</v>
      </c>
      <c r="E28" s="60">
        <v>205.77417499532027</v>
      </c>
      <c r="F28" s="35">
        <f t="shared" si="3"/>
        <v>14.387125548282109</v>
      </c>
      <c r="G28" s="35">
        <v>0.1541525835997222</v>
      </c>
      <c r="H28" s="70">
        <f t="shared" si="1"/>
        <v>0.22406964461386208</v>
      </c>
      <c r="I28" s="138">
        <f t="shared" si="2"/>
        <v>46.107746261912077</v>
      </c>
    </row>
    <row r="29" spans="2:13" s="30" customFormat="1" x14ac:dyDescent="0.25">
      <c r="B29" s="65">
        <v>16</v>
      </c>
      <c r="C29" s="39">
        <v>2.0120833683836509E-2</v>
      </c>
      <c r="D29" s="72">
        <f t="shared" si="0"/>
        <v>6.8834431023651221E-2</v>
      </c>
      <c r="E29" s="60">
        <v>214.68138649493855</v>
      </c>
      <c r="F29" s="35">
        <f t="shared" si="3"/>
        <v>14.777471090747657</v>
      </c>
      <c r="G29" s="35">
        <v>0.15515312462971761</v>
      </c>
      <c r="H29" s="70">
        <f t="shared" si="1"/>
        <v>0.22398755565336884</v>
      </c>
      <c r="I29" s="138">
        <f t="shared" si="2"/>
        <v>48.085959005277431</v>
      </c>
    </row>
    <row r="30" spans="2:13" s="30" customFormat="1" x14ac:dyDescent="0.25">
      <c r="B30" s="65">
        <v>17</v>
      </c>
      <c r="C30" s="39">
        <v>1.986170052387556E-2</v>
      </c>
      <c r="D30" s="72">
        <f t="shared" si="0"/>
        <v>6.7947922844837444E-2</v>
      </c>
      <c r="E30" s="60">
        <v>220.98498338086458</v>
      </c>
      <c r="F30" s="35">
        <f t="shared" si="3"/>
        <v>15.015470600630671</v>
      </c>
      <c r="G30" s="35">
        <v>0.15492655261116353</v>
      </c>
      <c r="H30" s="70">
        <f t="shared" si="1"/>
        <v>0.22287447545600098</v>
      </c>
      <c r="I30" s="138">
        <f t="shared" si="2"/>
        <v>49.251912254663289</v>
      </c>
    </row>
    <row r="31" spans="2:13" s="30" customFormat="1" x14ac:dyDescent="0.25">
      <c r="B31" s="65">
        <v>18</v>
      </c>
      <c r="C31" s="39">
        <v>1.9654026862800881E-2</v>
      </c>
      <c r="D31" s="72">
        <f t="shared" si="0"/>
        <v>6.7237460320108272E-2</v>
      </c>
      <c r="E31" s="60">
        <v>225.51590370162751</v>
      </c>
      <c r="F31" s="35">
        <f t="shared" si="3"/>
        <v>15.163116626691538</v>
      </c>
      <c r="G31" s="35">
        <v>0.1543556812098143</v>
      </c>
      <c r="H31" s="70">
        <f t="shared" si="1"/>
        <v>0.22159314152992257</v>
      </c>
      <c r="I31" s="138">
        <f t="shared" si="2"/>
        <v>49.972777566203135</v>
      </c>
    </row>
    <row r="32" spans="2:13" s="30" customFormat="1" x14ac:dyDescent="0.25">
      <c r="B32" s="65">
        <v>19</v>
      </c>
      <c r="C32" s="39">
        <v>1.9490365528604843E-2</v>
      </c>
      <c r="D32" s="72">
        <f t="shared" si="0"/>
        <v>6.6677566282069195E-2</v>
      </c>
      <c r="E32" s="60">
        <v>228.86286112621855</v>
      </c>
      <c r="F32" s="35">
        <f t="shared" si="3"/>
        <v>15.260018592247434</v>
      </c>
      <c r="G32" s="35">
        <v>0.15387095948970111</v>
      </c>
      <c r="H32" s="70">
        <f t="shared" si="1"/>
        <v>0.22054852577177031</v>
      </c>
      <c r="I32" s="138">
        <f t="shared" si="2"/>
        <v>50.4753666252969</v>
      </c>
    </row>
    <row r="33" spans="2:9" s="30" customFormat="1" x14ac:dyDescent="0.25">
      <c r="B33" s="65">
        <v>20</v>
      </c>
      <c r="C33" s="39">
        <v>1.936294249600479E-2</v>
      </c>
      <c r="D33" s="72">
        <f t="shared" si="0"/>
        <v>6.6241645381069025E-2</v>
      </c>
      <c r="E33" s="60">
        <v>231.31445125893075</v>
      </c>
      <c r="F33" s="35">
        <f t="shared" si="3"/>
        <v>15.322649851810667</v>
      </c>
      <c r="G33" s="35">
        <v>0.15275351843032431</v>
      </c>
      <c r="H33" s="70">
        <f t="shared" si="1"/>
        <v>0.21899516381139333</v>
      </c>
      <c r="I33" s="138">
        <f t="shared" si="2"/>
        <v>50.656746145392098</v>
      </c>
    </row>
    <row r="34" spans="2:9" s="30" customFormat="1" x14ac:dyDescent="0.25">
      <c r="B34" s="65">
        <v>21</v>
      </c>
      <c r="C34" s="39">
        <v>1.9264494227459929E-2</v>
      </c>
      <c r="D34" s="72">
        <f t="shared" si="0"/>
        <v>6.5904848672889232E-2</v>
      </c>
      <c r="E34" s="60">
        <v>233.0632589862274</v>
      </c>
      <c r="F34" s="35">
        <f t="shared" si="3"/>
        <v>15.359998814697708</v>
      </c>
      <c r="G34" s="35">
        <v>0.15154024356406506</v>
      </c>
      <c r="H34" s="70">
        <f t="shared" si="1"/>
        <v>0.2174450922369543</v>
      </c>
      <c r="I34" s="138">
        <f t="shared" si="2"/>
        <v>50.678461847305385</v>
      </c>
    </row>
    <row r="35" spans="2:9" s="30" customFormat="1" x14ac:dyDescent="0.25">
      <c r="B35" s="65">
        <v>22</v>
      </c>
      <c r="C35" s="39">
        <v>1.918870616972566E-2</v>
      </c>
      <c r="D35" s="72">
        <f t="shared" si="0"/>
        <v>6.5645573738535162E-2</v>
      </c>
      <c r="E35" s="60">
        <v>234.26792592277934</v>
      </c>
      <c r="F35" s="35">
        <f t="shared" si="3"/>
        <v>15.378652405737505</v>
      </c>
      <c r="G35" s="35">
        <v>0.15115726480844999</v>
      </c>
      <c r="H35" s="70">
        <f t="shared" si="1"/>
        <v>0.21680283854698515</v>
      </c>
      <c r="I35" s="138">
        <f t="shared" si="2"/>
        <v>50.789951320573408</v>
      </c>
    </row>
    <row r="36" spans="2:9" s="30" customFormat="1" x14ac:dyDescent="0.25">
      <c r="B36" s="65">
        <v>23</v>
      </c>
      <c r="C36" s="39">
        <v>1.9224630451340454E-2</v>
      </c>
      <c r="D36" s="72">
        <f t="shared" si="0"/>
        <v>6.5768472596691038E-2</v>
      </c>
      <c r="E36" s="60">
        <v>235.06261378617052</v>
      </c>
      <c r="F36" s="35">
        <f t="shared" si="3"/>
        <v>15.459709073302324</v>
      </c>
      <c r="G36" s="35">
        <v>0.1507598718563854</v>
      </c>
      <c r="H36" s="70">
        <f t="shared" si="1"/>
        <v>0.21652834445307645</v>
      </c>
      <c r="I36" s="138">
        <f t="shared" si="2"/>
        <v>50.897718605932404</v>
      </c>
    </row>
    <row r="37" spans="2:9" s="30" customFormat="1" x14ac:dyDescent="0.25">
      <c r="B37" s="65">
        <v>24</v>
      </c>
      <c r="C37" s="39">
        <v>1.9145248841568624E-2</v>
      </c>
      <c r="D37" s="72">
        <f t="shared" si="0"/>
        <v>6.5496903931682129E-2</v>
      </c>
      <c r="E37" s="60">
        <v>235.55755499029567</v>
      </c>
      <c r="F37" s="35">
        <f t="shared" si="3"/>
        <v>15.428290549581327</v>
      </c>
      <c r="G37" s="35">
        <v>0.15037346903422891</v>
      </c>
      <c r="H37" s="70">
        <f t="shared" si="1"/>
        <v>0.21587037296591105</v>
      </c>
      <c r="I37" s="138">
        <f t="shared" si="2"/>
        <v>50.849897250693225</v>
      </c>
    </row>
    <row r="38" spans="2:9" s="119" customFormat="1" x14ac:dyDescent="0.25">
      <c r="B38" s="85">
        <v>25</v>
      </c>
      <c r="C38" s="120">
        <v>1.9083502426230525E-2</v>
      </c>
      <c r="D38" s="136">
        <f t="shared" si="0"/>
        <v>6.5285666194999162E-2</v>
      </c>
      <c r="E38" s="134">
        <v>235.84034830968122</v>
      </c>
      <c r="F38" s="132">
        <f t="shared" si="3"/>
        <v>15.396994255058182</v>
      </c>
      <c r="G38" s="132">
        <v>0.15000869022580418</v>
      </c>
      <c r="H38" s="135">
        <f t="shared" si="1"/>
        <v>0.21529435642080336</v>
      </c>
      <c r="I38" s="134">
        <f t="shared" si="2"/>
        <v>50.775096007390914</v>
      </c>
    </row>
    <row r="39" spans="2:9" s="30" customFormat="1" x14ac:dyDescent="0.25">
      <c r="B39" s="65">
        <v>26</v>
      </c>
      <c r="C39" s="39">
        <v>1.9030387017136049E-2</v>
      </c>
      <c r="D39" s="72">
        <f t="shared" si="0"/>
        <v>6.5103955584939116E-2</v>
      </c>
      <c r="E39" s="60">
        <v>236.05500987906257</v>
      </c>
      <c r="F39" s="35">
        <f t="shared" si="3"/>
        <v>15.368114878768854</v>
      </c>
      <c r="G39" s="35">
        <v>0.14965228943365186</v>
      </c>
      <c r="H39" s="70">
        <f t="shared" si="1"/>
        <v>0.21475624501859097</v>
      </c>
      <c r="I39" s="138">
        <f t="shared" si="2"/>
        <v>50.694287539453875</v>
      </c>
    </row>
    <row r="40" spans="2:9" s="30" customFormat="1" x14ac:dyDescent="0.25">
      <c r="B40" s="65">
        <v>27</v>
      </c>
      <c r="C40" s="39">
        <v>1.8974379321630312E-2</v>
      </c>
      <c r="D40" s="72">
        <f t="shared" si="0"/>
        <v>6.4912350310840541E-2</v>
      </c>
      <c r="E40" s="60">
        <v>236.38908054246249</v>
      </c>
      <c r="F40" s="35">
        <f t="shared" si="3"/>
        <v>15.344570805829825</v>
      </c>
      <c r="G40" s="35">
        <v>0.14926872067603816</v>
      </c>
      <c r="H40" s="70">
        <f t="shared" si="1"/>
        <v>0.21418107098687872</v>
      </c>
      <c r="I40" s="138">
        <f t="shared" si="2"/>
        <v>50.630066440188152</v>
      </c>
    </row>
    <row r="41" spans="2:9" s="30" customFormat="1" x14ac:dyDescent="0.25">
      <c r="B41" s="65">
        <v>28</v>
      </c>
      <c r="C41" s="39">
        <v>1.8921614967367866E-2</v>
      </c>
      <c r="D41" s="72">
        <f t="shared" si="0"/>
        <v>6.4731840677837438E-2</v>
      </c>
      <c r="E41" s="60">
        <v>236.7390436986289</v>
      </c>
      <c r="F41" s="35">
        <f t="shared" si="3"/>
        <v>15.324554058923241</v>
      </c>
      <c r="G41" s="35">
        <v>0.14887980061643658</v>
      </c>
      <c r="H41" s="70">
        <f t="shared" si="1"/>
        <v>0.21361164129427401</v>
      </c>
      <c r="I41" s="138">
        <f t="shared" si="2"/>
        <v>50.570215682900979</v>
      </c>
    </row>
    <row r="42" spans="2:9" s="30" customFormat="1" x14ac:dyDescent="0.25">
      <c r="B42" s="65">
        <v>29</v>
      </c>
      <c r="C42" s="39">
        <v>1.8871993103949134E-2</v>
      </c>
      <c r="D42" s="72">
        <f t="shared" si="0"/>
        <v>6.4562081671404939E-2</v>
      </c>
      <c r="E42" s="60">
        <v>237.10394747664529</v>
      </c>
      <c r="F42" s="35">
        <f t="shared" si="3"/>
        <v>15.307924421599679</v>
      </c>
      <c r="G42" s="35">
        <v>0.14848775307091402</v>
      </c>
      <c r="H42" s="70">
        <f t="shared" si="1"/>
        <v>0.21304983474231898</v>
      </c>
      <c r="I42" s="138">
        <f t="shared" si="2"/>
        <v>50.51495682665076</v>
      </c>
    </row>
    <row r="43" spans="2:9" s="30" customFormat="1" x14ac:dyDescent="0.25">
      <c r="B43" s="65">
        <v>30</v>
      </c>
      <c r="C43" s="39">
        <v>1.8825419439205428E-2</v>
      </c>
      <c r="D43" s="72">
        <f t="shared" si="0"/>
        <v>6.4402750713071208E-2</v>
      </c>
      <c r="E43" s="60">
        <v>237.48267236484853</v>
      </c>
      <c r="F43" s="35">
        <f t="shared" si="3"/>
        <v>15.294537346987305</v>
      </c>
      <c r="G43" s="35">
        <v>0.14809466002492161</v>
      </c>
      <c r="H43" s="70">
        <f t="shared" si="1"/>
        <v>0.21249741073799283</v>
      </c>
      <c r="I43" s="138">
        <f t="shared" si="2"/>
        <v>50.464452972669399</v>
      </c>
    </row>
    <row r="44" spans="2:9" s="30" customFormat="1" x14ac:dyDescent="0.25">
      <c r="B44" s="65">
        <v>31</v>
      </c>
      <c r="C44" s="39">
        <v>1.8781805811489784E-2</v>
      </c>
      <c r="D44" s="72">
        <f t="shared" si="0"/>
        <v>6.4253546197201902E-2</v>
      </c>
      <c r="E44" s="60">
        <v>237.87394193966907</v>
      </c>
      <c r="F44" s="35">
        <f t="shared" si="3"/>
        <v>15.28424431753105</v>
      </c>
      <c r="G44" s="35">
        <v>0.14770246479326235</v>
      </c>
      <c r="H44" s="70">
        <f t="shared" si="1"/>
        <v>0.21195601099046424</v>
      </c>
      <c r="I44" s="138">
        <f t="shared" si="2"/>
        <v>50.418811852109549</v>
      </c>
    </row>
    <row r="45" spans="2:9" s="30" customFormat="1" x14ac:dyDescent="0.25">
      <c r="B45" s="65">
        <v>32</v>
      </c>
      <c r="C45" s="39">
        <v>1.8741069790121835E-2</v>
      </c>
      <c r="D45" s="72">
        <f t="shared" si="0"/>
        <v>6.4114186124101025E-2</v>
      </c>
      <c r="E45" s="60">
        <v>238.27633294394644</v>
      </c>
      <c r="F45" s="35">
        <f t="shared" si="3"/>
        <v>15.276893159336447</v>
      </c>
      <c r="G45" s="35">
        <v>0.14731297510749192</v>
      </c>
      <c r="H45" s="70">
        <f t="shared" si="1"/>
        <v>0.21142716123159294</v>
      </c>
      <c r="I45" s="138">
        <f t="shared" si="2"/>
        <v>50.378088663012484</v>
      </c>
    </row>
    <row r="46" spans="2:9" s="30" customFormat="1" x14ac:dyDescent="0.25">
      <c r="B46" s="65">
        <v>33</v>
      </c>
      <c r="C46" s="39">
        <v>1.8703134308665822E-2</v>
      </c>
      <c r="D46" s="72">
        <f t="shared" si="0"/>
        <v>6.3984406845435701E-2</v>
      </c>
      <c r="E46" s="60">
        <v>238.68828484641506</v>
      </c>
      <c r="F46" s="35">
        <f t="shared" si="3"/>
        <v>15.272328326852266</v>
      </c>
      <c r="G46" s="35">
        <v>0.14692786616680034</v>
      </c>
      <c r="H46" s="70">
        <f t="shared" si="1"/>
        <v>0.21091227301223603</v>
      </c>
      <c r="I46" s="138">
        <f t="shared" si="2"/>
        <v>50.342288698349449</v>
      </c>
    </row>
    <row r="47" spans="2:9" s="30" customFormat="1" x14ac:dyDescent="0.25">
      <c r="B47" s="65">
        <v>34</v>
      </c>
      <c r="C47" s="39">
        <v>1.8667927329536461E-2</v>
      </c>
      <c r="D47" s="72">
        <f t="shared" si="0"/>
        <v>6.3863961916835271E-2</v>
      </c>
      <c r="E47" s="60">
        <v>239.10810894156009</v>
      </c>
      <c r="F47" s="35">
        <f t="shared" si="3"/>
        <v>15.270391163450293</v>
      </c>
      <c r="G47" s="35">
        <v>0.14654868366141938</v>
      </c>
      <c r="H47" s="70">
        <f t="shared" si="1"/>
        <v>0.21041264557825465</v>
      </c>
      <c r="I47" s="138">
        <f t="shared" si="2"/>
        <v>50.311369781607183</v>
      </c>
    </row>
    <row r="48" spans="2:9" s="30" customFormat="1" x14ac:dyDescent="0.25">
      <c r="B48" s="65">
        <v>35</v>
      </c>
      <c r="C48" s="39">
        <v>1.8635381537336834E-2</v>
      </c>
      <c r="D48" s="72">
        <f t="shared" si="0"/>
        <v>6.3752621048783917E-2</v>
      </c>
      <c r="E48" s="60">
        <v>239.53399702998493</v>
      </c>
      <c r="F48" s="35">
        <f t="shared" si="3"/>
        <v>15.270920140953162</v>
      </c>
      <c r="G48" s="35">
        <v>0.14617684677078635</v>
      </c>
      <c r="H48" s="70">
        <f t="shared" si="1"/>
        <v>0.20992946781957028</v>
      </c>
      <c r="I48" s="138">
        <f t="shared" si="2"/>
        <v>50.285244521199267</v>
      </c>
    </row>
    <row r="49" spans="2:9" s="30" customFormat="1" x14ac:dyDescent="0.25">
      <c r="B49" s="65">
        <v>36</v>
      </c>
      <c r="C49" s="39">
        <v>1.8605434058339369E-2</v>
      </c>
      <c r="D49" s="72">
        <f t="shared" si="0"/>
        <v>6.3650169146950472E-2</v>
      </c>
      <c r="E49" s="60">
        <v>239.96402971264283</v>
      </c>
      <c r="F49" s="35">
        <f t="shared" si="3"/>
        <v>15.273751080393565</v>
      </c>
      <c r="G49" s="35">
        <v>0.14581365113701114</v>
      </c>
      <c r="H49" s="70">
        <f t="shared" si="1"/>
        <v>0.2094638202839616</v>
      </c>
      <c r="I49" s="138">
        <f t="shared" si="2"/>
        <v>50.26378239434424</v>
      </c>
    </row>
    <row r="50" spans="2:9" s="30" customFormat="1" x14ac:dyDescent="0.25">
      <c r="B50" s="65">
        <v>37</v>
      </c>
      <c r="C50" s="39">
        <v>1.8578026203742302E-2</v>
      </c>
      <c r="D50" s="72">
        <f t="shared" si="0"/>
        <v>6.355640543385524E-2</v>
      </c>
      <c r="E50" s="60">
        <v>240.3961843285241</v>
      </c>
      <c r="F50" s="35">
        <f t="shared" si="3"/>
        <v>15.278717355935475</v>
      </c>
      <c r="G50" s="35">
        <v>0.14546027181377841</v>
      </c>
      <c r="H50" s="70">
        <f t="shared" si="1"/>
        <v>0.20901667724763365</v>
      </c>
      <c r="I50" s="138">
        <f t="shared" si="2"/>
        <v>50.246811671357769</v>
      </c>
    </row>
    <row r="51" spans="2:9" s="30" customFormat="1" x14ac:dyDescent="0.25">
      <c r="B51" s="65">
        <v>38</v>
      </c>
      <c r="C51" s="39">
        <v>1.8553103234575461E-2</v>
      </c>
      <c r="D51" s="72">
        <f t="shared" si="0"/>
        <v>6.3471142644600256E-2</v>
      </c>
      <c r="E51" s="60">
        <v>240.82834256254671</v>
      </c>
      <c r="F51" s="35">
        <f t="shared" si="3"/>
        <v>15.285650083650058</v>
      </c>
      <c r="G51" s="35">
        <v>0.14511776619071451</v>
      </c>
      <c r="H51" s="70">
        <f t="shared" si="1"/>
        <v>0.20858890883531478</v>
      </c>
      <c r="I51" s="138">
        <f t="shared" si="2"/>
        <v>50.234121191739014</v>
      </c>
    </row>
    <row r="52" spans="2:9" s="30" customFormat="1" x14ac:dyDescent="0.25">
      <c r="B52" s="65">
        <v>39</v>
      </c>
      <c r="C52" s="39">
        <v>1.8530614146354658E-2</v>
      </c>
      <c r="D52" s="72">
        <f t="shared" si="0"/>
        <v>6.3394206290160682E-2</v>
      </c>
      <c r="E52" s="60">
        <v>241.25829774798879</v>
      </c>
      <c r="F52" s="35">
        <f t="shared" si="3"/>
        <v>15.294378296649009</v>
      </c>
      <c r="G52" s="35">
        <v>0.14478707689322876</v>
      </c>
      <c r="H52" s="70">
        <f t="shared" si="1"/>
        <v>0.20818128318338944</v>
      </c>
      <c r="I52" s="138">
        <f t="shared" si="2"/>
        <v>50.225462003816538</v>
      </c>
    </row>
    <row r="53" spans="2:9" s="30" customFormat="1" x14ac:dyDescent="0.25">
      <c r="B53" s="65">
        <v>40</v>
      </c>
      <c r="C53" s="39">
        <v>1.8510511471784091E-2</v>
      </c>
      <c r="D53" s="72">
        <f t="shared" si="0"/>
        <v>6.3325433982419257E-2</v>
      </c>
      <c r="E53" s="60">
        <v>241.683761885667</v>
      </c>
      <c r="F53" s="35">
        <f t="shared" si="3"/>
        <v>15.304729107913541</v>
      </c>
      <c r="G53" s="35">
        <v>0.14446903465782956</v>
      </c>
      <c r="H53" s="70">
        <f t="shared" si="1"/>
        <v>0.20779446864024881</v>
      </c>
      <c r="I53" s="138">
        <f t="shared" si="2"/>
        <v>50.220548880008593</v>
      </c>
    </row>
    <row r="54" spans="2:9" s="30" customFormat="1" x14ac:dyDescent="0.25">
      <c r="B54" s="65">
        <v>41</v>
      </c>
      <c r="C54" s="39">
        <v>1.8492751099985622E-2</v>
      </c>
      <c r="D54" s="72">
        <f t="shared" si="0"/>
        <v>6.3264674815740288E-2</v>
      </c>
      <c r="E54" s="60">
        <v>242.10237240017918</v>
      </c>
      <c r="F54" s="35">
        <f t="shared" si="3"/>
        <v>15.316527862016592</v>
      </c>
      <c r="G54" s="35">
        <v>0.1441643611829162</v>
      </c>
      <c r="H54" s="70">
        <f t="shared" si="1"/>
        <v>0.20742903599865647</v>
      </c>
      <c r="I54" s="138">
        <f t="shared" si="2"/>
        <v>50.219061719956905</v>
      </c>
    </row>
    <row r="55" spans="2:9" s="30" customFormat="1" x14ac:dyDescent="0.25">
      <c r="B55" s="65">
        <v>42</v>
      </c>
      <c r="C55" s="39">
        <v>1.8477292110891667E-2</v>
      </c>
      <c r="D55" s="72">
        <f t="shared" si="0"/>
        <v>6.3211788800418861E-2</v>
      </c>
      <c r="E55" s="60">
        <v>242.51169865182382</v>
      </c>
      <c r="F55" s="35">
        <f t="shared" si="3"/>
        <v>15.329598276809911</v>
      </c>
      <c r="G55" s="35">
        <v>0.14387367195504661</v>
      </c>
      <c r="H55" s="70">
        <f t="shared" si="1"/>
        <v>0.20708546075546547</v>
      </c>
      <c r="I55" s="138">
        <f t="shared" si="2"/>
        <v>50.220646853903531</v>
      </c>
    </row>
    <row r="56" spans="2:9" s="30" customFormat="1" x14ac:dyDescent="0.25">
      <c r="B56" s="65">
        <v>43</v>
      </c>
      <c r="C56" s="39">
        <v>1.8464096623580419E-2</v>
      </c>
      <c r="D56" s="72">
        <f t="shared" si="0"/>
        <v>6.3166646343827751E-2</v>
      </c>
      <c r="E56" s="60">
        <v>242.90924822130032</v>
      </c>
      <c r="F56" s="35">
        <f t="shared" si="3"/>
        <v>15.343762576039948</v>
      </c>
      <c r="G56" s="35">
        <v>0.14359747905068013</v>
      </c>
      <c r="H56" s="70">
        <f t="shared" si="1"/>
        <v>0.20676412539450789</v>
      </c>
      <c r="I56" s="138">
        <f t="shared" si="2"/>
        <v>50.224918258714581</v>
      </c>
    </row>
    <row r="57" spans="2:9" s="30" customFormat="1" x14ac:dyDescent="0.25">
      <c r="B57" s="65">
        <v>44</v>
      </c>
      <c r="C57" s="39">
        <v>1.8453129657457438E-2</v>
      </c>
      <c r="D57" s="72">
        <f t="shared" si="0"/>
        <v>6.31291277755123E-2</v>
      </c>
      <c r="E57" s="60">
        <v>243.29247298292179</v>
      </c>
      <c r="F57" s="35">
        <f t="shared" si="3"/>
        <v>15.358841613759244</v>
      </c>
      <c r="G57" s="35">
        <v>0.14333619391339689</v>
      </c>
      <c r="H57" s="70">
        <f t="shared" si="1"/>
        <v>0.20646532168890919</v>
      </c>
      <c r="I57" s="138">
        <f t="shared" si="2"/>
        <v>50.231458698909194</v>
      </c>
    </row>
    <row r="58" spans="2:9" s="30" customFormat="1" x14ac:dyDescent="0.25">
      <c r="B58" s="65">
        <v>45</v>
      </c>
      <c r="C58" s="39">
        <v>1.8444359005300573E-2</v>
      </c>
      <c r="D58" s="72">
        <f t="shared" si="0"/>
        <v>6.3099122912870384E-2</v>
      </c>
      <c r="E58" s="60">
        <v>243.6587749808559</v>
      </c>
      <c r="F58" s="35">
        <f t="shared" si="3"/>
        <v>15.374654991316453</v>
      </c>
      <c r="G58" s="35">
        <v>0.14309013010659266</v>
      </c>
      <c r="H58" s="70">
        <f t="shared" si="1"/>
        <v>0.20618925301946306</v>
      </c>
      <c r="I58" s="138">
        <f t="shared" si="2"/>
        <v>50.239820804940109</v>
      </c>
    </row>
    <row r="59" spans="2:9" s="30" customFormat="1" x14ac:dyDescent="0.25">
      <c r="B59" s="65">
        <v>46</v>
      </c>
      <c r="C59" s="39">
        <v>1.843775511728582E-2</v>
      </c>
      <c r="D59" s="72">
        <f t="shared" si="0"/>
        <v>6.3076530664398861E-2</v>
      </c>
      <c r="E59" s="60">
        <v>244.00551212180008</v>
      </c>
      <c r="F59" s="35">
        <f t="shared" si="3"/>
        <v>15.39102116763307</v>
      </c>
      <c r="G59" s="35">
        <v>0.14285950604164904</v>
      </c>
      <c r="H59" s="70">
        <f t="shared" si="1"/>
        <v>0.2059360367060479</v>
      </c>
      <c r="I59" s="138">
        <f t="shared" si="2"/>
        <v>50.249528100793036</v>
      </c>
    </row>
    <row r="60" spans="2:9" s="30" customFormat="1" x14ac:dyDescent="0.25">
      <c r="B60" s="65">
        <v>47</v>
      </c>
      <c r="C60" s="39">
        <v>1.8433290995202103E-2</v>
      </c>
      <c r="D60" s="72">
        <f t="shared" si="0"/>
        <v>6.3061258667796674E-2</v>
      </c>
      <c r="E60" s="60">
        <v>244.33000369651035</v>
      </c>
      <c r="F60" s="35">
        <f t="shared" si="3"/>
        <v>15.407757563409357</v>
      </c>
      <c r="G60" s="35">
        <v>0.14264444768157972</v>
      </c>
      <c r="H60" s="70">
        <f t="shared" si="1"/>
        <v>0.2057057063493764</v>
      </c>
      <c r="I60" s="138">
        <f t="shared" si="2"/>
        <v>50.260075992736411</v>
      </c>
    </row>
    <row r="61" spans="2:9" s="30" customFormat="1" x14ac:dyDescent="0.25">
      <c r="B61" s="65">
        <v>48</v>
      </c>
      <c r="C61" s="39">
        <v>1.8430942096144341E-2</v>
      </c>
      <c r="D61" s="72">
        <f t="shared" si="0"/>
        <v>6.3053222960493802E-2</v>
      </c>
      <c r="E61" s="60">
        <v>244.62953574170567</v>
      </c>
      <c r="F61" s="35">
        <f t="shared" si="3"/>
        <v>15.424680659843855</v>
      </c>
      <c r="G61" s="35">
        <v>0.14244499122015311</v>
      </c>
      <c r="H61" s="70">
        <f t="shared" si="1"/>
        <v>0.2054982141806469</v>
      </c>
      <c r="I61" s="138">
        <f t="shared" si="2"/>
        <v>50.270932730761245</v>
      </c>
    </row>
    <row r="62" spans="2:9" s="30" customFormat="1" x14ac:dyDescent="0.25">
      <c r="B62" s="65">
        <v>49</v>
      </c>
      <c r="C62" s="39">
        <v>1.8430686245047602E-2</v>
      </c>
      <c r="D62" s="72">
        <f t="shared" si="0"/>
        <v>6.3052347680426016E-2</v>
      </c>
      <c r="E62" s="60">
        <v>244.90136625306206</v>
      </c>
      <c r="F62" s="35">
        <f t="shared" si="3"/>
        <v>15.44160609239942</v>
      </c>
      <c r="G62" s="35">
        <v>0.1422610857364891</v>
      </c>
      <c r="H62" s="70">
        <f t="shared" si="1"/>
        <v>0.2053134334169151</v>
      </c>
      <c r="I62" s="138">
        <f t="shared" si="2"/>
        <v>50.281540353909598</v>
      </c>
    </row>
    <row r="63" spans="2:9" s="30" customFormat="1" x14ac:dyDescent="0.25">
      <c r="B63" s="65">
        <v>50</v>
      </c>
      <c r="C63" s="39">
        <v>1.8432503555491614E-2</v>
      </c>
      <c r="D63" s="72">
        <f t="shared" si="0"/>
        <v>6.3058564795102898E-2</v>
      </c>
      <c r="E63" s="60">
        <v>245.14273025928878</v>
      </c>
      <c r="F63" s="35">
        <f t="shared" si="3"/>
        <v>15.458348740103794</v>
      </c>
      <c r="G63" s="35">
        <v>0.14209259582513351</v>
      </c>
      <c r="H63" s="70">
        <f t="shared" si="1"/>
        <v>0.20515116062023642</v>
      </c>
      <c r="I63" s="138">
        <f t="shared" si="2"/>
        <v>50.291315630306642</v>
      </c>
    </row>
    <row r="64" spans="2:9" s="30" customFormat="1" x14ac:dyDescent="0.25">
      <c r="B64" s="65">
        <v>51</v>
      </c>
      <c r="C64" s="39">
        <v>1.843637635826478E-2</v>
      </c>
      <c r="D64" s="72">
        <f t="shared" si="0"/>
        <v>6.3071813857221617E-2</v>
      </c>
      <c r="E64" s="60">
        <v>245.35084476661123</v>
      </c>
      <c r="F64" s="35">
        <f t="shared" si="3"/>
        <v>15.47472281083178</v>
      </c>
      <c r="G64" s="35">
        <v>0.14193930420160675</v>
      </c>
      <c r="H64" s="70">
        <f t="shared" si="1"/>
        <v>0.20501111805882838</v>
      </c>
      <c r="I64" s="138">
        <f t="shared" si="2"/>
        <v>50.29965100228101</v>
      </c>
    </row>
    <row r="65" spans="2:9" s="30" customFormat="1" x14ac:dyDescent="0.25">
      <c r="B65" s="65">
        <v>52</v>
      </c>
      <c r="C65" s="39">
        <v>1.8442289137232115E-2</v>
      </c>
      <c r="D65" s="72">
        <f t="shared" si="0"/>
        <v>6.3092041785267769E-2</v>
      </c>
      <c r="E65" s="60">
        <v>245.52291358240421</v>
      </c>
      <c r="F65" s="35">
        <f t="shared" si="3"/>
        <v>15.490541922981734</v>
      </c>
      <c r="G65" s="35">
        <v>0.14180091428342906</v>
      </c>
      <c r="H65" s="70">
        <f t="shared" si="1"/>
        <v>0.20489295606869684</v>
      </c>
      <c r="I65" s="138">
        <f t="shared" si="2"/>
        <v>50.305915546497999</v>
      </c>
    </row>
    <row r="66" spans="2:9" s="30" customFormat="1" x14ac:dyDescent="0.25">
      <c r="B66" s="65">
        <v>53</v>
      </c>
      <c r="C66" s="39">
        <v>1.8450228472101156E-2</v>
      </c>
      <c r="D66" s="72">
        <f t="shared" si="0"/>
        <v>6.311920266771448E-2</v>
      </c>
      <c r="E66" s="60">
        <v>245.65613202617487</v>
      </c>
      <c r="F66" s="35">
        <f t="shared" si="3"/>
        <v>15.505619183926958</v>
      </c>
      <c r="G66" s="35">
        <v>0.14167705274662121</v>
      </c>
      <c r="H66" s="70">
        <f t="shared" si="1"/>
        <v>0.20479625541433569</v>
      </c>
      <c r="I66" s="138">
        <f t="shared" si="2"/>
        <v>50.309455958530279</v>
      </c>
    </row>
    <row r="67" spans="2:9" s="30" customFormat="1" x14ac:dyDescent="0.25">
      <c r="B67" s="65">
        <v>54</v>
      </c>
      <c r="C67" s="39">
        <v>1.8460182987725893E-2</v>
      </c>
      <c r="D67" s="72">
        <f t="shared" si="0"/>
        <v>6.3153257589588591E-2</v>
      </c>
      <c r="E67" s="60">
        <v>245.74769153561539</v>
      </c>
      <c r="F67" s="35">
        <f t="shared" si="3"/>
        <v>15.519767265595478</v>
      </c>
      <c r="G67" s="35">
        <v>0.14156727205768088</v>
      </c>
      <c r="H67" s="70">
        <f t="shared" si="1"/>
        <v>0.20472052964726947</v>
      </c>
      <c r="I67" s="138">
        <f t="shared" si="2"/>
        <v>50.309597570764986</v>
      </c>
    </row>
    <row r="68" spans="2:9" s="30" customFormat="1" x14ac:dyDescent="0.25">
      <c r="B68" s="65">
        <v>55</v>
      </c>
      <c r="C68" s="39">
        <v>1.8472143309630942E-2</v>
      </c>
      <c r="D68" s="72">
        <f t="shared" si="0"/>
        <v>6.319417448031639E-2</v>
      </c>
      <c r="E68" s="60">
        <v>245.79478417501369</v>
      </c>
      <c r="F68" s="35">
        <f t="shared" si="3"/>
        <v>15.532798477507525</v>
      </c>
      <c r="G68" s="35">
        <v>0.14147105298103535</v>
      </c>
      <c r="H68" s="70">
        <f t="shared" si="1"/>
        <v>0.20466522746135174</v>
      </c>
      <c r="I68" s="138">
        <f t="shared" si="2"/>
        <v>50.305645411993034</v>
      </c>
    </row>
    <row r="69" spans="2:9" s="30" customFormat="1" x14ac:dyDescent="0.25">
      <c r="B69" s="65">
        <v>56</v>
      </c>
      <c r="C69" s="39">
        <v>1.8486102025477253E-2</v>
      </c>
      <c r="D69" s="72">
        <f t="shared" si="0"/>
        <v>6.3241927981895874E-2</v>
      </c>
      <c r="E69" s="60">
        <v>245.7946070529147</v>
      </c>
      <c r="F69" s="35">
        <f t="shared" si="3"/>
        <v>15.544524837578827</v>
      </c>
      <c r="G69" s="35">
        <v>0.14138780706196896</v>
      </c>
      <c r="H69" s="70">
        <f t="shared" si="1"/>
        <v>0.20462973504386484</v>
      </c>
      <c r="I69" s="138">
        <f t="shared" si="2"/>
        <v>50.296885316448808</v>
      </c>
    </row>
    <row r="70" spans="2:9" s="30" customFormat="1" x14ac:dyDescent="0.25">
      <c r="B70" s="65">
        <v>57</v>
      </c>
      <c r="C70" s="39">
        <v>1.8502053652226635E-2</v>
      </c>
      <c r="D70" s="72">
        <f t="shared" si="0"/>
        <v>6.329649933656481E-2</v>
      </c>
      <c r="E70" s="60">
        <v>245.74436665557835</v>
      </c>
      <c r="F70" s="35">
        <f t="shared" si="3"/>
        <v>15.554758140979354</v>
      </c>
      <c r="G70" s="35">
        <v>0.14131687908502702</v>
      </c>
      <c r="H70" s="70">
        <f t="shared" si="1"/>
        <v>0.20461337842159183</v>
      </c>
      <c r="I70" s="138">
        <f t="shared" si="2"/>
        <v>50.282585089472263</v>
      </c>
    </row>
    <row r="71" spans="2:9" s="30" customFormat="1" x14ac:dyDescent="0.25">
      <c r="B71" s="65">
        <v>58</v>
      </c>
      <c r="C71" s="39">
        <v>1.8519994608796369E-2</v>
      </c>
      <c r="D71" s="72">
        <f t="shared" si="0"/>
        <v>6.3357876293250737E-2</v>
      </c>
      <c r="E71" s="60">
        <v>245.6412831024648</v>
      </c>
      <c r="F71" s="35">
        <f t="shared" si="3"/>
        <v>15.563310027321346</v>
      </c>
      <c r="G71" s="35">
        <v>0.14125754950789576</v>
      </c>
      <c r="H71" s="70">
        <f t="shared" si="1"/>
        <v>0.2046154258011465</v>
      </c>
      <c r="I71" s="138">
        <f t="shared" si="2"/>
        <v>50.261995736350805</v>
      </c>
    </row>
    <row r="72" spans="2:9" s="30" customFormat="1" x14ac:dyDescent="0.25">
      <c r="B72" s="65">
        <v>59</v>
      </c>
      <c r="C72" s="39">
        <v>1.8539923194026881E-2</v>
      </c>
      <c r="D72" s="72">
        <f t="shared" si="0"/>
        <v>6.3426053032197227E-2</v>
      </c>
      <c r="E72" s="60">
        <v>245.4825943296986</v>
      </c>
      <c r="F72" s="35">
        <f t="shared" si="3"/>
        <v>15.569992046436822</v>
      </c>
      <c r="G72" s="35">
        <v>0.1412090368707567</v>
      </c>
      <c r="H72" s="70">
        <f t="shared" si="1"/>
        <v>0.20463508990295393</v>
      </c>
      <c r="I72" s="138">
        <f t="shared" si="2"/>
        <v>50.234352760268237</v>
      </c>
    </row>
    <row r="73" spans="2:9" s="30" customFormat="1" x14ac:dyDescent="0.25">
      <c r="B73" s="65">
        <v>60</v>
      </c>
      <c r="C73" s="39">
        <v>1.8561839569815202E-2</v>
      </c>
      <c r="D73" s="72">
        <f t="shared" si="0"/>
        <v>6.3501030107262546E-2</v>
      </c>
      <c r="E73" s="60">
        <v>245.26556020721807</v>
      </c>
      <c r="F73" s="35">
        <f t="shared" si="3"/>
        <v>15.574615722993169</v>
      </c>
      <c r="G73" s="35">
        <v>0.14117050018111849</v>
      </c>
      <c r="H73" s="71">
        <f t="shared" si="1"/>
        <v>0.20467153028838103</v>
      </c>
      <c r="I73" s="139">
        <f t="shared" si="2"/>
        <v>50.198877534648375</v>
      </c>
    </row>
    <row r="74" spans="2:9" s="30" customFormat="1" x14ac:dyDescent="0.25">
      <c r="D74" s="32"/>
      <c r="I74" s="32"/>
    </row>
    <row r="75" spans="2:9" s="30" customFormat="1" x14ac:dyDescent="0.25">
      <c r="D75" s="32"/>
      <c r="I75" s="32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B1:I130"/>
  <sheetViews>
    <sheetView zoomScale="70" zoomScaleNormal="70" workbookViewId="0">
      <selection activeCell="B13" sqref="B13:E15"/>
    </sheetView>
  </sheetViews>
  <sheetFormatPr defaultRowHeight="15" x14ac:dyDescent="0.25"/>
  <cols>
    <col min="1" max="1" width="9.140625" style="95"/>
    <col min="2" max="2" width="22" style="95" customWidth="1"/>
    <col min="3" max="3" width="27.42578125" style="97" customWidth="1"/>
    <col min="4" max="4" width="51.85546875" style="97" customWidth="1"/>
    <col min="5" max="5" width="23.5703125" style="95" customWidth="1"/>
    <col min="6" max="6" width="9.140625" style="95"/>
    <col min="7" max="7" width="15.42578125" style="95" customWidth="1"/>
    <col min="8" max="8" width="21.42578125" style="95" customWidth="1"/>
    <col min="9" max="9" width="14.7109375" style="95" customWidth="1"/>
    <col min="10" max="16384" width="9.140625" style="95"/>
  </cols>
  <sheetData>
    <row r="1" spans="2:9" ht="22.5" customHeight="1" x14ac:dyDescent="0.25">
      <c r="B1" s="289" t="s">
        <v>248</v>
      </c>
      <c r="C1" s="290"/>
      <c r="D1" s="290"/>
      <c r="E1" s="291"/>
    </row>
    <row r="2" spans="2:9" x14ac:dyDescent="0.25">
      <c r="B2" s="292"/>
      <c r="C2" s="293"/>
      <c r="D2" s="293"/>
      <c r="E2" s="292" t="s">
        <v>13</v>
      </c>
    </row>
    <row r="3" spans="2:9" ht="30" customHeight="1" x14ac:dyDescent="0.25">
      <c r="B3" s="5" t="s">
        <v>86</v>
      </c>
      <c r="C3" s="6" t="s">
        <v>87</v>
      </c>
      <c r="D3" s="257" t="s">
        <v>249</v>
      </c>
      <c r="E3" s="5">
        <v>177</v>
      </c>
    </row>
    <row r="4" spans="2:9" ht="60" x14ac:dyDescent="0.25">
      <c r="B4" s="5" t="s">
        <v>4</v>
      </c>
      <c r="C4" s="6" t="s">
        <v>5</v>
      </c>
      <c r="D4" s="281"/>
      <c r="E4" s="6">
        <v>14.85</v>
      </c>
    </row>
    <row r="5" spans="2:9" ht="30" x14ac:dyDescent="0.25">
      <c r="B5" s="5" t="s">
        <v>6</v>
      </c>
      <c r="C5" s="6" t="s">
        <v>7</v>
      </c>
      <c r="D5" s="281"/>
      <c r="E5" s="6">
        <v>0.13500000000000001</v>
      </c>
    </row>
    <row r="6" spans="2:9" ht="30" x14ac:dyDescent="0.25">
      <c r="B6" s="5" t="s">
        <v>8</v>
      </c>
      <c r="C6" s="6" t="s">
        <v>9</v>
      </c>
      <c r="D6" s="281"/>
      <c r="E6" s="5">
        <v>1.5</v>
      </c>
    </row>
    <row r="7" spans="2:9" x14ac:dyDescent="0.25">
      <c r="B7" s="5" t="s">
        <v>250</v>
      </c>
      <c r="C7" s="6"/>
      <c r="D7" s="281"/>
      <c r="E7" s="5">
        <v>0.9</v>
      </c>
    </row>
    <row r="8" spans="2:9" x14ac:dyDescent="0.25">
      <c r="B8" s="5" t="s">
        <v>251</v>
      </c>
      <c r="C8" s="6"/>
      <c r="D8" s="258"/>
      <c r="E8" s="5">
        <v>0.5</v>
      </c>
    </row>
    <row r="9" spans="2:9" ht="30" customHeight="1" x14ac:dyDescent="0.25">
      <c r="B9" s="6" t="s">
        <v>18</v>
      </c>
      <c r="C9" s="6" t="s">
        <v>85</v>
      </c>
      <c r="D9" s="6"/>
      <c r="E9" s="197">
        <v>168.6</v>
      </c>
    </row>
    <row r="10" spans="2:9" ht="30" customHeight="1" x14ac:dyDescent="0.25">
      <c r="B10" s="282" t="s">
        <v>19</v>
      </c>
      <c r="C10" s="6" t="s">
        <v>275</v>
      </c>
      <c r="D10" s="283" t="s">
        <v>350</v>
      </c>
      <c r="E10" s="284">
        <f>$E$3- 2 * ($E$3 - $E$9) / (EXP($E$5 * (3 - $E$4)) + EXP($E$6 * (3- $E$4)))</f>
        <v>93.809863263097313</v>
      </c>
    </row>
    <row r="11" spans="2:9" ht="30" customHeight="1" x14ac:dyDescent="0.25">
      <c r="B11" s="282" t="s">
        <v>20</v>
      </c>
      <c r="C11" s="6" t="s">
        <v>276</v>
      </c>
      <c r="D11" s="283" t="s">
        <v>351</v>
      </c>
      <c r="E11" s="284">
        <f>$E$3* (1 - 1 / (1 + ((3+ 0.75) / $E$8)^$E$7))</f>
        <v>152.17996729740287</v>
      </c>
    </row>
    <row r="12" spans="2:9" ht="30" customHeight="1" x14ac:dyDescent="0.25">
      <c r="B12" s="92"/>
      <c r="C12" s="92"/>
      <c r="D12" s="92"/>
      <c r="E12" s="96"/>
    </row>
    <row r="13" spans="2:9" ht="30" customHeight="1" x14ac:dyDescent="0.25">
      <c r="B13" s="322" t="s">
        <v>252</v>
      </c>
      <c r="C13" s="322"/>
      <c r="D13" s="322"/>
      <c r="E13" s="322"/>
    </row>
    <row r="14" spans="2:9" ht="30" customHeight="1" x14ac:dyDescent="0.25">
      <c r="B14" s="322" t="s">
        <v>220</v>
      </c>
      <c r="C14" s="322"/>
      <c r="D14" s="322"/>
      <c r="E14" s="322"/>
      <c r="G14" s="299" t="s">
        <v>15</v>
      </c>
      <c r="H14" s="296" t="s">
        <v>220</v>
      </c>
      <c r="I14" s="296" t="s">
        <v>221</v>
      </c>
    </row>
    <row r="15" spans="2:9" x14ac:dyDescent="0.25">
      <c r="B15" s="323" t="s">
        <v>15</v>
      </c>
      <c r="C15" s="323" t="s">
        <v>17</v>
      </c>
      <c r="D15" s="323" t="s">
        <v>16</v>
      </c>
      <c r="E15" s="323" t="s">
        <v>364</v>
      </c>
      <c r="G15" s="300"/>
      <c r="H15" s="298"/>
      <c r="I15" s="298"/>
    </row>
    <row r="16" spans="2:9" x14ac:dyDescent="0.25">
      <c r="B16" s="226">
        <v>0.01</v>
      </c>
      <c r="C16" s="226"/>
      <c r="D16" s="226"/>
      <c r="E16" s="160">
        <v>35</v>
      </c>
      <c r="G16" s="227"/>
      <c r="H16" s="225"/>
      <c r="I16" s="225"/>
    </row>
    <row r="17" spans="2:9" ht="29.25" x14ac:dyDescent="0.25">
      <c r="B17" s="158">
        <v>0.5</v>
      </c>
      <c r="C17" s="159"/>
      <c r="D17" s="153" t="s">
        <v>352</v>
      </c>
      <c r="E17" s="160">
        <f>177* (1 - 1 / (1 + ((B17 + 0.75) /0.5)^0.9)) * 93.81/ 152.18</f>
        <v>75.856044590075541</v>
      </c>
      <c r="G17" s="198" t="s">
        <v>289</v>
      </c>
      <c r="H17" s="6">
        <v>75.85595032375501</v>
      </c>
      <c r="I17" s="94"/>
    </row>
    <row r="18" spans="2:9" x14ac:dyDescent="0.25">
      <c r="B18" s="158">
        <v>1</v>
      </c>
      <c r="C18" s="159"/>
      <c r="D18" s="159"/>
      <c r="E18" s="160">
        <f t="shared" ref="E18:E19" si="0">177* (1 - 1 / (1 + ((B18 + 0.75) /0.5)^0.9)) * 93.81/ 152.18</f>
        <v>82.418992336377414</v>
      </c>
      <c r="G18" s="199" t="s">
        <v>290</v>
      </c>
      <c r="H18" s="6">
        <v>86.712818483109899</v>
      </c>
      <c r="I18" s="94"/>
    </row>
    <row r="19" spans="2:9" x14ac:dyDescent="0.25">
      <c r="B19" s="155">
        <v>2</v>
      </c>
      <c r="C19" s="7"/>
      <c r="D19" s="7"/>
      <c r="E19" s="157">
        <f t="shared" si="0"/>
        <v>89.757289332090551</v>
      </c>
      <c r="G19" s="199" t="s">
        <v>291</v>
      </c>
      <c r="H19" s="6">
        <v>92.035927660337563</v>
      </c>
      <c r="I19" s="94">
        <v>91.9</v>
      </c>
    </row>
    <row r="20" spans="2:9" ht="29.25" x14ac:dyDescent="0.25">
      <c r="B20" s="156">
        <v>3</v>
      </c>
      <c r="C20" s="4"/>
      <c r="D20" s="4" t="s">
        <v>353</v>
      </c>
      <c r="E20" s="57">
        <f>177 - 2 * (177 - 168.6) / (EXP(0.135 * (B20 - 14.85)) + EXP(1.5 * (B20 - 14.85)))</f>
        <v>93.809863263097313</v>
      </c>
      <c r="G20" s="199" t="s">
        <v>292</v>
      </c>
      <c r="H20" s="197">
        <v>99.239880298662698</v>
      </c>
      <c r="I20" s="94">
        <v>98.75</v>
      </c>
    </row>
    <row r="21" spans="2:9" x14ac:dyDescent="0.25">
      <c r="B21" s="155">
        <v>4</v>
      </c>
      <c r="C21" s="7"/>
      <c r="D21" s="7"/>
      <c r="E21" s="57">
        <f t="shared" ref="E21:E77" si="1">177 - 2 * (177 - 168.6) / (EXP(0.135 * (B21 - 14.85)) + EXP(1.5 * (B21 - 14.85)))</f>
        <v>104.31547385296165</v>
      </c>
      <c r="G21" s="199" t="s">
        <v>293</v>
      </c>
      <c r="H21" s="197">
        <v>109.05978314395435</v>
      </c>
      <c r="I21" s="94">
        <v>107.3</v>
      </c>
    </row>
    <row r="22" spans="2:9" x14ac:dyDescent="0.25">
      <c r="B22" s="158">
        <v>5</v>
      </c>
      <c r="C22" s="159"/>
      <c r="D22" s="159"/>
      <c r="E22" s="161">
        <f t="shared" si="1"/>
        <v>113.49444144934381</v>
      </c>
      <c r="G22" s="199" t="s">
        <v>294</v>
      </c>
      <c r="H22" s="197">
        <v>117.6396781490017</v>
      </c>
      <c r="I22" s="94">
        <v>114.4</v>
      </c>
    </row>
    <row r="23" spans="2:9" x14ac:dyDescent="0.25">
      <c r="B23" s="155">
        <v>6</v>
      </c>
      <c r="C23" s="7"/>
      <c r="D23" s="7"/>
      <c r="E23" s="57">
        <f t="shared" si="1"/>
        <v>121.51441728971477</v>
      </c>
      <c r="G23" s="199" t="s">
        <v>295</v>
      </c>
      <c r="H23" s="197">
        <v>125.13637560309959</v>
      </c>
      <c r="I23" s="94">
        <v>120.8</v>
      </c>
    </row>
    <row r="24" spans="2:9" x14ac:dyDescent="0.25">
      <c r="B24" s="155">
        <v>7</v>
      </c>
      <c r="C24" s="7"/>
      <c r="D24" s="7"/>
      <c r="E24" s="57">
        <f t="shared" si="1"/>
        <v>128.52216501227917</v>
      </c>
      <c r="G24" s="199" t="s">
        <v>296</v>
      </c>
      <c r="H24" s="197">
        <v>131.68740857768131</v>
      </c>
      <c r="I24" s="94">
        <v>126.4</v>
      </c>
    </row>
    <row r="25" spans="2:9" ht="30" customHeight="1" x14ac:dyDescent="0.25">
      <c r="B25" s="155">
        <v>8</v>
      </c>
      <c r="C25" s="7"/>
      <c r="D25" s="7"/>
      <c r="E25" s="57">
        <f t="shared" si="1"/>
        <v>134.64688608440872</v>
      </c>
      <c r="G25" s="199" t="s">
        <v>297</v>
      </c>
      <c r="H25" s="197">
        <v>137.41473886433778</v>
      </c>
      <c r="I25" s="94">
        <v>131.25</v>
      </c>
    </row>
    <row r="26" spans="2:9" ht="15" customHeight="1" x14ac:dyDescent="0.25">
      <c r="B26" s="155">
        <v>9</v>
      </c>
      <c r="C26" s="7"/>
      <c r="D26" s="7"/>
      <c r="E26" s="57">
        <f t="shared" si="1"/>
        <v>140.00478806994821</v>
      </c>
      <c r="G26" s="199" t="s">
        <v>298</v>
      </c>
      <c r="H26" s="197">
        <v>142.43106557952416</v>
      </c>
      <c r="I26" s="94">
        <v>136.80000000000001</v>
      </c>
    </row>
    <row r="27" spans="2:9" ht="15" customHeight="1" x14ac:dyDescent="0.25">
      <c r="B27" s="158">
        <v>10</v>
      </c>
      <c r="C27" s="159"/>
      <c r="D27" s="159"/>
      <c r="E27" s="161">
        <f t="shared" si="1"/>
        <v>144.70873770125988</v>
      </c>
      <c r="G27" s="199" t="s">
        <v>299</v>
      </c>
      <c r="H27" s="197">
        <v>146.85574368642318</v>
      </c>
      <c r="I27" s="94">
        <v>143.1</v>
      </c>
    </row>
    <row r="28" spans="2:9" ht="15" customHeight="1" x14ac:dyDescent="0.25">
      <c r="B28" s="155">
        <v>11</v>
      </c>
      <c r="C28" s="7"/>
      <c r="D28" s="7"/>
      <c r="E28" s="57">
        <f t="shared" si="1"/>
        <v>148.89570469529519</v>
      </c>
      <c r="G28" s="199" t="s">
        <v>300</v>
      </c>
      <c r="H28" s="197">
        <v>150.86298897392746</v>
      </c>
      <c r="I28" s="94">
        <v>148.69999999999999</v>
      </c>
    </row>
    <row r="29" spans="2:9" ht="15" customHeight="1" x14ac:dyDescent="0.25">
      <c r="B29" s="155">
        <v>12</v>
      </c>
      <c r="C29" s="7"/>
      <c r="D29" s="7"/>
      <c r="E29" s="57">
        <f t="shared" si="1"/>
        <v>152.81107826142005</v>
      </c>
      <c r="G29" s="199" t="s">
        <v>301</v>
      </c>
      <c r="H29" s="197">
        <v>154.82472431956916</v>
      </c>
      <c r="I29" s="94">
        <v>154.9</v>
      </c>
    </row>
    <row r="30" spans="2:9" ht="15" customHeight="1" x14ac:dyDescent="0.25">
      <c r="B30" s="155">
        <v>13</v>
      </c>
      <c r="C30" s="7"/>
      <c r="D30" s="7"/>
      <c r="E30" s="57">
        <f t="shared" si="1"/>
        <v>157.03197224257593</v>
      </c>
      <c r="G30" s="199" t="s">
        <v>302</v>
      </c>
      <c r="H30" s="197">
        <v>159.5976491103111</v>
      </c>
      <c r="I30" s="94">
        <v>161.1</v>
      </c>
    </row>
    <row r="31" spans="2:9" ht="15" customHeight="1" x14ac:dyDescent="0.25">
      <c r="B31" s="155">
        <v>14</v>
      </c>
      <c r="C31" s="7"/>
      <c r="D31" s="7"/>
      <c r="E31" s="57">
        <f t="shared" si="1"/>
        <v>162.65353259116162</v>
      </c>
      <c r="G31" s="199" t="s">
        <v>303</v>
      </c>
      <c r="H31" s="197">
        <v>166.12905811961821</v>
      </c>
      <c r="I31" s="94">
        <v>167.45</v>
      </c>
    </row>
    <row r="32" spans="2:9" ht="15" customHeight="1" x14ac:dyDescent="0.25">
      <c r="B32" s="155">
        <v>15</v>
      </c>
      <c r="C32" s="7"/>
      <c r="D32" s="7"/>
      <c r="E32" s="57">
        <f t="shared" si="1"/>
        <v>169.60816868833581</v>
      </c>
      <c r="G32" s="199" t="s">
        <v>304</v>
      </c>
      <c r="H32" s="197">
        <v>172.51148063476495</v>
      </c>
      <c r="I32" s="94">
        <v>173.25</v>
      </c>
    </row>
    <row r="33" spans="2:9" ht="15" customHeight="1" x14ac:dyDescent="0.25">
      <c r="B33" s="155">
        <v>16</v>
      </c>
      <c r="C33" s="7"/>
      <c r="D33" s="7"/>
      <c r="E33" s="57">
        <f t="shared" si="1"/>
        <v>174.52229599621478</v>
      </c>
      <c r="G33" s="199" t="s">
        <v>305</v>
      </c>
      <c r="H33" s="197">
        <v>175.72060584998343</v>
      </c>
      <c r="I33" s="94">
        <v>175.6</v>
      </c>
    </row>
    <row r="34" spans="2:9" ht="15" customHeight="1" x14ac:dyDescent="0.25">
      <c r="B34" s="155">
        <v>17</v>
      </c>
      <c r="C34" s="7"/>
      <c r="D34" s="7"/>
      <c r="E34" s="57">
        <f t="shared" si="1"/>
        <v>176.36580645365893</v>
      </c>
      <c r="G34" s="199" t="s">
        <v>306</v>
      </c>
      <c r="H34" s="197">
        <v>176.69275912793012</v>
      </c>
      <c r="I34" s="94">
        <v>173.9</v>
      </c>
    </row>
    <row r="35" spans="2:9" ht="15" customHeight="1" x14ac:dyDescent="0.25">
      <c r="B35" s="155">
        <v>18</v>
      </c>
      <c r="C35" s="7"/>
      <c r="D35" s="7"/>
      <c r="E35" s="57">
        <f t="shared" si="1"/>
        <v>176.85296752395814</v>
      </c>
      <c r="G35" s="199" t="s">
        <v>307</v>
      </c>
      <c r="H35" s="197">
        <v>176.93008368929898</v>
      </c>
      <c r="I35" s="94">
        <v>174.4</v>
      </c>
    </row>
    <row r="36" spans="2:9" ht="15" customHeight="1" x14ac:dyDescent="0.25">
      <c r="B36" s="155">
        <v>19</v>
      </c>
      <c r="C36" s="7"/>
      <c r="D36" s="7"/>
      <c r="E36" s="57">
        <f t="shared" si="1"/>
        <v>176.96686221593114</v>
      </c>
      <c r="G36" s="199" t="s">
        <v>308</v>
      </c>
      <c r="H36" s="197">
        <v>176.98432002939441</v>
      </c>
      <c r="I36" s="94">
        <v>177.05</v>
      </c>
    </row>
    <row r="37" spans="2:9" ht="15" customHeight="1" x14ac:dyDescent="0.25">
      <c r="B37" s="155">
        <v>20</v>
      </c>
      <c r="C37" s="7"/>
      <c r="D37" s="7"/>
      <c r="E37" s="57">
        <f t="shared" si="1"/>
        <v>176.99258689482218</v>
      </c>
      <c r="G37" s="199" t="s">
        <v>309</v>
      </c>
      <c r="H37" s="197">
        <v>176.99649676456491</v>
      </c>
      <c r="I37" s="94">
        <v>175.95</v>
      </c>
    </row>
    <row r="38" spans="2:9" ht="15" customHeight="1" x14ac:dyDescent="0.25">
      <c r="B38" s="155">
        <v>21</v>
      </c>
      <c r="C38" s="7"/>
      <c r="D38" s="7"/>
      <c r="E38" s="57">
        <f t="shared" si="1"/>
        <v>176.99834482268849</v>
      </c>
      <c r="G38" s="199" t="s">
        <v>310</v>
      </c>
      <c r="H38" s="197">
        <v>176.99921806218606</v>
      </c>
      <c r="I38" s="94">
        <v>175.05</v>
      </c>
    </row>
    <row r="39" spans="2:9" ht="15" customHeight="1" x14ac:dyDescent="0.25">
      <c r="B39" s="155">
        <v>22</v>
      </c>
      <c r="C39" s="7"/>
      <c r="D39" s="7"/>
      <c r="E39" s="57">
        <f t="shared" si="1"/>
        <v>176.99963061786033</v>
      </c>
      <c r="G39" s="199" t="s">
        <v>311</v>
      </c>
      <c r="H39" s="197">
        <v>176.99982551124972</v>
      </c>
      <c r="I39" s="94">
        <v>173.55</v>
      </c>
    </row>
    <row r="40" spans="2:9" ht="15" customHeight="1" x14ac:dyDescent="0.25">
      <c r="B40" s="155">
        <v>23</v>
      </c>
      <c r="C40" s="7"/>
      <c r="D40" s="7"/>
      <c r="E40" s="57">
        <f t="shared" si="1"/>
        <v>176.99991757616115</v>
      </c>
      <c r="G40" s="199" t="s">
        <v>312</v>
      </c>
      <c r="H40" s="197">
        <v>176.99996106545146</v>
      </c>
      <c r="I40" s="94">
        <v>174.5</v>
      </c>
    </row>
    <row r="41" spans="2:9" ht="15" customHeight="1" x14ac:dyDescent="0.25">
      <c r="B41" s="155">
        <v>24</v>
      </c>
      <c r="C41" s="7"/>
      <c r="D41" s="7"/>
      <c r="E41" s="57">
        <f t="shared" si="1"/>
        <v>176.99998160855375</v>
      </c>
      <c r="G41" s="199" t="s">
        <v>313</v>
      </c>
      <c r="H41" s="197">
        <v>176.99999131247975</v>
      </c>
      <c r="I41" s="94">
        <v>177.9</v>
      </c>
    </row>
    <row r="42" spans="2:9" ht="15" customHeight="1" x14ac:dyDescent="0.25">
      <c r="B42" s="158">
        <v>25</v>
      </c>
      <c r="C42" s="159"/>
      <c r="D42" s="159"/>
      <c r="E42" s="161">
        <f t="shared" si="1"/>
        <v>176.99999589630215</v>
      </c>
      <c r="G42" s="199" t="s">
        <v>314</v>
      </c>
      <c r="H42" s="197">
        <v>176.99999806154946</v>
      </c>
      <c r="I42" s="94">
        <v>174.95</v>
      </c>
    </row>
    <row r="43" spans="2:9" ht="15" customHeight="1" x14ac:dyDescent="0.25">
      <c r="B43" s="155">
        <v>26</v>
      </c>
      <c r="C43" s="7"/>
      <c r="D43" s="7"/>
      <c r="E43" s="57">
        <f t="shared" si="1"/>
        <v>176.99999908434057</v>
      </c>
      <c r="G43" s="199" t="s">
        <v>315</v>
      </c>
      <c r="H43" s="197">
        <v>176.99999956747305</v>
      </c>
      <c r="I43" s="94">
        <v>176.2</v>
      </c>
    </row>
    <row r="44" spans="2:9" ht="15" customHeight="1" x14ac:dyDescent="0.25">
      <c r="B44" s="155">
        <v>27</v>
      </c>
      <c r="C44" s="7"/>
      <c r="D44" s="7"/>
      <c r="E44" s="57">
        <f t="shared" si="1"/>
        <v>176.99999979568872</v>
      </c>
      <c r="G44" s="199" t="s">
        <v>316</v>
      </c>
      <c r="H44" s="197">
        <v>176.99999990349019</v>
      </c>
      <c r="I44" s="94">
        <v>177.65</v>
      </c>
    </row>
    <row r="45" spans="2:9" ht="15" customHeight="1" x14ac:dyDescent="0.25">
      <c r="B45" s="155">
        <v>28</v>
      </c>
      <c r="C45" s="7"/>
      <c r="D45" s="7"/>
      <c r="E45" s="57">
        <f t="shared" si="1"/>
        <v>176.999999954412</v>
      </c>
      <c r="G45" s="199" t="s">
        <v>317</v>
      </c>
      <c r="H45" s="197">
        <v>176.99999997846575</v>
      </c>
      <c r="I45" s="94">
        <v>177.2</v>
      </c>
    </row>
    <row r="46" spans="2:9" ht="15" customHeight="1" x14ac:dyDescent="0.25">
      <c r="B46" s="155">
        <v>29</v>
      </c>
      <c r="C46" s="7"/>
      <c r="D46" s="7"/>
      <c r="E46" s="57">
        <f t="shared" si="1"/>
        <v>176.99999998982793</v>
      </c>
      <c r="G46" s="199" t="s">
        <v>318</v>
      </c>
      <c r="H46" s="197">
        <v>176.99999999519505</v>
      </c>
      <c r="I46" s="94">
        <v>175.6</v>
      </c>
    </row>
    <row r="47" spans="2:9" ht="15" customHeight="1" x14ac:dyDescent="0.25">
      <c r="B47" s="155">
        <v>30</v>
      </c>
      <c r="C47" s="7"/>
      <c r="D47" s="7"/>
      <c r="E47" s="57">
        <f t="shared" si="1"/>
        <v>176.9999999977303</v>
      </c>
      <c r="G47" s="199" t="s">
        <v>319</v>
      </c>
      <c r="H47" s="197">
        <v>176.99999999892788</v>
      </c>
      <c r="I47" s="94">
        <v>171.75</v>
      </c>
    </row>
    <row r="48" spans="2:9" ht="15" customHeight="1" x14ac:dyDescent="0.25">
      <c r="B48" s="155">
        <v>31</v>
      </c>
      <c r="C48" s="7"/>
      <c r="D48" s="7"/>
      <c r="E48" s="57">
        <f t="shared" si="1"/>
        <v>176.99999999949355</v>
      </c>
      <c r="G48" s="199" t="s">
        <v>320</v>
      </c>
      <c r="H48" s="197">
        <v>176.99999999976077</v>
      </c>
      <c r="I48" s="94">
        <v>175.9</v>
      </c>
    </row>
    <row r="49" spans="2:9" ht="15" customHeight="1" x14ac:dyDescent="0.25">
      <c r="B49" s="155">
        <v>32</v>
      </c>
      <c r="C49" s="7"/>
      <c r="D49" s="7"/>
      <c r="E49" s="57">
        <f t="shared" si="1"/>
        <v>176.999999999887</v>
      </c>
      <c r="G49" s="199" t="s">
        <v>321</v>
      </c>
      <c r="H49" s="197">
        <v>176.99999999994662</v>
      </c>
      <c r="I49" s="94">
        <v>174.8</v>
      </c>
    </row>
    <row r="50" spans="2:9" ht="15" customHeight="1" x14ac:dyDescent="0.25">
      <c r="B50" s="155">
        <v>33</v>
      </c>
      <c r="C50" s="7"/>
      <c r="D50" s="7"/>
      <c r="E50" s="57">
        <f t="shared" si="1"/>
        <v>176.99999999997479</v>
      </c>
      <c r="G50" s="199" t="s">
        <v>322</v>
      </c>
      <c r="H50" s="197">
        <v>176.99999999998809</v>
      </c>
      <c r="I50" s="94">
        <v>174.8</v>
      </c>
    </row>
    <row r="51" spans="2:9" ht="15" customHeight="1" x14ac:dyDescent="0.25">
      <c r="B51" s="155">
        <v>34</v>
      </c>
      <c r="C51" s="7"/>
      <c r="D51" s="7"/>
      <c r="E51" s="57">
        <f t="shared" si="1"/>
        <v>176.99999999999437</v>
      </c>
      <c r="G51" s="199" t="s">
        <v>323</v>
      </c>
      <c r="H51" s="197">
        <v>176.99999999999733</v>
      </c>
      <c r="I51" s="94">
        <v>176.7</v>
      </c>
    </row>
    <row r="52" spans="2:9" ht="15" customHeight="1" x14ac:dyDescent="0.25">
      <c r="B52" s="155">
        <v>35</v>
      </c>
      <c r="C52" s="7"/>
      <c r="D52" s="7"/>
      <c r="E52" s="57">
        <f t="shared" si="1"/>
        <v>176.99999999999875</v>
      </c>
      <c r="G52" s="199" t="s">
        <v>324</v>
      </c>
      <c r="H52" s="197">
        <v>176.9999999999994</v>
      </c>
      <c r="I52" s="94">
        <v>176.3</v>
      </c>
    </row>
    <row r="53" spans="2:9" ht="15" customHeight="1" x14ac:dyDescent="0.25">
      <c r="B53" s="155">
        <v>36</v>
      </c>
      <c r="C53" s="7"/>
      <c r="D53" s="7"/>
      <c r="E53" s="57">
        <f t="shared" si="1"/>
        <v>176.99999999999972</v>
      </c>
      <c r="G53" s="199" t="s">
        <v>325</v>
      </c>
      <c r="H53" s="197">
        <v>176.99999999999986</v>
      </c>
      <c r="I53" s="94">
        <v>176.05</v>
      </c>
    </row>
    <row r="54" spans="2:9" ht="15" customHeight="1" x14ac:dyDescent="0.25">
      <c r="B54" s="155">
        <v>37</v>
      </c>
      <c r="C54" s="7"/>
      <c r="D54" s="7"/>
      <c r="E54" s="57">
        <f t="shared" si="1"/>
        <v>176.99999999999994</v>
      </c>
      <c r="G54" s="199" t="s">
        <v>326</v>
      </c>
      <c r="H54" s="197">
        <v>176.99999999999997</v>
      </c>
      <c r="I54" s="94">
        <v>175.9</v>
      </c>
    </row>
    <row r="55" spans="2:9" ht="15" customHeight="1" x14ac:dyDescent="0.25">
      <c r="B55" s="155">
        <v>38</v>
      </c>
      <c r="C55" s="7"/>
      <c r="D55" s="7"/>
      <c r="E55" s="57">
        <f t="shared" si="1"/>
        <v>177</v>
      </c>
      <c r="G55" s="199" t="s">
        <v>327</v>
      </c>
      <c r="H55" s="197">
        <v>177</v>
      </c>
      <c r="I55" s="94">
        <v>176.8</v>
      </c>
    </row>
    <row r="56" spans="2:9" ht="15" customHeight="1" x14ac:dyDescent="0.25">
      <c r="B56" s="155">
        <v>39</v>
      </c>
      <c r="C56" s="7"/>
      <c r="D56" s="7"/>
      <c r="E56" s="57">
        <f t="shared" si="1"/>
        <v>177</v>
      </c>
      <c r="G56" s="199" t="s">
        <v>328</v>
      </c>
      <c r="H56" s="197">
        <v>177</v>
      </c>
      <c r="I56" s="94">
        <v>174.4</v>
      </c>
    </row>
    <row r="57" spans="2:9" ht="15" customHeight="1" x14ac:dyDescent="0.25">
      <c r="B57" s="155">
        <v>40</v>
      </c>
      <c r="C57" s="7"/>
      <c r="D57" s="7"/>
      <c r="E57" s="57">
        <f t="shared" si="1"/>
        <v>177</v>
      </c>
      <c r="G57" s="199" t="s">
        <v>329</v>
      </c>
      <c r="H57" s="197">
        <v>177</v>
      </c>
      <c r="I57" s="94">
        <v>175.5</v>
      </c>
    </row>
    <row r="58" spans="2:9" ht="15" customHeight="1" x14ac:dyDescent="0.25">
      <c r="B58" s="155">
        <v>41</v>
      </c>
      <c r="C58" s="7"/>
      <c r="D58" s="7"/>
      <c r="E58" s="57">
        <f t="shared" si="1"/>
        <v>177</v>
      </c>
      <c r="G58" s="199" t="s">
        <v>330</v>
      </c>
      <c r="H58" s="197">
        <v>177</v>
      </c>
      <c r="I58" s="94">
        <v>174.85</v>
      </c>
    </row>
    <row r="59" spans="2:9" ht="15" customHeight="1" x14ac:dyDescent="0.25">
      <c r="B59" s="155">
        <v>42</v>
      </c>
      <c r="C59" s="7"/>
      <c r="D59" s="7"/>
      <c r="E59" s="57">
        <f t="shared" si="1"/>
        <v>177</v>
      </c>
      <c r="G59" s="199" t="s">
        <v>331</v>
      </c>
      <c r="H59" s="197">
        <v>177</v>
      </c>
      <c r="I59" s="94">
        <v>174.45</v>
      </c>
    </row>
    <row r="60" spans="2:9" ht="15" customHeight="1" x14ac:dyDescent="0.25">
      <c r="B60" s="155">
        <v>43</v>
      </c>
      <c r="C60" s="7"/>
      <c r="D60" s="7"/>
      <c r="E60" s="57">
        <f t="shared" si="1"/>
        <v>177</v>
      </c>
      <c r="G60" s="199" t="s">
        <v>332</v>
      </c>
      <c r="H60" s="197">
        <v>177</v>
      </c>
      <c r="I60" s="94">
        <v>177.7</v>
      </c>
    </row>
    <row r="61" spans="2:9" ht="15" customHeight="1" x14ac:dyDescent="0.25">
      <c r="B61" s="155">
        <v>44</v>
      </c>
      <c r="C61" s="7"/>
      <c r="D61" s="7"/>
      <c r="E61" s="57">
        <f t="shared" si="1"/>
        <v>177</v>
      </c>
      <c r="G61" s="199" t="s">
        <v>333</v>
      </c>
      <c r="H61" s="197">
        <v>177</v>
      </c>
      <c r="I61" s="94">
        <v>172.9</v>
      </c>
    </row>
    <row r="62" spans="2:9" ht="15" customHeight="1" x14ac:dyDescent="0.25">
      <c r="B62" s="155">
        <v>45</v>
      </c>
      <c r="C62" s="7"/>
      <c r="D62" s="7"/>
      <c r="E62" s="57">
        <f t="shared" si="1"/>
        <v>177</v>
      </c>
      <c r="G62" s="199" t="s">
        <v>334</v>
      </c>
      <c r="H62" s="197">
        <v>177</v>
      </c>
      <c r="I62" s="94">
        <v>178</v>
      </c>
    </row>
    <row r="63" spans="2:9" ht="15" customHeight="1" x14ac:dyDescent="0.25">
      <c r="B63" s="155">
        <v>46</v>
      </c>
      <c r="C63" s="7"/>
      <c r="D63" s="7"/>
      <c r="E63" s="57">
        <f t="shared" si="1"/>
        <v>177</v>
      </c>
      <c r="G63" s="199" t="s">
        <v>335</v>
      </c>
      <c r="H63" s="197">
        <v>177</v>
      </c>
      <c r="I63" s="94">
        <v>176.5</v>
      </c>
    </row>
    <row r="64" spans="2:9" ht="15" customHeight="1" x14ac:dyDescent="0.25">
      <c r="B64" s="155">
        <v>47</v>
      </c>
      <c r="C64" s="7"/>
      <c r="D64" s="7"/>
      <c r="E64" s="57">
        <f t="shared" si="1"/>
        <v>177</v>
      </c>
      <c r="G64" s="199" t="s">
        <v>336</v>
      </c>
      <c r="H64" s="197">
        <v>177</v>
      </c>
      <c r="I64" s="94">
        <v>175.5</v>
      </c>
    </row>
    <row r="65" spans="2:9" ht="15" customHeight="1" x14ac:dyDescent="0.25">
      <c r="B65" s="155">
        <v>48</v>
      </c>
      <c r="C65" s="7"/>
      <c r="D65" s="7"/>
      <c r="E65" s="57">
        <f t="shared" si="1"/>
        <v>177</v>
      </c>
      <c r="G65" s="199" t="s">
        <v>337</v>
      </c>
      <c r="H65" s="197">
        <v>177</v>
      </c>
      <c r="I65" s="94">
        <v>176</v>
      </c>
    </row>
    <row r="66" spans="2:9" ht="15" customHeight="1" x14ac:dyDescent="0.25">
      <c r="B66" s="155">
        <v>49</v>
      </c>
      <c r="C66" s="7"/>
      <c r="D66" s="7"/>
      <c r="E66" s="57">
        <f t="shared" si="1"/>
        <v>177</v>
      </c>
      <c r="G66" s="199" t="s">
        <v>338</v>
      </c>
      <c r="H66" s="197">
        <v>177</v>
      </c>
      <c r="I66" s="94">
        <v>175.35</v>
      </c>
    </row>
    <row r="67" spans="2:9" ht="15" customHeight="1" x14ac:dyDescent="0.25">
      <c r="B67" s="155">
        <v>50</v>
      </c>
      <c r="C67" s="7"/>
      <c r="D67" s="7"/>
      <c r="E67" s="57">
        <f t="shared" si="1"/>
        <v>177</v>
      </c>
      <c r="G67" s="199" t="s">
        <v>339</v>
      </c>
      <c r="H67" s="197">
        <v>177</v>
      </c>
      <c r="I67" s="94">
        <v>175.05</v>
      </c>
    </row>
    <row r="68" spans="2:9" ht="15" customHeight="1" x14ac:dyDescent="0.25">
      <c r="B68" s="155">
        <v>51</v>
      </c>
      <c r="C68" s="7"/>
      <c r="D68" s="7"/>
      <c r="E68" s="57">
        <f t="shared" si="1"/>
        <v>177</v>
      </c>
      <c r="G68" s="199" t="s">
        <v>340</v>
      </c>
      <c r="H68" s="197">
        <v>177</v>
      </c>
      <c r="I68" s="94">
        <v>175.6</v>
      </c>
    </row>
    <row r="69" spans="2:9" ht="15" customHeight="1" x14ac:dyDescent="0.25">
      <c r="B69" s="155">
        <v>52</v>
      </c>
      <c r="C69" s="7"/>
      <c r="D69" s="7"/>
      <c r="E69" s="57">
        <f t="shared" si="1"/>
        <v>177</v>
      </c>
      <c r="G69" s="199" t="s">
        <v>341</v>
      </c>
      <c r="H69" s="197">
        <v>177</v>
      </c>
      <c r="I69" s="94">
        <v>175.15</v>
      </c>
    </row>
    <row r="70" spans="2:9" ht="15" customHeight="1" x14ac:dyDescent="0.25">
      <c r="B70" s="155">
        <v>53</v>
      </c>
      <c r="C70" s="7"/>
      <c r="D70" s="7"/>
      <c r="E70" s="57">
        <f t="shared" si="1"/>
        <v>177</v>
      </c>
      <c r="G70" s="199" t="s">
        <v>342</v>
      </c>
      <c r="H70" s="197">
        <v>177</v>
      </c>
      <c r="I70" s="94">
        <v>176.1</v>
      </c>
    </row>
    <row r="71" spans="2:9" ht="15" customHeight="1" x14ac:dyDescent="0.25">
      <c r="B71" s="155">
        <v>54</v>
      </c>
      <c r="C71" s="7"/>
      <c r="D71" s="7"/>
      <c r="E71" s="57">
        <f t="shared" si="1"/>
        <v>177</v>
      </c>
      <c r="G71" s="199" t="s">
        <v>343</v>
      </c>
      <c r="H71" s="197">
        <v>177</v>
      </c>
      <c r="I71" s="94">
        <v>176.8</v>
      </c>
    </row>
    <row r="72" spans="2:9" ht="15" customHeight="1" x14ac:dyDescent="0.25">
      <c r="B72" s="155">
        <v>55</v>
      </c>
      <c r="C72" s="7"/>
      <c r="D72" s="7"/>
      <c r="E72" s="57">
        <f t="shared" si="1"/>
        <v>177</v>
      </c>
      <c r="G72" s="199" t="s">
        <v>344</v>
      </c>
      <c r="H72" s="197">
        <v>177</v>
      </c>
      <c r="I72" s="94">
        <v>175.45</v>
      </c>
    </row>
    <row r="73" spans="2:9" ht="15" customHeight="1" x14ac:dyDescent="0.25">
      <c r="B73" s="155">
        <v>56</v>
      </c>
      <c r="C73" s="7"/>
      <c r="D73" s="7"/>
      <c r="E73" s="57">
        <f t="shared" si="1"/>
        <v>177</v>
      </c>
      <c r="G73" s="199" t="s">
        <v>345</v>
      </c>
      <c r="H73" s="197">
        <v>177</v>
      </c>
      <c r="I73" s="94">
        <v>177.6</v>
      </c>
    </row>
    <row r="74" spans="2:9" ht="15" customHeight="1" x14ac:dyDescent="0.25">
      <c r="B74" s="155">
        <v>57</v>
      </c>
      <c r="C74" s="7"/>
      <c r="D74" s="7"/>
      <c r="E74" s="57">
        <f t="shared" si="1"/>
        <v>177</v>
      </c>
      <c r="G74" s="199" t="s">
        <v>346</v>
      </c>
      <c r="H74" s="197">
        <v>177</v>
      </c>
      <c r="I74" s="94">
        <v>174.3</v>
      </c>
    </row>
    <row r="75" spans="2:9" ht="15" customHeight="1" x14ac:dyDescent="0.25">
      <c r="B75" s="155">
        <v>58</v>
      </c>
      <c r="C75" s="7"/>
      <c r="D75" s="7"/>
      <c r="E75" s="57">
        <f t="shared" si="1"/>
        <v>177</v>
      </c>
      <c r="G75" s="199" t="s">
        <v>347</v>
      </c>
      <c r="H75" s="197">
        <v>177</v>
      </c>
      <c r="I75" s="94">
        <v>173.6</v>
      </c>
    </row>
    <row r="76" spans="2:9" ht="15" customHeight="1" x14ac:dyDescent="0.25">
      <c r="B76" s="155">
        <v>59</v>
      </c>
      <c r="C76" s="7"/>
      <c r="D76" s="7"/>
      <c r="E76" s="57">
        <f t="shared" si="1"/>
        <v>177</v>
      </c>
      <c r="G76" s="199" t="s">
        <v>348</v>
      </c>
      <c r="H76" s="197">
        <v>177</v>
      </c>
      <c r="I76" s="94">
        <v>176.8</v>
      </c>
    </row>
    <row r="77" spans="2:9" ht="15" customHeight="1" x14ac:dyDescent="0.25">
      <c r="B77" s="155">
        <v>60</v>
      </c>
      <c r="C77" s="7"/>
      <c r="D77" s="7"/>
      <c r="E77" s="57">
        <f t="shared" si="1"/>
        <v>177</v>
      </c>
      <c r="G77" s="199" t="s">
        <v>349</v>
      </c>
      <c r="H77" s="197">
        <v>177</v>
      </c>
      <c r="I77" s="94">
        <v>175.3</v>
      </c>
    </row>
    <row r="78" spans="2:9" s="97" customFormat="1" x14ac:dyDescent="0.25">
      <c r="D78" s="28"/>
      <c r="E78" s="95"/>
      <c r="G78" s="5">
        <v>61.5</v>
      </c>
      <c r="H78" s="197">
        <v>177</v>
      </c>
      <c r="I78" s="94">
        <v>171.85</v>
      </c>
    </row>
    <row r="79" spans="2:9" s="97" customFormat="1" x14ac:dyDescent="0.25">
      <c r="D79" s="28"/>
      <c r="E79" s="95"/>
      <c r="G79" s="5">
        <v>62.5</v>
      </c>
      <c r="H79" s="197">
        <v>177</v>
      </c>
      <c r="I79" s="94">
        <v>175.1</v>
      </c>
    </row>
    <row r="80" spans="2:9" s="97" customFormat="1" x14ac:dyDescent="0.25">
      <c r="D80" s="28"/>
      <c r="E80" s="95"/>
      <c r="G80" s="5">
        <v>63.5</v>
      </c>
      <c r="H80" s="197">
        <v>177</v>
      </c>
      <c r="I80" s="94">
        <v>173.55</v>
      </c>
    </row>
    <row r="81" spans="4:9" s="97" customFormat="1" x14ac:dyDescent="0.25">
      <c r="D81" s="28"/>
      <c r="E81" s="95"/>
      <c r="G81" s="5">
        <v>64.5</v>
      </c>
      <c r="H81" s="197">
        <v>177</v>
      </c>
      <c r="I81" s="94">
        <v>174.8</v>
      </c>
    </row>
    <row r="82" spans="4:9" s="97" customFormat="1" x14ac:dyDescent="0.25">
      <c r="D82" s="28"/>
      <c r="E82" s="95"/>
      <c r="G82" s="5">
        <v>65.5</v>
      </c>
      <c r="H82" s="197">
        <v>177</v>
      </c>
      <c r="I82" s="94">
        <v>176.1</v>
      </c>
    </row>
    <row r="83" spans="4:9" s="97" customFormat="1" x14ac:dyDescent="0.25">
      <c r="D83" s="28"/>
      <c r="E83" s="95"/>
      <c r="G83" s="5">
        <v>66.5</v>
      </c>
      <c r="H83" s="197">
        <v>177</v>
      </c>
      <c r="I83" s="94">
        <v>174</v>
      </c>
    </row>
    <row r="84" spans="4:9" s="97" customFormat="1" x14ac:dyDescent="0.25">
      <c r="D84" s="28"/>
      <c r="E84" s="95"/>
      <c r="G84" s="5">
        <v>67.5</v>
      </c>
      <c r="H84" s="197">
        <v>177</v>
      </c>
      <c r="I84" s="94">
        <v>173.5</v>
      </c>
    </row>
    <row r="85" spans="4:9" s="97" customFormat="1" x14ac:dyDescent="0.25">
      <c r="D85" s="28"/>
      <c r="E85" s="95"/>
      <c r="G85" s="5">
        <v>68.5</v>
      </c>
      <c r="H85" s="197">
        <v>177</v>
      </c>
      <c r="I85" s="94">
        <v>171.6</v>
      </c>
    </row>
    <row r="86" spans="4:9" s="97" customFormat="1" x14ac:dyDescent="0.25">
      <c r="D86" s="28"/>
      <c r="E86" s="95"/>
      <c r="G86" s="5">
        <v>69.5</v>
      </c>
      <c r="H86" s="197">
        <v>177</v>
      </c>
      <c r="I86" s="94">
        <v>170.7</v>
      </c>
    </row>
    <row r="87" spans="4:9" s="97" customFormat="1" x14ac:dyDescent="0.25">
      <c r="D87" s="28"/>
      <c r="E87" s="95"/>
      <c r="G87" s="5">
        <v>70.5</v>
      </c>
      <c r="H87" s="197">
        <v>177</v>
      </c>
      <c r="I87" s="94">
        <v>174.2</v>
      </c>
    </row>
    <row r="88" spans="4:9" s="97" customFormat="1" x14ac:dyDescent="0.25">
      <c r="D88" s="28"/>
      <c r="E88" s="95"/>
    </row>
    <row r="89" spans="4:9" s="97" customFormat="1" x14ac:dyDescent="0.25">
      <c r="D89" s="28"/>
      <c r="E89" s="95"/>
    </row>
    <row r="90" spans="4:9" s="97" customFormat="1" x14ac:dyDescent="0.25">
      <c r="D90" s="28"/>
      <c r="E90" s="95"/>
    </row>
    <row r="91" spans="4:9" s="97" customFormat="1" x14ac:dyDescent="0.25">
      <c r="D91" s="28"/>
      <c r="E91" s="95"/>
    </row>
    <row r="92" spans="4:9" s="97" customFormat="1" x14ac:dyDescent="0.25">
      <c r="D92" s="28"/>
      <c r="E92" s="95"/>
    </row>
    <row r="93" spans="4:9" s="97" customFormat="1" x14ac:dyDescent="0.25">
      <c r="D93" s="28"/>
      <c r="E93" s="95"/>
    </row>
    <row r="94" spans="4:9" s="97" customFormat="1" x14ac:dyDescent="0.25">
      <c r="D94" s="28"/>
      <c r="E94" s="95"/>
    </row>
    <row r="95" spans="4:9" s="97" customFormat="1" x14ac:dyDescent="0.25">
      <c r="D95" s="28"/>
      <c r="E95" s="95"/>
    </row>
    <row r="96" spans="4:9" s="97" customFormat="1" x14ac:dyDescent="0.25">
      <c r="D96" s="28"/>
      <c r="E96" s="95"/>
    </row>
    <row r="97" spans="4:5" s="97" customFormat="1" x14ac:dyDescent="0.25">
      <c r="D97" s="28"/>
      <c r="E97" s="95"/>
    </row>
    <row r="98" spans="4:5" s="97" customFormat="1" x14ac:dyDescent="0.25">
      <c r="D98" s="28"/>
      <c r="E98" s="95"/>
    </row>
    <row r="99" spans="4:5" s="97" customFormat="1" x14ac:dyDescent="0.25">
      <c r="D99" s="28"/>
      <c r="E99" s="95"/>
    </row>
    <row r="100" spans="4:5" s="97" customFormat="1" x14ac:dyDescent="0.25">
      <c r="D100" s="28"/>
      <c r="E100" s="95"/>
    </row>
    <row r="101" spans="4:5" s="97" customFormat="1" x14ac:dyDescent="0.25">
      <c r="D101" s="28"/>
      <c r="E101" s="95"/>
    </row>
    <row r="102" spans="4:5" s="97" customFormat="1" x14ac:dyDescent="0.25">
      <c r="D102" s="28"/>
      <c r="E102" s="95"/>
    </row>
    <row r="103" spans="4:5" s="97" customFormat="1" x14ac:dyDescent="0.25">
      <c r="D103" s="28"/>
      <c r="E103" s="95"/>
    </row>
    <row r="104" spans="4:5" s="97" customFormat="1" x14ac:dyDescent="0.25">
      <c r="D104" s="28"/>
      <c r="E104" s="95"/>
    </row>
    <row r="105" spans="4:5" s="97" customFormat="1" x14ac:dyDescent="0.25">
      <c r="D105" s="28"/>
      <c r="E105" s="95"/>
    </row>
    <row r="106" spans="4:5" s="97" customFormat="1" x14ac:dyDescent="0.25">
      <c r="D106" s="28"/>
      <c r="E106" s="95"/>
    </row>
    <row r="107" spans="4:5" s="97" customFormat="1" x14ac:dyDescent="0.25">
      <c r="D107" s="28"/>
      <c r="E107" s="95"/>
    </row>
    <row r="108" spans="4:5" s="97" customFormat="1" x14ac:dyDescent="0.25">
      <c r="D108" s="28"/>
      <c r="E108" s="95"/>
    </row>
    <row r="109" spans="4:5" s="97" customFormat="1" x14ac:dyDescent="0.25">
      <c r="D109" s="28"/>
      <c r="E109" s="95"/>
    </row>
    <row r="110" spans="4:5" s="97" customFormat="1" x14ac:dyDescent="0.25">
      <c r="D110" s="28"/>
      <c r="E110" s="95"/>
    </row>
    <row r="111" spans="4:5" s="97" customFormat="1" x14ac:dyDescent="0.25">
      <c r="D111" s="28"/>
      <c r="E111" s="95"/>
    </row>
    <row r="112" spans="4:5" s="97" customFormat="1" x14ac:dyDescent="0.25">
      <c r="D112" s="28"/>
      <c r="E112" s="95"/>
    </row>
    <row r="113" spans="2:5" s="97" customFormat="1" x14ac:dyDescent="0.25">
      <c r="D113" s="28"/>
      <c r="E113" s="95"/>
    </row>
    <row r="114" spans="2:5" s="97" customFormat="1" x14ac:dyDescent="0.25">
      <c r="D114" s="28"/>
      <c r="E114" s="95"/>
    </row>
    <row r="115" spans="2:5" s="97" customFormat="1" x14ac:dyDescent="0.25">
      <c r="D115" s="28"/>
      <c r="E115" s="95"/>
    </row>
    <row r="116" spans="2:5" s="97" customFormat="1" x14ac:dyDescent="0.25">
      <c r="D116" s="28"/>
      <c r="E116" s="95"/>
    </row>
    <row r="117" spans="2:5" s="97" customFormat="1" x14ac:dyDescent="0.25">
      <c r="D117" s="28"/>
      <c r="E117" s="95"/>
    </row>
    <row r="118" spans="2:5" s="97" customFormat="1" x14ac:dyDescent="0.25">
      <c r="D118" s="28"/>
      <c r="E118" s="95"/>
    </row>
    <row r="119" spans="2:5" s="97" customFormat="1" x14ac:dyDescent="0.25">
      <c r="D119" s="28"/>
      <c r="E119" s="95"/>
    </row>
    <row r="120" spans="2:5" s="97" customFormat="1" x14ac:dyDescent="0.25">
      <c r="D120" s="28"/>
      <c r="E120" s="95"/>
    </row>
    <row r="121" spans="2:5" s="97" customFormat="1" x14ac:dyDescent="0.25">
      <c r="D121" s="28"/>
      <c r="E121" s="95"/>
    </row>
    <row r="122" spans="2:5" s="97" customFormat="1" x14ac:dyDescent="0.25">
      <c r="D122" s="28"/>
      <c r="E122" s="95"/>
    </row>
    <row r="123" spans="2:5" s="97" customFormat="1" x14ac:dyDescent="0.25">
      <c r="D123" s="28"/>
      <c r="E123" s="95"/>
    </row>
    <row r="124" spans="2:5" s="97" customFormat="1" x14ac:dyDescent="0.25">
      <c r="D124" s="28"/>
      <c r="E124" s="95"/>
    </row>
    <row r="125" spans="2:5" s="97" customFormat="1" x14ac:dyDescent="0.25">
      <c r="D125" s="28"/>
      <c r="E125" s="95"/>
    </row>
    <row r="126" spans="2:5" s="97" customFormat="1" x14ac:dyDescent="0.25">
      <c r="B126" s="95"/>
      <c r="E126" s="95"/>
    </row>
    <row r="127" spans="2:5" s="97" customFormat="1" x14ac:dyDescent="0.25">
      <c r="B127" s="95"/>
      <c r="C127" s="97" t="e">
        <f>AVERAGE(#REF!)</f>
        <v>#REF!</v>
      </c>
      <c r="E127" s="95"/>
    </row>
    <row r="128" spans="2:5" s="97" customFormat="1" x14ac:dyDescent="0.25">
      <c r="B128" s="95"/>
      <c r="E128" s="95"/>
    </row>
    <row r="129" spans="2:5" s="97" customFormat="1" x14ac:dyDescent="0.25">
      <c r="B129" s="95"/>
      <c r="E129" s="95"/>
    </row>
    <row r="130" spans="2:5" s="97" customFormat="1" x14ac:dyDescent="0.25">
      <c r="B130" s="95"/>
      <c r="E130" s="95"/>
    </row>
  </sheetData>
  <mergeCells count="7">
    <mergeCell ref="I14:I15"/>
    <mergeCell ref="B1:E1"/>
    <mergeCell ref="D3:D8"/>
    <mergeCell ref="B13:E13"/>
    <mergeCell ref="B14:E14"/>
    <mergeCell ref="G14:G15"/>
    <mergeCell ref="H14:H15"/>
  </mergeCells>
  <pageMargins left="0.7" right="0.7" top="0.75" bottom="0.75" header="0.3" footer="0.3"/>
  <pageSetup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E70"/>
  <sheetViews>
    <sheetView tabSelected="1" zoomScale="80" zoomScaleNormal="80" workbookViewId="0">
      <selection activeCell="C14" sqref="C14"/>
    </sheetView>
  </sheetViews>
  <sheetFormatPr defaultColWidth="9.140625" defaultRowHeight="15.75" x14ac:dyDescent="0.25"/>
  <cols>
    <col min="1" max="1" width="9.140625" style="3"/>
    <col min="2" max="2" width="29.140625" style="2" bestFit="1" customWidth="1"/>
    <col min="3" max="3" width="41.85546875" style="2" bestFit="1" customWidth="1"/>
    <col min="4" max="4" width="42" style="3" customWidth="1"/>
    <col min="5" max="5" width="23.85546875" style="2" customWidth="1"/>
    <col min="6" max="16384" width="9.140625" style="3"/>
  </cols>
  <sheetData>
    <row r="1" spans="2:5" x14ac:dyDescent="0.25">
      <c r="B1" s="19"/>
      <c r="C1" s="294"/>
      <c r="D1" s="294" t="s">
        <v>365</v>
      </c>
      <c r="E1" s="294" t="s">
        <v>212</v>
      </c>
    </row>
    <row r="2" spans="2:5" ht="30" x14ac:dyDescent="0.25">
      <c r="B2" s="8" t="s">
        <v>213</v>
      </c>
      <c r="C2" s="10" t="s">
        <v>214</v>
      </c>
      <c r="D2" s="10" t="s">
        <v>215</v>
      </c>
      <c r="E2" s="86" t="s">
        <v>216</v>
      </c>
    </row>
    <row r="5" spans="2:5" x14ac:dyDescent="0.25">
      <c r="B5" s="334"/>
      <c r="C5" s="311" t="s">
        <v>217</v>
      </c>
      <c r="D5" s="19" t="s">
        <v>218</v>
      </c>
      <c r="E5" s="294" t="s">
        <v>219</v>
      </c>
    </row>
    <row r="6" spans="2:5" x14ac:dyDescent="0.25">
      <c r="B6" s="87">
        <v>0.01</v>
      </c>
      <c r="C6" s="12"/>
      <c r="D6" s="8">
        <v>0.1714099030782105</v>
      </c>
      <c r="E6" s="152">
        <f>1000*D6</f>
        <v>171.4099030782105</v>
      </c>
    </row>
    <row r="7" spans="2:5" s="29" customFormat="1" x14ac:dyDescent="0.25">
      <c r="B7" s="118">
        <v>0.5</v>
      </c>
      <c r="C7" s="25">
        <v>1000</v>
      </c>
      <c r="D7" s="106">
        <v>0.23059132009394534</v>
      </c>
      <c r="E7" s="152">
        <f>1000*D7</f>
        <v>230.59132009394534</v>
      </c>
    </row>
    <row r="8" spans="2:5" s="29" customFormat="1" x14ac:dyDescent="0.25">
      <c r="B8" s="118">
        <v>1</v>
      </c>
      <c r="C8" s="25">
        <v>1000</v>
      </c>
      <c r="D8" s="106">
        <v>0.28004487135201822</v>
      </c>
      <c r="E8" s="152">
        <f>1000*D8</f>
        <v>280.04487135201822</v>
      </c>
    </row>
    <row r="9" spans="2:5" s="29" customFormat="1" x14ac:dyDescent="0.25">
      <c r="B9" s="234">
        <v>1.5</v>
      </c>
      <c r="C9" s="36"/>
      <c r="D9" s="31">
        <v>0.3220452379566332</v>
      </c>
      <c r="E9" s="252">
        <f>1000*D9</f>
        <v>322.04523795663317</v>
      </c>
    </row>
    <row r="10" spans="2:5" x14ac:dyDescent="0.25">
      <c r="B10" s="87">
        <v>2</v>
      </c>
      <c r="C10" s="23"/>
      <c r="D10" s="8">
        <v>0.35873207532243589</v>
      </c>
      <c r="E10" s="24">
        <f t="shared" ref="E10:E70" si="0">1000*D10</f>
        <v>358.73207532243589</v>
      </c>
    </row>
    <row r="11" spans="2:5" x14ac:dyDescent="0.25">
      <c r="B11" s="87">
        <v>3</v>
      </c>
      <c r="C11" s="23"/>
      <c r="D11" s="8">
        <v>0.42147697011138369</v>
      </c>
      <c r="E11" s="24">
        <f t="shared" si="0"/>
        <v>421.47697011138371</v>
      </c>
    </row>
    <row r="12" spans="2:5" x14ac:dyDescent="0.25">
      <c r="B12" s="87">
        <v>4</v>
      </c>
      <c r="C12" s="23"/>
      <c r="D12" s="8">
        <v>0.47577242862590485</v>
      </c>
      <c r="E12" s="24">
        <f t="shared" si="0"/>
        <v>475.77242862590487</v>
      </c>
    </row>
    <row r="13" spans="2:5" x14ac:dyDescent="0.25">
      <c r="B13" s="87">
        <v>4.5</v>
      </c>
      <c r="C13" s="23"/>
      <c r="D13" s="8">
        <v>0.50126687923182134</v>
      </c>
      <c r="E13" s="24">
        <f t="shared" si="0"/>
        <v>501.26687923182135</v>
      </c>
    </row>
    <row r="14" spans="2:5" s="29" customFormat="1" x14ac:dyDescent="0.25">
      <c r="B14" s="118">
        <v>5</v>
      </c>
      <c r="C14" s="25"/>
      <c r="D14" s="106">
        <v>0.52627356726376739</v>
      </c>
      <c r="E14" s="152">
        <f t="shared" si="0"/>
        <v>526.2735672637674</v>
      </c>
    </row>
    <row r="15" spans="2:5" x14ac:dyDescent="0.25">
      <c r="B15" s="87">
        <v>6</v>
      </c>
      <c r="C15" s="23"/>
      <c r="D15" s="8">
        <v>0.57632652715466126</v>
      </c>
      <c r="E15" s="24">
        <f t="shared" si="0"/>
        <v>576.32652715466122</v>
      </c>
    </row>
    <row r="16" spans="2:5" x14ac:dyDescent="0.25">
      <c r="B16" s="87">
        <v>7</v>
      </c>
      <c r="C16" s="23"/>
      <c r="D16" s="8">
        <v>0.62854743884439268</v>
      </c>
      <c r="E16" s="24">
        <f t="shared" si="0"/>
        <v>628.54743884439267</v>
      </c>
    </row>
    <row r="17" spans="2:5" x14ac:dyDescent="0.25">
      <c r="B17" s="87">
        <v>8</v>
      </c>
      <c r="C17" s="23"/>
      <c r="D17" s="8">
        <v>0.68499919412842603</v>
      </c>
      <c r="E17" s="24">
        <f t="shared" si="0"/>
        <v>684.99919412842598</v>
      </c>
    </row>
    <row r="18" spans="2:5" x14ac:dyDescent="0.25">
      <c r="B18" s="87">
        <v>9</v>
      </c>
      <c r="C18" s="23"/>
      <c r="D18" s="8">
        <v>0.74714083113590701</v>
      </c>
      <c r="E18" s="24">
        <f t="shared" si="0"/>
        <v>747.14083113590698</v>
      </c>
    </row>
    <row r="19" spans="2:5" s="29" customFormat="1" x14ac:dyDescent="0.25">
      <c r="B19" s="118">
        <v>10</v>
      </c>
      <c r="C19" s="25"/>
      <c r="D19" s="106">
        <v>0.81564163989502314</v>
      </c>
      <c r="E19" s="152">
        <f t="shared" si="0"/>
        <v>815.6416398950231</v>
      </c>
    </row>
    <row r="20" spans="2:5" s="29" customFormat="1" x14ac:dyDescent="0.25">
      <c r="B20" s="234">
        <v>10.5</v>
      </c>
      <c r="C20" s="36"/>
      <c r="D20" s="31">
        <v>0.85221391579069583</v>
      </c>
      <c r="E20" s="252">
        <f t="shared" si="0"/>
        <v>852.21391579069586</v>
      </c>
    </row>
    <row r="21" spans="2:5" x14ac:dyDescent="0.25">
      <c r="B21" s="87">
        <v>11</v>
      </c>
      <c r="C21" s="23"/>
      <c r="D21" s="8">
        <v>0.89015931557335493</v>
      </c>
      <c r="E21" s="24">
        <f t="shared" si="0"/>
        <v>890.15931557335489</v>
      </c>
    </row>
    <row r="22" spans="2:5" x14ac:dyDescent="0.25">
      <c r="B22" s="87">
        <v>12</v>
      </c>
      <c r="C22" s="23"/>
      <c r="D22" s="8">
        <v>0.96921339792820604</v>
      </c>
      <c r="E22" s="24">
        <f t="shared" si="0"/>
        <v>969.21339792820606</v>
      </c>
    </row>
    <row r="23" spans="2:5" x14ac:dyDescent="0.25">
      <c r="B23" s="87">
        <v>13</v>
      </c>
      <c r="C23" s="23"/>
      <c r="D23" s="8">
        <v>1.050287223562629</v>
      </c>
      <c r="E23" s="24">
        <f t="shared" si="0"/>
        <v>1050.2872235626292</v>
      </c>
    </row>
    <row r="24" spans="2:5" x14ac:dyDescent="0.25">
      <c r="B24" s="87">
        <v>14</v>
      </c>
      <c r="C24" s="23"/>
      <c r="D24" s="8">
        <v>1.130218973533881</v>
      </c>
      <c r="E24" s="24">
        <f t="shared" si="0"/>
        <v>1130.2189735338809</v>
      </c>
    </row>
    <row r="25" spans="2:5" x14ac:dyDescent="0.25">
      <c r="B25" s="87">
        <v>15</v>
      </c>
      <c r="C25" s="23"/>
      <c r="D25" s="8">
        <v>1.2058030554581338</v>
      </c>
      <c r="E25" s="24">
        <f t="shared" si="0"/>
        <v>1205.8030554581337</v>
      </c>
    </row>
    <row r="26" spans="2:5" x14ac:dyDescent="0.25">
      <c r="B26" s="87">
        <v>16</v>
      </c>
      <c r="C26" s="23"/>
      <c r="D26" s="8">
        <v>1.274399158749381</v>
      </c>
      <c r="E26" s="24">
        <f t="shared" si="0"/>
        <v>1274.3991587493811</v>
      </c>
    </row>
    <row r="27" spans="2:5" x14ac:dyDescent="0.25">
      <c r="B27" s="87">
        <v>17</v>
      </c>
      <c r="C27" s="23"/>
      <c r="D27" s="8">
        <v>1.3343346418761344</v>
      </c>
      <c r="E27" s="24">
        <f t="shared" si="0"/>
        <v>1334.3346418761344</v>
      </c>
    </row>
    <row r="28" spans="2:5" x14ac:dyDescent="0.25">
      <c r="B28" s="87">
        <v>18</v>
      </c>
      <c r="C28" s="23"/>
      <c r="D28" s="8">
        <v>1.3849986495366367</v>
      </c>
      <c r="E28" s="24">
        <f t="shared" si="0"/>
        <v>1384.9986495366365</v>
      </c>
    </row>
    <row r="29" spans="2:5" x14ac:dyDescent="0.25">
      <c r="B29" s="87">
        <v>19</v>
      </c>
      <c r="C29" s="23"/>
      <c r="D29" s="8">
        <v>1.4266744549526464</v>
      </c>
      <c r="E29" s="24">
        <f t="shared" si="0"/>
        <v>1426.6744549526466</v>
      </c>
    </row>
    <row r="30" spans="2:5" x14ac:dyDescent="0.25">
      <c r="B30" s="87">
        <v>20</v>
      </c>
      <c r="C30" s="23"/>
      <c r="D30" s="8">
        <v>1.4602410989834831</v>
      </c>
      <c r="E30" s="24">
        <f t="shared" si="0"/>
        <v>1460.2410989834832</v>
      </c>
    </row>
    <row r="31" spans="2:5" x14ac:dyDescent="0.25">
      <c r="B31" s="87">
        <v>21</v>
      </c>
      <c r="C31" s="23"/>
      <c r="D31" s="8">
        <v>1.4868710209054801</v>
      </c>
      <c r="E31" s="24">
        <f t="shared" si="0"/>
        <v>1486.87102090548</v>
      </c>
    </row>
    <row r="32" spans="2:5" x14ac:dyDescent="0.25">
      <c r="B32" s="87">
        <v>22</v>
      </c>
      <c r="C32" s="23"/>
      <c r="D32" s="8">
        <v>1.5077968349909376</v>
      </c>
      <c r="E32" s="24">
        <f t="shared" si="0"/>
        <v>1507.7968349909377</v>
      </c>
    </row>
    <row r="33" spans="2:5" x14ac:dyDescent="0.25">
      <c r="B33" s="87">
        <v>23</v>
      </c>
      <c r="C33" s="23"/>
      <c r="D33" s="8">
        <v>1.5316772703575803</v>
      </c>
      <c r="E33" s="24">
        <f t="shared" si="0"/>
        <v>1531.6772703575803</v>
      </c>
    </row>
    <row r="34" spans="2:5" s="2" customFormat="1" x14ac:dyDescent="0.25">
      <c r="B34" s="87">
        <v>24</v>
      </c>
      <c r="C34" s="23"/>
      <c r="D34" s="8">
        <v>1.5418009228000844</v>
      </c>
      <c r="E34" s="24">
        <f t="shared" si="0"/>
        <v>1541.8009228000844</v>
      </c>
    </row>
    <row r="35" spans="2:5" s="30" customFormat="1" x14ac:dyDescent="0.25">
      <c r="B35" s="118">
        <v>25</v>
      </c>
      <c r="C35" s="25"/>
      <c r="D35" s="106">
        <v>1.5497312162012427</v>
      </c>
      <c r="E35" s="152">
        <f t="shared" si="0"/>
        <v>1549.7312162012427</v>
      </c>
    </row>
    <row r="36" spans="2:5" s="2" customFormat="1" x14ac:dyDescent="0.25">
      <c r="B36" s="87">
        <v>26</v>
      </c>
      <c r="C36" s="23"/>
      <c r="D36" s="8">
        <v>1.5565925916686469</v>
      </c>
      <c r="E36" s="24">
        <f t="shared" si="0"/>
        <v>1556.5925916686469</v>
      </c>
    </row>
    <row r="37" spans="2:5" s="2" customFormat="1" x14ac:dyDescent="0.25">
      <c r="B37" s="87">
        <v>27</v>
      </c>
      <c r="C37" s="23"/>
      <c r="D37" s="8">
        <v>1.5638677046734573</v>
      </c>
      <c r="E37" s="24">
        <f t="shared" si="0"/>
        <v>1563.8677046734572</v>
      </c>
    </row>
    <row r="38" spans="2:5" s="2" customFormat="1" x14ac:dyDescent="0.25">
      <c r="B38" s="87">
        <v>28</v>
      </c>
      <c r="C38" s="23"/>
      <c r="D38" s="8">
        <v>1.5707595621587975</v>
      </c>
      <c r="E38" s="24">
        <f t="shared" si="0"/>
        <v>1570.7595621587975</v>
      </c>
    </row>
    <row r="39" spans="2:5" s="2" customFormat="1" x14ac:dyDescent="0.25">
      <c r="B39" s="87">
        <v>29</v>
      </c>
      <c r="C39" s="23"/>
      <c r="D39" s="8">
        <v>1.5772749382777105</v>
      </c>
      <c r="E39" s="24">
        <f t="shared" si="0"/>
        <v>1577.2749382777106</v>
      </c>
    </row>
    <row r="40" spans="2:5" s="2" customFormat="1" x14ac:dyDescent="0.25">
      <c r="B40" s="87">
        <v>30</v>
      </c>
      <c r="C40" s="23"/>
      <c r="D40" s="8">
        <v>1.5834202999028861</v>
      </c>
      <c r="E40" s="24">
        <f t="shared" si="0"/>
        <v>1583.4202999028862</v>
      </c>
    </row>
    <row r="41" spans="2:5" s="2" customFormat="1" x14ac:dyDescent="0.25">
      <c r="B41" s="87">
        <v>31</v>
      </c>
      <c r="C41" s="23"/>
      <c r="D41" s="8">
        <v>1.5892018250756448</v>
      </c>
      <c r="E41" s="24">
        <f t="shared" si="0"/>
        <v>1589.2018250756448</v>
      </c>
    </row>
    <row r="42" spans="2:5" s="2" customFormat="1" x14ac:dyDescent="0.25">
      <c r="B42" s="87">
        <v>32</v>
      </c>
      <c r="C42" s="23"/>
      <c r="D42" s="8">
        <v>1.5946254192155305</v>
      </c>
      <c r="E42" s="24">
        <f t="shared" si="0"/>
        <v>1594.6254192155304</v>
      </c>
    </row>
    <row r="43" spans="2:5" s="2" customFormat="1" x14ac:dyDescent="0.25">
      <c r="B43" s="87">
        <v>33</v>
      </c>
      <c r="C43" s="23"/>
      <c r="D43" s="8">
        <v>1.5996967298992484</v>
      </c>
      <c r="E43" s="24">
        <f t="shared" si="0"/>
        <v>1599.6967298992483</v>
      </c>
    </row>
    <row r="44" spans="2:5" s="2" customFormat="1" x14ac:dyDescent="0.25">
      <c r="B44" s="87">
        <v>34</v>
      </c>
      <c r="C44" s="23"/>
      <c r="D44" s="8">
        <v>1.6044211604727363</v>
      </c>
      <c r="E44" s="24">
        <f t="shared" si="0"/>
        <v>1604.4211604727363</v>
      </c>
    </row>
    <row r="45" spans="2:5" s="2" customFormat="1" x14ac:dyDescent="0.25">
      <c r="B45" s="87">
        <v>35</v>
      </c>
      <c r="C45" s="23"/>
      <c r="D45" s="8">
        <v>1.6088038826292406</v>
      </c>
      <c r="E45" s="24">
        <f t="shared" si="0"/>
        <v>1608.8038826292407</v>
      </c>
    </row>
    <row r="46" spans="2:5" s="2" customFormat="1" x14ac:dyDescent="0.25">
      <c r="B46" s="87">
        <v>36</v>
      </c>
      <c r="C46" s="23"/>
      <c r="D46" s="8">
        <v>1.6128498480491977</v>
      </c>
      <c r="E46" s="24">
        <f t="shared" si="0"/>
        <v>1612.8498480491978</v>
      </c>
    </row>
    <row r="47" spans="2:5" s="2" customFormat="1" x14ac:dyDescent="0.25">
      <c r="B47" s="87">
        <v>37</v>
      </c>
      <c r="C47" s="23"/>
      <c r="D47" s="8">
        <v>1.6165637991826181</v>
      </c>
      <c r="E47" s="24">
        <f t="shared" si="0"/>
        <v>1616.5637991826181</v>
      </c>
    </row>
    <row r="48" spans="2:5" s="2" customFormat="1" x14ac:dyDescent="0.25">
      <c r="B48" s="87">
        <v>38</v>
      </c>
      <c r="C48" s="23"/>
      <c r="D48" s="8">
        <v>1.6199502792452023</v>
      </c>
      <c r="E48" s="24">
        <f t="shared" si="0"/>
        <v>1619.9502792452022</v>
      </c>
    </row>
    <row r="49" spans="2:5" s="2" customFormat="1" x14ac:dyDescent="0.25">
      <c r="B49" s="87">
        <v>39</v>
      </c>
      <c r="C49" s="23"/>
      <c r="D49" s="8">
        <v>1.6230136414919933</v>
      </c>
      <c r="E49" s="24">
        <f t="shared" si="0"/>
        <v>1623.0136414919934</v>
      </c>
    </row>
    <row r="50" spans="2:5" s="2" customFormat="1" x14ac:dyDescent="0.25">
      <c r="B50" s="87">
        <v>40</v>
      </c>
      <c r="C50" s="23"/>
      <c r="D50" s="8">
        <v>1.6257580578258961</v>
      </c>
      <c r="E50" s="24">
        <f t="shared" si="0"/>
        <v>1625.758057825896</v>
      </c>
    </row>
    <row r="51" spans="2:5" s="2" customFormat="1" x14ac:dyDescent="0.25">
      <c r="B51" s="87">
        <v>41</v>
      </c>
      <c r="C51" s="23"/>
      <c r="D51" s="8">
        <v>1.6281875267927768</v>
      </c>
      <c r="E51" s="24">
        <f t="shared" si="0"/>
        <v>1628.1875267927767</v>
      </c>
    </row>
    <row r="52" spans="2:5" s="2" customFormat="1" x14ac:dyDescent="0.25">
      <c r="B52" s="87">
        <v>42</v>
      </c>
      <c r="C52" s="23"/>
      <c r="D52" s="8">
        <v>1.6303058810097428</v>
      </c>
      <c r="E52" s="24">
        <f t="shared" si="0"/>
        <v>1630.3058810097427</v>
      </c>
    </row>
    <row r="53" spans="2:5" s="2" customFormat="1" x14ac:dyDescent="0.25">
      <c r="B53" s="87">
        <v>43</v>
      </c>
      <c r="C53" s="23"/>
      <c r="D53" s="8">
        <v>1.6321167940687553</v>
      </c>
      <c r="E53" s="24">
        <f t="shared" si="0"/>
        <v>1632.1167940687553</v>
      </c>
    </row>
    <row r="54" spans="2:5" s="2" customFormat="1" x14ac:dyDescent="0.25">
      <c r="B54" s="87">
        <v>44</v>
      </c>
      <c r="C54" s="23"/>
      <c r="D54" s="8">
        <v>1.6336237869536245</v>
      </c>
      <c r="E54" s="24">
        <f t="shared" si="0"/>
        <v>1633.6237869536246</v>
      </c>
    </row>
    <row r="55" spans="2:5" s="2" customFormat="1" x14ac:dyDescent="0.25">
      <c r="B55" s="87">
        <v>45</v>
      </c>
      <c r="C55" s="23"/>
      <c r="D55" s="8">
        <v>1.6348302340048675</v>
      </c>
      <c r="E55" s="24">
        <f t="shared" si="0"/>
        <v>1634.8302340048674</v>
      </c>
    </row>
    <row r="56" spans="2:5" s="2" customFormat="1" x14ac:dyDescent="0.25">
      <c r="B56" s="87">
        <v>46</v>
      </c>
      <c r="C56" s="23"/>
      <c r="D56" s="8">
        <v>1.6357393684636206</v>
      </c>
      <c r="E56" s="24">
        <f t="shared" si="0"/>
        <v>1635.7393684636206</v>
      </c>
    </row>
    <row r="57" spans="2:5" s="2" customFormat="1" x14ac:dyDescent="0.25">
      <c r="B57" s="87">
        <v>47</v>
      </c>
      <c r="C57" s="23"/>
      <c r="D57" s="8">
        <v>1.6363542876228592</v>
      </c>
      <c r="E57" s="24">
        <f t="shared" si="0"/>
        <v>1636.3542876228591</v>
      </c>
    </row>
    <row r="58" spans="2:5" s="2" customFormat="1" x14ac:dyDescent="0.25">
      <c r="B58" s="87">
        <v>48</v>
      </c>
      <c r="C58" s="23"/>
      <c r="D58" s="8">
        <v>1.6366779576115336</v>
      </c>
      <c r="E58" s="24">
        <f t="shared" si="0"/>
        <v>1636.6779576115337</v>
      </c>
    </row>
    <row r="59" spans="2:5" s="2" customFormat="1" x14ac:dyDescent="0.25">
      <c r="B59" s="87">
        <v>49</v>
      </c>
      <c r="C59" s="23"/>
      <c r="D59" s="8">
        <v>1.6367132178348034</v>
      </c>
      <c r="E59" s="24">
        <f t="shared" si="0"/>
        <v>1636.7132178348033</v>
      </c>
    </row>
    <row r="60" spans="2:5" s="2" customFormat="1" x14ac:dyDescent="0.25">
      <c r="B60" s="87">
        <v>50</v>
      </c>
      <c r="C60" s="23"/>
      <c r="D60" s="8">
        <v>1.6364627850914086</v>
      </c>
      <c r="E60" s="24">
        <f t="shared" si="0"/>
        <v>1636.4627850914087</v>
      </c>
    </row>
    <row r="61" spans="2:5" s="2" customFormat="1" x14ac:dyDescent="0.25">
      <c r="B61" s="87">
        <v>51</v>
      </c>
      <c r="C61" s="23"/>
      <c r="D61" s="8">
        <v>1.6359292573871624</v>
      </c>
      <c r="E61" s="24">
        <f t="shared" si="0"/>
        <v>1635.9292573871624</v>
      </c>
    </row>
    <row r="62" spans="2:5" s="2" customFormat="1" x14ac:dyDescent="0.25">
      <c r="B62" s="87">
        <v>52</v>
      </c>
      <c r="C62" s="23"/>
      <c r="D62" s="8">
        <v>1.6351151174618028</v>
      </c>
      <c r="E62" s="24">
        <f t="shared" si="0"/>
        <v>1635.1151174618028</v>
      </c>
    </row>
    <row r="63" spans="2:5" s="2" customFormat="1" x14ac:dyDescent="0.25">
      <c r="B63" s="87">
        <v>53</v>
      </c>
      <c r="C63" s="23"/>
      <c r="D63" s="8">
        <v>1.6340227360447277</v>
      </c>
      <c r="E63" s="24">
        <f t="shared" si="0"/>
        <v>1634.0227360447277</v>
      </c>
    </row>
    <row r="64" spans="2:5" s="2" customFormat="1" x14ac:dyDescent="0.25">
      <c r="B64" s="87">
        <v>54</v>
      </c>
      <c r="C64" s="23"/>
      <c r="D64" s="8">
        <v>1.632654374853622</v>
      </c>
      <c r="E64" s="24">
        <f t="shared" si="0"/>
        <v>1632.6543748536219</v>
      </c>
    </row>
    <row r="65" spans="2:5" s="2" customFormat="1" x14ac:dyDescent="0.25">
      <c r="B65" s="87">
        <v>55</v>
      </c>
      <c r="C65" s="23"/>
      <c r="D65" s="8">
        <v>1.6310121893485894</v>
      </c>
      <c r="E65" s="24">
        <f t="shared" si="0"/>
        <v>1631.0121893485893</v>
      </c>
    </row>
    <row r="66" spans="2:5" x14ac:dyDescent="0.25">
      <c r="B66" s="87">
        <v>56</v>
      </c>
      <c r="C66" s="23"/>
      <c r="D66" s="8">
        <v>1.6290982312530764</v>
      </c>
      <c r="E66" s="24">
        <f t="shared" si="0"/>
        <v>1629.0982312530764</v>
      </c>
    </row>
    <row r="67" spans="2:5" x14ac:dyDescent="0.25">
      <c r="B67" s="87">
        <v>57</v>
      </c>
      <c r="C67" s="23"/>
      <c r="D67" s="8">
        <v>1.6269144508516766</v>
      </c>
      <c r="E67" s="24">
        <f t="shared" si="0"/>
        <v>1626.9144508516765</v>
      </c>
    </row>
    <row r="68" spans="2:5" x14ac:dyDescent="0.25">
      <c r="B68" s="87">
        <v>58</v>
      </c>
      <c r="C68" s="23"/>
      <c r="D68" s="8">
        <v>1.6244626990737543</v>
      </c>
      <c r="E68" s="24">
        <f t="shared" si="0"/>
        <v>1624.4626990737543</v>
      </c>
    </row>
    <row r="69" spans="2:5" x14ac:dyDescent="0.25">
      <c r="B69" s="87">
        <v>59</v>
      </c>
      <c r="C69" s="23"/>
      <c r="D69" s="8">
        <v>1.621744729370789</v>
      </c>
      <c r="E69" s="24">
        <f t="shared" si="0"/>
        <v>1621.7447293707889</v>
      </c>
    </row>
    <row r="70" spans="2:5" s="41" customFormat="1" x14ac:dyDescent="0.25">
      <c r="B70" s="88">
        <v>60</v>
      </c>
      <c r="C70" s="44"/>
      <c r="D70" s="19">
        <v>1.6187621993943044</v>
      </c>
      <c r="E70" s="45">
        <f t="shared" si="0"/>
        <v>1618.7621993943044</v>
      </c>
    </row>
  </sheetData>
  <hyperlinks>
    <hyperlink ref="E2" r:id="rId1"/>
  </hyperlinks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B1:I69"/>
  <sheetViews>
    <sheetView zoomScale="70" zoomScaleNormal="70" workbookViewId="0">
      <selection activeCell="B4" sqref="B4:E4"/>
    </sheetView>
  </sheetViews>
  <sheetFormatPr defaultRowHeight="15" x14ac:dyDescent="0.25"/>
  <cols>
    <col min="2" max="2" width="28.5703125" style="1" customWidth="1"/>
    <col min="3" max="3" width="17.28515625" style="1" customWidth="1"/>
    <col min="4" max="4" width="21.5703125" style="1" customWidth="1"/>
    <col min="5" max="5" width="13.7109375" bestFit="1" customWidth="1"/>
    <col min="7" max="7" width="12.140625" customWidth="1"/>
    <col min="8" max="8" width="12.42578125" customWidth="1"/>
    <col min="9" max="9" width="13" customWidth="1"/>
    <col min="16" max="16" width="11.28515625" customWidth="1"/>
    <col min="17" max="17" width="12.28515625" customWidth="1"/>
  </cols>
  <sheetData>
    <row r="1" spans="2:5" ht="69" customHeight="1" x14ac:dyDescent="0.25">
      <c r="B1" s="162" t="s">
        <v>138</v>
      </c>
      <c r="C1" s="162" t="s">
        <v>12</v>
      </c>
      <c r="D1" s="162" t="s">
        <v>2</v>
      </c>
    </row>
    <row r="4" spans="2:5" ht="31.5" x14ac:dyDescent="0.25">
      <c r="B4" s="314" t="s">
        <v>21</v>
      </c>
      <c r="C4" s="314" t="s">
        <v>10</v>
      </c>
      <c r="D4" s="314" t="s">
        <v>1</v>
      </c>
      <c r="E4" s="324" t="s">
        <v>139</v>
      </c>
    </row>
    <row r="5" spans="2:5" s="145" customFormat="1" ht="15.75" x14ac:dyDescent="0.25">
      <c r="B5" s="127">
        <v>0.01</v>
      </c>
      <c r="C5" s="10">
        <v>35</v>
      </c>
      <c r="D5" s="10">
        <v>4.8377925320663246</v>
      </c>
      <c r="E5" s="59">
        <f>EXP(-3.751 + 0.422 * LN(C5) + 0.515 * LN(D5))</f>
        <v>0.23722007647734328</v>
      </c>
    </row>
    <row r="6" spans="2:5" ht="15.75" x14ac:dyDescent="0.25">
      <c r="B6" s="61">
        <v>0.5</v>
      </c>
      <c r="C6" s="16">
        <v>75.856044590075541</v>
      </c>
      <c r="D6" s="16">
        <v>7.0759454883143711</v>
      </c>
      <c r="E6" s="59">
        <f>EXP(-3.751 + 0.422 * LN(C6) + 0.515 * LN(D6))</f>
        <v>0.39990447720200034</v>
      </c>
    </row>
    <row r="7" spans="2:5" ht="15.75" x14ac:dyDescent="0.25">
      <c r="B7" s="61">
        <v>1</v>
      </c>
      <c r="C7" s="16">
        <v>82.418992336377414</v>
      </c>
      <c r="D7" s="16">
        <v>9.0775771843511723</v>
      </c>
      <c r="E7" s="59">
        <f t="shared" ref="E7:E69" si="0">EXP(-3.751 + 0.422 * LN(C7) + 0.515 * LN(D7))</f>
        <v>0.47084660528982764</v>
      </c>
    </row>
    <row r="8" spans="2:5" s="145" customFormat="1" ht="15.75" x14ac:dyDescent="0.25">
      <c r="B8" s="61">
        <v>1.5</v>
      </c>
      <c r="C8" s="16">
        <v>86.712818483109899</v>
      </c>
      <c r="D8" s="16">
        <v>10.85867141433374</v>
      </c>
      <c r="E8" s="59">
        <f t="shared" si="0"/>
        <v>0.52754261550150172</v>
      </c>
    </row>
    <row r="9" spans="2:5" ht="15.75" x14ac:dyDescent="0.25">
      <c r="B9" s="61">
        <v>2</v>
      </c>
      <c r="C9" s="16">
        <v>89.757289332090551</v>
      </c>
      <c r="D9" s="16">
        <v>12.469385771384614</v>
      </c>
      <c r="E9" s="59">
        <f t="shared" si="0"/>
        <v>0.57480035840260446</v>
      </c>
    </row>
    <row r="10" spans="2:5" ht="15.75" x14ac:dyDescent="0.25">
      <c r="B10" s="61">
        <v>3</v>
      </c>
      <c r="C10" s="16">
        <v>93.809863263097313</v>
      </c>
      <c r="D10" s="16">
        <v>15.33180604994063</v>
      </c>
      <c r="E10" s="59">
        <f t="shared" si="0"/>
        <v>0.65137460787092616</v>
      </c>
    </row>
    <row r="11" spans="2:5" ht="15.75" x14ac:dyDescent="0.25">
      <c r="B11" s="61">
        <v>4</v>
      </c>
      <c r="C11" s="16">
        <v>104.31547385296165</v>
      </c>
      <c r="D11" s="16">
        <v>17.908606982755128</v>
      </c>
      <c r="E11" s="59">
        <f t="shared" si="0"/>
        <v>0.73795757412230645</v>
      </c>
    </row>
    <row r="12" spans="2:5" s="145" customFormat="1" ht="15.75" x14ac:dyDescent="0.25">
      <c r="B12" s="61">
        <v>4.5</v>
      </c>
      <c r="C12" s="16">
        <v>109.05978314395435</v>
      </c>
      <c r="D12" s="16">
        <v>19.148095016301134</v>
      </c>
      <c r="E12" s="59">
        <f t="shared" si="0"/>
        <v>0.77830629432603848</v>
      </c>
    </row>
    <row r="13" spans="2:5" ht="15.75" x14ac:dyDescent="0.25">
      <c r="B13" s="61">
        <v>5</v>
      </c>
      <c r="C13" s="16">
        <v>113.49444144934381</v>
      </c>
      <c r="D13" s="16">
        <v>20.38127759653889</v>
      </c>
      <c r="E13" s="59">
        <f t="shared" si="0"/>
        <v>0.81736276459690071</v>
      </c>
    </row>
    <row r="14" spans="2:5" ht="15.75" x14ac:dyDescent="0.25">
      <c r="B14" s="61">
        <v>6</v>
      </c>
      <c r="C14" s="16">
        <v>121.51441728971477</v>
      </c>
      <c r="D14" s="16">
        <v>22.899044891228044</v>
      </c>
      <c r="E14" s="59">
        <f t="shared" si="0"/>
        <v>0.89326491904118244</v>
      </c>
    </row>
    <row r="15" spans="2:5" ht="15.75" x14ac:dyDescent="0.25">
      <c r="B15" s="61">
        <v>7</v>
      </c>
      <c r="C15" s="16">
        <v>128.52216501227917</v>
      </c>
      <c r="D15" s="16">
        <v>25.592430754887268</v>
      </c>
      <c r="E15" s="59">
        <f t="shared" si="0"/>
        <v>0.96856232013624655</v>
      </c>
    </row>
    <row r="16" spans="2:5" ht="15.75" x14ac:dyDescent="0.25">
      <c r="B16" s="61">
        <v>8</v>
      </c>
      <c r="C16" s="16">
        <v>134.64688608440872</v>
      </c>
      <c r="D16" s="16">
        <v>28.575820928596343</v>
      </c>
      <c r="E16" s="59">
        <f t="shared" si="0"/>
        <v>1.0454940884648107</v>
      </c>
    </row>
    <row r="17" spans="2:9" ht="15.75" x14ac:dyDescent="0.25">
      <c r="B17" s="61">
        <v>9</v>
      </c>
      <c r="C17" s="16">
        <v>140.00478806994821</v>
      </c>
      <c r="D17" s="16">
        <v>31.940959644573518</v>
      </c>
      <c r="E17" s="59">
        <f t="shared" si="0"/>
        <v>1.1255710043346401</v>
      </c>
    </row>
    <row r="18" spans="2:9" ht="15.75" x14ac:dyDescent="0.25">
      <c r="B18" s="61">
        <v>10</v>
      </c>
      <c r="C18" s="16">
        <v>144.70873770125988</v>
      </c>
      <c r="D18" s="16">
        <v>35.742930987515741</v>
      </c>
      <c r="E18" s="59">
        <f t="shared" si="0"/>
        <v>1.2094366325862813</v>
      </c>
    </row>
    <row r="19" spans="2:9" s="145" customFormat="1" ht="15.75" x14ac:dyDescent="0.25">
      <c r="B19" s="61">
        <v>10.5</v>
      </c>
      <c r="C19" s="16">
        <v>146.85574368642318</v>
      </c>
      <c r="D19" s="16">
        <v>37.81048562869546</v>
      </c>
      <c r="E19" s="59">
        <f t="shared" si="0"/>
        <v>1.2527363672269212</v>
      </c>
    </row>
    <row r="20" spans="2:9" ht="15.75" x14ac:dyDescent="0.25">
      <c r="B20" s="61">
        <v>11</v>
      </c>
      <c r="C20" s="16">
        <v>148.89570469529519</v>
      </c>
      <c r="D20" s="16">
        <v>39.982278220873482</v>
      </c>
      <c r="E20" s="59">
        <f t="shared" si="0"/>
        <v>1.2968192705159698</v>
      </c>
    </row>
    <row r="21" spans="2:9" ht="15.75" x14ac:dyDescent="0.25">
      <c r="B21" s="61">
        <v>12</v>
      </c>
      <c r="C21" s="16">
        <v>152.81107826142005</v>
      </c>
      <c r="D21" s="16">
        <v>44.590410457317788</v>
      </c>
      <c r="E21" s="59">
        <f t="shared" si="0"/>
        <v>1.3868647123592963</v>
      </c>
    </row>
    <row r="22" spans="2:9" ht="15.75" x14ac:dyDescent="0.25">
      <c r="B22" s="61">
        <v>13</v>
      </c>
      <c r="C22" s="16">
        <v>157.03197224257593</v>
      </c>
      <c r="D22" s="16">
        <v>49.42771554129417</v>
      </c>
      <c r="E22" s="59">
        <f t="shared" si="0"/>
        <v>1.4793236410029076</v>
      </c>
      <c r="G22" s="259" t="s">
        <v>204</v>
      </c>
      <c r="H22" s="260"/>
      <c r="I22" s="261"/>
    </row>
    <row r="23" spans="2:9" ht="18" customHeight="1" x14ac:dyDescent="0.25">
      <c r="B23" s="61">
        <v>14</v>
      </c>
      <c r="C23" s="16">
        <v>162.65353259116162</v>
      </c>
      <c r="D23" s="16">
        <v>54.301228570926213</v>
      </c>
      <c r="E23" s="59">
        <f t="shared" si="0"/>
        <v>1.5759468555569693</v>
      </c>
      <c r="G23" s="76" t="s">
        <v>15</v>
      </c>
      <c r="H23" s="77" t="s">
        <v>205</v>
      </c>
      <c r="I23" s="76" t="s">
        <v>203</v>
      </c>
    </row>
    <row r="24" spans="2:9" ht="15.75" x14ac:dyDescent="0.25">
      <c r="B24" s="61">
        <v>15</v>
      </c>
      <c r="C24" s="16">
        <v>169.60816868833581</v>
      </c>
      <c r="D24" s="16">
        <v>59.000130386011627</v>
      </c>
      <c r="E24" s="59">
        <f t="shared" si="0"/>
        <v>1.6740838758918732</v>
      </c>
      <c r="G24" s="76" t="s">
        <v>201</v>
      </c>
      <c r="H24" s="76">
        <v>0.24</v>
      </c>
      <c r="I24" s="76">
        <v>0.3239153239568085</v>
      </c>
    </row>
    <row r="25" spans="2:9" ht="15.75" x14ac:dyDescent="0.25">
      <c r="B25" s="61">
        <v>16</v>
      </c>
      <c r="C25" s="16">
        <v>174.52229599621478</v>
      </c>
      <c r="D25" s="16">
        <v>63.337294009498862</v>
      </c>
      <c r="E25" s="59">
        <f t="shared" si="0"/>
        <v>1.7574263379100081</v>
      </c>
      <c r="G25" s="76">
        <v>1</v>
      </c>
      <c r="H25" s="76">
        <v>0.48</v>
      </c>
      <c r="I25" s="76">
        <v>0.38914081950699697</v>
      </c>
    </row>
    <row r="26" spans="2:9" ht="15.75" x14ac:dyDescent="0.25">
      <c r="B26" s="61">
        <v>17</v>
      </c>
      <c r="C26" s="16">
        <v>176.36580645365893</v>
      </c>
      <c r="D26" s="16">
        <v>67.181288947144452</v>
      </c>
      <c r="E26" s="59">
        <f t="shared" si="0"/>
        <v>1.8196219260392295</v>
      </c>
      <c r="G26" s="76">
        <v>5</v>
      </c>
      <c r="H26" s="76">
        <v>0.78</v>
      </c>
      <c r="I26" s="76">
        <v>0.89045039569594797</v>
      </c>
    </row>
    <row r="27" spans="2:9" ht="15.75" x14ac:dyDescent="0.25">
      <c r="B27" s="61">
        <v>18</v>
      </c>
      <c r="C27" s="16">
        <v>176.85296752395814</v>
      </c>
      <c r="D27" s="16">
        <v>70.468950673819393</v>
      </c>
      <c r="E27" s="59">
        <f t="shared" si="0"/>
        <v>1.8671219307859706</v>
      </c>
      <c r="G27" s="76">
        <v>10</v>
      </c>
      <c r="H27" s="76">
        <v>1.1200000000000001</v>
      </c>
      <c r="I27" s="76">
        <v>1.4334604131138056</v>
      </c>
    </row>
    <row r="28" spans="2:9" ht="15.75" x14ac:dyDescent="0.25">
      <c r="B28" s="61">
        <v>19</v>
      </c>
      <c r="C28" s="16">
        <v>176.96686221593114</v>
      </c>
      <c r="D28" s="16">
        <v>73.198958370421622</v>
      </c>
      <c r="E28" s="59">
        <f t="shared" si="0"/>
        <v>1.9045475744059872</v>
      </c>
      <c r="G28" s="76">
        <v>15</v>
      </c>
      <c r="H28" s="76">
        <v>1.62</v>
      </c>
      <c r="I28" s="76">
        <v>1.8200194809271157</v>
      </c>
    </row>
    <row r="29" spans="2:9" ht="15.75" x14ac:dyDescent="0.25">
      <c r="B29" s="61">
        <v>20</v>
      </c>
      <c r="C29" s="16">
        <v>176.99258689482218</v>
      </c>
      <c r="D29" s="16">
        <v>75.414214512323156</v>
      </c>
      <c r="E29" s="59">
        <f t="shared" si="0"/>
        <v>1.9341352717001874</v>
      </c>
      <c r="G29" s="76" t="s">
        <v>202</v>
      </c>
      <c r="H29" s="76">
        <v>1.9</v>
      </c>
      <c r="I29" s="76">
        <v>2.0432191171921676</v>
      </c>
    </row>
    <row r="30" spans="2:9" ht="15.75" x14ac:dyDescent="0.25">
      <c r="B30" s="61">
        <v>21</v>
      </c>
      <c r="C30" s="16">
        <v>176.99834482268849</v>
      </c>
      <c r="D30" s="16">
        <v>77.181939133707928</v>
      </c>
      <c r="E30" s="59">
        <f t="shared" si="0"/>
        <v>1.9573792543965429</v>
      </c>
    </row>
    <row r="31" spans="2:9" ht="15.75" x14ac:dyDescent="0.25">
      <c r="B31" s="61">
        <v>22</v>
      </c>
      <c r="C31" s="16">
        <v>176.99963061786033</v>
      </c>
      <c r="D31" s="16">
        <v>78.577305924346987</v>
      </c>
      <c r="E31" s="59">
        <f t="shared" si="0"/>
        <v>1.9755305890001138</v>
      </c>
    </row>
    <row r="32" spans="2:9" ht="15.75" x14ac:dyDescent="0.25">
      <c r="B32" s="61">
        <v>23</v>
      </c>
      <c r="C32" s="16">
        <v>176.99991757616115</v>
      </c>
      <c r="D32" s="16">
        <v>79.672650885769443</v>
      </c>
      <c r="E32" s="59">
        <f t="shared" si="0"/>
        <v>1.9896665748206297</v>
      </c>
    </row>
    <row r="33" spans="2:5" ht="15.75" x14ac:dyDescent="0.25">
      <c r="B33" s="61">
        <v>24</v>
      </c>
      <c r="C33" s="16">
        <v>176.99998160855375</v>
      </c>
      <c r="D33" s="16">
        <v>80.531777651930497</v>
      </c>
      <c r="E33" s="59">
        <f t="shared" si="0"/>
        <v>2.0006874593674868</v>
      </c>
    </row>
    <row r="34" spans="2:5" ht="15.75" x14ac:dyDescent="0.25">
      <c r="B34" s="163">
        <v>25</v>
      </c>
      <c r="C34" s="104">
        <v>176.99999589630215</v>
      </c>
      <c r="D34" s="104">
        <v>81.207903119037354</v>
      </c>
      <c r="E34" s="105">
        <f t="shared" si="0"/>
        <v>2.0093205933567493</v>
      </c>
    </row>
    <row r="35" spans="2:5" ht="15.75" x14ac:dyDescent="0.25">
      <c r="B35" s="61">
        <v>26</v>
      </c>
      <c r="C35" s="16">
        <v>176.99999908434057</v>
      </c>
      <c r="D35" s="16">
        <v>81.795109593252207</v>
      </c>
      <c r="E35" s="59">
        <f t="shared" si="0"/>
        <v>2.0167900740889615</v>
      </c>
    </row>
    <row r="36" spans="2:5" ht="15.75" x14ac:dyDescent="0.25">
      <c r="B36" s="61">
        <v>27</v>
      </c>
      <c r="C36" s="16">
        <v>176.99999979568872</v>
      </c>
      <c r="D36" s="16">
        <v>82.419966322202043</v>
      </c>
      <c r="E36" s="59">
        <f t="shared" si="0"/>
        <v>2.0247099608044241</v>
      </c>
    </row>
    <row r="37" spans="2:5" ht="15.75" x14ac:dyDescent="0.25">
      <c r="B37" s="61">
        <v>28</v>
      </c>
      <c r="C37" s="16">
        <v>176.999999954412</v>
      </c>
      <c r="D37" s="16">
        <v>83.014032621830779</v>
      </c>
      <c r="E37" s="59">
        <f t="shared" si="0"/>
        <v>2.032212625093889</v>
      </c>
    </row>
    <row r="38" spans="2:5" ht="15.75" x14ac:dyDescent="0.25">
      <c r="B38" s="61">
        <v>29</v>
      </c>
      <c r="C38" s="16">
        <v>176.99999998982793</v>
      </c>
      <c r="D38" s="16">
        <v>83.57754952483802</v>
      </c>
      <c r="E38" s="59">
        <f t="shared" si="0"/>
        <v>2.0393054414853733</v>
      </c>
    </row>
    <row r="39" spans="2:5" ht="15.75" x14ac:dyDescent="0.25">
      <c r="B39" s="61">
        <v>30</v>
      </c>
      <c r="C39" s="16">
        <v>176.9999999977303</v>
      </c>
      <c r="D39" s="16">
        <v>84.110758063923285</v>
      </c>
      <c r="E39" s="59">
        <f t="shared" si="0"/>
        <v>2.0459954499931121</v>
      </c>
    </row>
    <row r="40" spans="2:5" ht="15.75" x14ac:dyDescent="0.25">
      <c r="B40" s="61">
        <v>31</v>
      </c>
      <c r="C40" s="16">
        <v>176.99999999949355</v>
      </c>
      <c r="D40" s="16">
        <v>84.613899271786181</v>
      </c>
      <c r="E40" s="59">
        <f t="shared" si="0"/>
        <v>2.0522893762016219</v>
      </c>
    </row>
    <row r="41" spans="2:5" ht="15.75" x14ac:dyDescent="0.25">
      <c r="B41" s="61">
        <v>32</v>
      </c>
      <c r="C41" s="16">
        <v>176.999999999887</v>
      </c>
      <c r="D41" s="16">
        <v>85.0872141811262</v>
      </c>
      <c r="E41" s="59">
        <f t="shared" si="0"/>
        <v>2.058193648911907</v>
      </c>
    </row>
    <row r="42" spans="2:5" ht="15.75" x14ac:dyDescent="0.25">
      <c r="B42" s="61">
        <v>33</v>
      </c>
      <c r="C42" s="16">
        <v>176.99999999997479</v>
      </c>
      <c r="D42" s="16">
        <v>85.530943824642932</v>
      </c>
      <c r="E42" s="59">
        <f t="shared" si="0"/>
        <v>2.0637144162302161</v>
      </c>
    </row>
    <row r="43" spans="2:5" ht="15.75" x14ac:dyDescent="0.25">
      <c r="B43" s="61">
        <v>34</v>
      </c>
      <c r="C43" s="16">
        <v>176.99999999999437</v>
      </c>
      <c r="D43" s="16">
        <v>85.945329235035928</v>
      </c>
      <c r="E43" s="59">
        <f t="shared" si="0"/>
        <v>2.0688575603865131</v>
      </c>
    </row>
    <row r="44" spans="2:5" ht="15.75" x14ac:dyDescent="0.25">
      <c r="B44" s="61">
        <v>35</v>
      </c>
      <c r="C44" s="16">
        <v>176.99999999999875</v>
      </c>
      <c r="D44" s="16">
        <v>86.330611445004706</v>
      </c>
      <c r="E44" s="59">
        <f t="shared" si="0"/>
        <v>2.0736287114273169</v>
      </c>
    </row>
    <row r="45" spans="2:5" ht="15.75" x14ac:dyDescent="0.25">
      <c r="B45" s="61">
        <v>36</v>
      </c>
      <c r="C45" s="16">
        <v>176.99999999999972</v>
      </c>
      <c r="D45" s="16">
        <v>86.687031487248888</v>
      </c>
      <c r="E45" s="59">
        <f t="shared" si="0"/>
        <v>2.07803325988719</v>
      </c>
    </row>
    <row r="46" spans="2:5" ht="15.75" x14ac:dyDescent="0.25">
      <c r="B46" s="61">
        <v>37</v>
      </c>
      <c r="C46" s="16">
        <v>176.99999999999994</v>
      </c>
      <c r="D46" s="16">
        <v>87.014830394467978</v>
      </c>
      <c r="E46" s="59">
        <f t="shared" si="0"/>
        <v>2.0820763685267405</v>
      </c>
    </row>
    <row r="47" spans="2:5" ht="15.75" x14ac:dyDescent="0.25">
      <c r="B47" s="61">
        <v>38</v>
      </c>
      <c r="C47" s="16">
        <v>177</v>
      </c>
      <c r="D47" s="16">
        <v>87.314249199361527</v>
      </c>
      <c r="E47" s="59">
        <f t="shared" si="0"/>
        <v>2.0857629832146642</v>
      </c>
    </row>
    <row r="48" spans="2:5" ht="15.75" x14ac:dyDescent="0.25">
      <c r="B48" s="61">
        <v>39</v>
      </c>
      <c r="C48" s="16">
        <v>177</v>
      </c>
      <c r="D48" s="16">
        <v>87.58552893462911</v>
      </c>
      <c r="E48" s="59">
        <f t="shared" si="0"/>
        <v>2.089097843023298</v>
      </c>
    </row>
    <row r="49" spans="2:5" ht="15.75" x14ac:dyDescent="0.25">
      <c r="B49" s="61">
        <v>40</v>
      </c>
      <c r="C49" s="16">
        <v>177</v>
      </c>
      <c r="D49" s="16">
        <v>87.828910632970278</v>
      </c>
      <c r="E49" s="59">
        <f t="shared" si="0"/>
        <v>2.0920854896000871</v>
      </c>
    </row>
    <row r="50" spans="2:5" ht="15.75" x14ac:dyDescent="0.25">
      <c r="B50" s="61">
        <v>41</v>
      </c>
      <c r="C50" s="16">
        <v>177</v>
      </c>
      <c r="D50" s="16">
        <v>88.044635327084606</v>
      </c>
      <c r="E50" s="59">
        <f t="shared" si="0"/>
        <v>2.09473027587127</v>
      </c>
    </row>
    <row r="51" spans="2:5" ht="15.75" x14ac:dyDescent="0.25">
      <c r="B51" s="61">
        <v>42</v>
      </c>
      <c r="C51" s="16">
        <v>177</v>
      </c>
      <c r="D51" s="16">
        <v>88.232944049671602</v>
      </c>
      <c r="E51" s="59">
        <f t="shared" si="0"/>
        <v>2.097036374128507</v>
      </c>
    </row>
    <row r="52" spans="2:5" ht="15.75" x14ac:dyDescent="0.25">
      <c r="B52" s="61">
        <v>43</v>
      </c>
      <c r="C52" s="16">
        <v>177</v>
      </c>
      <c r="D52" s="16">
        <v>88.394077833430842</v>
      </c>
      <c r="E52" s="59">
        <f t="shared" si="0"/>
        <v>2.0990077835443399</v>
      </c>
    </row>
    <row r="53" spans="2:5" ht="15.75" x14ac:dyDescent="0.25">
      <c r="B53" s="61">
        <v>44</v>
      </c>
      <c r="C53" s="16">
        <v>177</v>
      </c>
      <c r="D53" s="16">
        <v>88.528277711061889</v>
      </c>
      <c r="E53" s="59">
        <f t="shared" si="0"/>
        <v>2.1006483371579097</v>
      </c>
    </row>
    <row r="54" spans="2:5" ht="15.75" x14ac:dyDescent="0.25">
      <c r="B54" s="61">
        <v>45</v>
      </c>
      <c r="C54" s="16">
        <v>177</v>
      </c>
      <c r="D54" s="16">
        <v>88.635784715264279</v>
      </c>
      <c r="E54" s="59">
        <f t="shared" si="0"/>
        <v>2.1019617083684641</v>
      </c>
    </row>
    <row r="55" spans="2:5" ht="15.75" x14ac:dyDescent="0.25">
      <c r="B55" s="61">
        <v>46</v>
      </c>
      <c r="C55" s="16">
        <v>177</v>
      </c>
      <c r="D55" s="16">
        <v>88.716839878737574</v>
      </c>
      <c r="E55" s="59">
        <f t="shared" si="0"/>
        <v>2.1029514169706109</v>
      </c>
    </row>
    <row r="56" spans="2:5" ht="15.75" x14ac:dyDescent="0.25">
      <c r="B56" s="61">
        <v>47</v>
      </c>
      <c r="C56" s="16">
        <v>177</v>
      </c>
      <c r="D56" s="16">
        <v>88.771684234181336</v>
      </c>
      <c r="E56" s="59">
        <f t="shared" si="0"/>
        <v>2.1036208347620757</v>
      </c>
    </row>
    <row r="57" spans="2:5" ht="15.75" x14ac:dyDescent="0.25">
      <c r="B57" s="61">
        <v>48</v>
      </c>
      <c r="C57" s="16">
        <v>177</v>
      </c>
      <c r="D57" s="16">
        <v>88.80055881429513</v>
      </c>
      <c r="E57" s="59">
        <f t="shared" si="0"/>
        <v>2.1039731907518453</v>
      </c>
    </row>
    <row r="58" spans="2:5" ht="15.75" x14ac:dyDescent="0.25">
      <c r="B58" s="61">
        <v>49</v>
      </c>
      <c r="C58" s="16">
        <v>177</v>
      </c>
      <c r="D58" s="16">
        <v>88.803704651778489</v>
      </c>
      <c r="E58" s="59">
        <f t="shared" si="0"/>
        <v>2.1040115759939266</v>
      </c>
    </row>
    <row r="59" spans="2:5" ht="15.75" x14ac:dyDescent="0.25">
      <c r="B59" s="61">
        <v>50</v>
      </c>
      <c r="C59" s="16">
        <v>177</v>
      </c>
      <c r="D59" s="16">
        <v>88.781362779330948</v>
      </c>
      <c r="E59" s="59">
        <f t="shared" si="0"/>
        <v>2.1037389480696294</v>
      </c>
    </row>
    <row r="60" spans="2:5" ht="15.75" x14ac:dyDescent="0.25">
      <c r="B60" s="61">
        <v>51</v>
      </c>
      <c r="C60" s="16">
        <v>177</v>
      </c>
      <c r="D60" s="16">
        <v>88.733774229652099</v>
      </c>
      <c r="E60" s="59">
        <f t="shared" si="0"/>
        <v>2.1031581352390387</v>
      </c>
    </row>
    <row r="61" spans="2:5" ht="15.75" x14ac:dyDescent="0.25">
      <c r="B61" s="61">
        <v>52</v>
      </c>
      <c r="C61" s="16">
        <v>177</v>
      </c>
      <c r="D61" s="16">
        <v>88.661180035441461</v>
      </c>
      <c r="E61" s="59">
        <f t="shared" si="0"/>
        <v>2.1022718402804421</v>
      </c>
    </row>
    <row r="62" spans="2:5" ht="15.75" x14ac:dyDescent="0.25">
      <c r="B62" s="61">
        <v>53</v>
      </c>
      <c r="C62" s="16">
        <v>177</v>
      </c>
      <c r="D62" s="16">
        <v>88.563821229398641</v>
      </c>
      <c r="E62" s="59">
        <f t="shared" si="0"/>
        <v>2.1010826440346118</v>
      </c>
    </row>
    <row r="63" spans="2:5" ht="15.75" x14ac:dyDescent="0.25">
      <c r="B63" s="61">
        <v>54</v>
      </c>
      <c r="C63" s="16">
        <v>177</v>
      </c>
      <c r="D63" s="16">
        <v>88.441938844223145</v>
      </c>
      <c r="E63" s="59">
        <f t="shared" si="0"/>
        <v>2.0995930086691916</v>
      </c>
    </row>
    <row r="64" spans="2:5" ht="15.75" x14ac:dyDescent="0.25">
      <c r="B64" s="61">
        <v>55</v>
      </c>
      <c r="C64" s="16">
        <v>177</v>
      </c>
      <c r="D64" s="16">
        <v>88.295773912614564</v>
      </c>
      <c r="E64" s="59">
        <f t="shared" si="0"/>
        <v>2.097805280676921</v>
      </c>
    </row>
    <row r="65" spans="2:5" ht="15.75" x14ac:dyDescent="0.25">
      <c r="B65" s="61">
        <v>56</v>
      </c>
      <c r="C65" s="16">
        <v>177</v>
      </c>
      <c r="D65" s="16">
        <v>88.12556746727239</v>
      </c>
      <c r="E65" s="59">
        <f t="shared" si="0"/>
        <v>2.0957216936199803</v>
      </c>
    </row>
    <row r="66" spans="2:5" ht="15.75" x14ac:dyDescent="0.25">
      <c r="B66" s="61">
        <v>57</v>
      </c>
      <c r="C66" s="16">
        <v>177</v>
      </c>
      <c r="D66" s="16">
        <v>87.931560540896228</v>
      </c>
      <c r="E66" s="59">
        <f t="shared" si="0"/>
        <v>2.0933443706314439</v>
      </c>
    </row>
    <row r="67" spans="2:5" ht="15.75" x14ac:dyDescent="0.25">
      <c r="B67" s="61">
        <v>58</v>
      </c>
      <c r="C67" s="16">
        <v>177</v>
      </c>
      <c r="D67" s="16">
        <v>87.713994166185643</v>
      </c>
      <c r="E67" s="59">
        <f t="shared" si="0"/>
        <v>2.0906753266835714</v>
      </c>
    </row>
    <row r="68" spans="2:5" ht="15.75" x14ac:dyDescent="0.25">
      <c r="B68" s="61">
        <v>59</v>
      </c>
      <c r="C68" s="16">
        <v>177</v>
      </c>
      <c r="D68" s="16">
        <v>87.473109375840153</v>
      </c>
      <c r="E68" s="59">
        <f t="shared" si="0"/>
        <v>2.0877164706315328</v>
      </c>
    </row>
    <row r="69" spans="2:5" ht="15.75" x14ac:dyDescent="0.25">
      <c r="B69" s="61">
        <v>60</v>
      </c>
      <c r="C69" s="16">
        <v>177</v>
      </c>
      <c r="D69" s="16">
        <v>87.209147202559322</v>
      </c>
      <c r="E69" s="59">
        <f t="shared" si="0"/>
        <v>2.0844696070400519</v>
      </c>
    </row>
  </sheetData>
  <mergeCells count="1">
    <mergeCell ref="G22:I2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B1:I69"/>
  <sheetViews>
    <sheetView zoomScale="80" zoomScaleNormal="80" workbookViewId="0">
      <selection activeCell="F9" sqref="F9"/>
    </sheetView>
  </sheetViews>
  <sheetFormatPr defaultRowHeight="15" x14ac:dyDescent="0.25"/>
  <cols>
    <col min="2" max="2" width="19.42578125" customWidth="1"/>
    <col min="3" max="3" width="18.5703125" style="1" customWidth="1"/>
    <col min="4" max="4" width="20.85546875" style="1" customWidth="1"/>
    <col min="5" max="5" width="19.5703125" customWidth="1"/>
    <col min="7" max="7" width="15.42578125" customWidth="1"/>
    <col min="8" max="8" width="20.85546875" customWidth="1"/>
    <col min="9" max="9" width="14.7109375" style="95" customWidth="1"/>
  </cols>
  <sheetData>
    <row r="1" spans="2:9" ht="31.5" x14ac:dyDescent="0.25">
      <c r="B1" s="98" t="s">
        <v>29</v>
      </c>
      <c r="C1" s="9" t="s">
        <v>28</v>
      </c>
      <c r="D1" s="99" t="s">
        <v>27</v>
      </c>
      <c r="E1" s="2"/>
    </row>
    <row r="2" spans="2:9" ht="16.5" thickBot="1" x14ac:dyDescent="0.3">
      <c r="B2" s="100"/>
      <c r="C2" s="101"/>
      <c r="D2" s="102"/>
      <c r="E2" s="2"/>
    </row>
    <row r="5" spans="2:9" ht="15" customHeight="1" x14ac:dyDescent="0.25">
      <c r="B5" s="285" t="s">
        <v>252</v>
      </c>
      <c r="C5" s="285"/>
      <c r="D5" s="285"/>
      <c r="E5" s="285"/>
      <c r="G5" s="295" t="s">
        <v>15</v>
      </c>
      <c r="H5" s="296" t="s">
        <v>220</v>
      </c>
      <c r="I5" s="296" t="s">
        <v>221</v>
      </c>
    </row>
    <row r="6" spans="2:9" ht="15" customHeight="1" x14ac:dyDescent="0.25">
      <c r="B6" s="285" t="s">
        <v>220</v>
      </c>
      <c r="C6" s="285"/>
      <c r="D6" s="285"/>
      <c r="E6" s="285"/>
      <c r="G6" s="297"/>
      <c r="H6" s="298"/>
      <c r="I6" s="298"/>
    </row>
    <row r="7" spans="2:9" ht="15.75" x14ac:dyDescent="0.25">
      <c r="B7" s="294" t="s">
        <v>15</v>
      </c>
      <c r="C7" s="294" t="s">
        <v>253</v>
      </c>
      <c r="D7" s="294" t="s">
        <v>254</v>
      </c>
      <c r="E7" s="294" t="s">
        <v>255</v>
      </c>
      <c r="G7" s="15"/>
      <c r="H7" s="15"/>
      <c r="I7" s="94"/>
    </row>
    <row r="8" spans="2:9" s="145" customFormat="1" ht="15.75" x14ac:dyDescent="0.25">
      <c r="B8" s="127">
        <v>0.01</v>
      </c>
      <c r="C8" s="10">
        <v>4.8377925320663246</v>
      </c>
      <c r="D8" s="10">
        <v>35</v>
      </c>
      <c r="E8" s="10">
        <f>C8 / ((D8 / 100)^2)</f>
        <v>39.49218393523531</v>
      </c>
      <c r="G8" s="5" t="s">
        <v>289</v>
      </c>
      <c r="H8" s="6">
        <v>12.29716980187337</v>
      </c>
      <c r="I8" s="94"/>
    </row>
    <row r="9" spans="2:9" ht="15.75" x14ac:dyDescent="0.25">
      <c r="B9" s="61">
        <v>0.5</v>
      </c>
      <c r="C9" s="10">
        <v>7.0759454883143711</v>
      </c>
      <c r="D9" s="10">
        <v>75.856044590075541</v>
      </c>
      <c r="E9" s="10">
        <f>C9 / ((D9 / 100)^2)</f>
        <v>12.297139280803382</v>
      </c>
      <c r="G9" s="5" t="s">
        <v>290</v>
      </c>
      <c r="H9" s="6">
        <v>14.441426235012466</v>
      </c>
      <c r="I9" s="94"/>
    </row>
    <row r="10" spans="2:9" ht="15.75" x14ac:dyDescent="0.25">
      <c r="B10" s="61">
        <v>1</v>
      </c>
      <c r="C10" s="10">
        <v>9.0775771843511723</v>
      </c>
      <c r="D10" s="10">
        <v>82.418992336377414</v>
      </c>
      <c r="E10" s="10">
        <f t="shared" ref="E10:E69" si="0">C10 / ((D10 / 100)^2)</f>
        <v>13.363350188896998</v>
      </c>
      <c r="G10" s="5" t="s">
        <v>291</v>
      </c>
      <c r="H10" s="6">
        <v>16.468190199859553</v>
      </c>
      <c r="I10" s="94">
        <v>16.574999999999999</v>
      </c>
    </row>
    <row r="11" spans="2:9" ht="15.75" x14ac:dyDescent="0.25">
      <c r="B11" s="61">
        <v>2</v>
      </c>
      <c r="C11" s="10">
        <v>12.469385771384614</v>
      </c>
      <c r="D11" s="10">
        <v>89.757289332090551</v>
      </c>
      <c r="E11" s="10">
        <f t="shared" si="0"/>
        <v>15.477670764639823</v>
      </c>
      <c r="G11" s="5" t="s">
        <v>292</v>
      </c>
      <c r="H11" s="6">
        <v>16.89949606773245</v>
      </c>
      <c r="I11" s="94">
        <v>16.065000000000001</v>
      </c>
    </row>
    <row r="12" spans="2:9" ht="15.75" x14ac:dyDescent="0.25">
      <c r="B12" s="61">
        <v>3</v>
      </c>
      <c r="C12" s="10">
        <v>15.33180604994063</v>
      </c>
      <c r="D12" s="10">
        <v>93.809863263097313</v>
      </c>
      <c r="E12" s="10">
        <f t="shared" si="0"/>
        <v>17.421931861218585</v>
      </c>
      <c r="G12" s="5" t="s">
        <v>293</v>
      </c>
      <c r="H12" s="6">
        <v>16.098904135055353</v>
      </c>
      <c r="I12" s="94">
        <v>15.67</v>
      </c>
    </row>
    <row r="13" spans="2:9" ht="15.75" x14ac:dyDescent="0.25">
      <c r="B13" s="61">
        <v>4</v>
      </c>
      <c r="C13" s="10">
        <v>17.908606982755128</v>
      </c>
      <c r="D13" s="10">
        <v>104.31547385296165</v>
      </c>
      <c r="E13" s="10">
        <f t="shared" si="0"/>
        <v>16.457517868584596</v>
      </c>
      <c r="G13" s="5" t="s">
        <v>294</v>
      </c>
      <c r="H13" s="6">
        <v>15.626748723014323</v>
      </c>
      <c r="I13" s="94">
        <v>15.75</v>
      </c>
    </row>
    <row r="14" spans="2:9" ht="15.75" x14ac:dyDescent="0.25">
      <c r="B14" s="61">
        <v>5</v>
      </c>
      <c r="C14" s="10">
        <v>20.38127759653889</v>
      </c>
      <c r="D14" s="10">
        <v>113.49444144934381</v>
      </c>
      <c r="E14" s="10">
        <f t="shared" si="0"/>
        <v>15.822759261132157</v>
      </c>
      <c r="G14" s="5" t="s">
        <v>295</v>
      </c>
      <c r="H14" s="6">
        <v>15.464619552384676</v>
      </c>
      <c r="I14" s="94">
        <v>16.149999999999999</v>
      </c>
    </row>
    <row r="15" spans="2:9" ht="15.75" x14ac:dyDescent="0.25">
      <c r="B15" s="61">
        <v>6</v>
      </c>
      <c r="C15" s="10">
        <v>22.899044891228044</v>
      </c>
      <c r="D15" s="10">
        <v>121.51441728971477</v>
      </c>
      <c r="E15" s="10">
        <f t="shared" si="0"/>
        <v>15.508212785610276</v>
      </c>
      <c r="G15" s="5" t="s">
        <v>296</v>
      </c>
      <c r="H15" s="6">
        <v>15.593437798638172</v>
      </c>
      <c r="I15" s="94">
        <v>16.600000000000001</v>
      </c>
    </row>
    <row r="16" spans="2:9" ht="15.75" x14ac:dyDescent="0.25">
      <c r="B16" s="61">
        <v>7</v>
      </c>
      <c r="C16" s="10">
        <v>25.592430754887268</v>
      </c>
      <c r="D16" s="10">
        <v>128.52216501227917</v>
      </c>
      <c r="E16" s="10">
        <f t="shared" si="0"/>
        <v>15.493711725002255</v>
      </c>
      <c r="G16" s="5" t="s">
        <v>297</v>
      </c>
      <c r="H16" s="6">
        <v>15.996645167257942</v>
      </c>
      <c r="I16" s="94">
        <v>17.16</v>
      </c>
    </row>
    <row r="17" spans="2:9" ht="15.75" x14ac:dyDescent="0.25">
      <c r="B17" s="61">
        <v>8</v>
      </c>
      <c r="C17" s="10">
        <v>28.575820928596343</v>
      </c>
      <c r="D17" s="10">
        <v>134.64688608440872</v>
      </c>
      <c r="E17" s="10">
        <f t="shared" si="0"/>
        <v>15.761809978220203</v>
      </c>
      <c r="G17" s="5" t="s">
        <v>298</v>
      </c>
      <c r="H17" s="6">
        <v>16.654244942212689</v>
      </c>
      <c r="I17" s="94">
        <v>17.934999999999999</v>
      </c>
    </row>
    <row r="18" spans="2:9" ht="15.75" x14ac:dyDescent="0.25">
      <c r="B18" s="61">
        <v>9</v>
      </c>
      <c r="C18" s="10">
        <v>31.940959644573518</v>
      </c>
      <c r="D18" s="10">
        <v>140.00478806994821</v>
      </c>
      <c r="E18" s="10">
        <f t="shared" si="0"/>
        <v>16.295293348516807</v>
      </c>
      <c r="G18" s="5" t="s">
        <v>299</v>
      </c>
      <c r="H18" s="6">
        <v>17.531956383724435</v>
      </c>
      <c r="I18" s="94">
        <v>18.37</v>
      </c>
    </row>
    <row r="19" spans="2:9" ht="15.75" x14ac:dyDescent="0.25">
      <c r="B19" s="61">
        <v>10</v>
      </c>
      <c r="C19" s="10">
        <v>35.742930987515741</v>
      </c>
      <c r="D19" s="10">
        <v>144.70873770125988</v>
      </c>
      <c r="E19" s="10">
        <f t="shared" si="0"/>
        <v>17.068708133727831</v>
      </c>
      <c r="G19" s="5" t="s">
        <v>300</v>
      </c>
      <c r="H19" s="6">
        <v>18.562420504619762</v>
      </c>
      <c r="I19" s="94">
        <v>18.850000000000001</v>
      </c>
    </row>
    <row r="20" spans="2:9" ht="15.75" x14ac:dyDescent="0.25">
      <c r="B20" s="61">
        <v>11</v>
      </c>
      <c r="C20" s="10">
        <v>39.982278220873482</v>
      </c>
      <c r="D20" s="10">
        <v>148.89570469529519</v>
      </c>
      <c r="E20" s="10">
        <f t="shared" si="0"/>
        <v>18.034462282820357</v>
      </c>
      <c r="G20" s="5" t="s">
        <v>301</v>
      </c>
      <c r="H20" s="6">
        <v>19.603755771089176</v>
      </c>
      <c r="I20" s="94">
        <v>19.829999999999998</v>
      </c>
    </row>
    <row r="21" spans="2:9" ht="15.75" x14ac:dyDescent="0.25">
      <c r="B21" s="61">
        <v>12</v>
      </c>
      <c r="C21" s="10">
        <v>44.590410457317788</v>
      </c>
      <c r="D21" s="10">
        <v>152.81107826142005</v>
      </c>
      <c r="E21" s="10">
        <f t="shared" si="0"/>
        <v>19.095533204924077</v>
      </c>
      <c r="G21" s="5" t="s">
        <v>302</v>
      </c>
      <c r="H21" s="6">
        <v>20.365260952373141</v>
      </c>
      <c r="I21" s="94">
        <v>20.170000000000002</v>
      </c>
    </row>
    <row r="22" spans="2:9" ht="15.75" x14ac:dyDescent="0.25">
      <c r="B22" s="61">
        <v>13</v>
      </c>
      <c r="C22" s="10">
        <v>49.42771554129417</v>
      </c>
      <c r="D22" s="10">
        <v>157.03197224257593</v>
      </c>
      <c r="E22" s="10">
        <f t="shared" si="0"/>
        <v>20.044460338742169</v>
      </c>
      <c r="G22" s="5" t="s">
        <v>303</v>
      </c>
      <c r="H22" s="6">
        <v>20.538962216627699</v>
      </c>
      <c r="I22" s="94">
        <v>20.84</v>
      </c>
    </row>
    <row r="23" spans="2:9" ht="15.75" x14ac:dyDescent="0.25">
      <c r="B23" s="61">
        <v>14</v>
      </c>
      <c r="C23" s="10">
        <v>54.301228570926213</v>
      </c>
      <c r="D23" s="10">
        <v>162.65353259116162</v>
      </c>
      <c r="E23" s="10">
        <f t="shared" si="0"/>
        <v>20.524975895899484</v>
      </c>
      <c r="G23" s="5" t="s">
        <v>304</v>
      </c>
      <c r="H23" s="6">
        <v>20.572330976384745</v>
      </c>
      <c r="I23" s="94">
        <v>22.164999999999999</v>
      </c>
    </row>
    <row r="24" spans="2:9" ht="15.75" x14ac:dyDescent="0.25">
      <c r="B24" s="61">
        <v>15</v>
      </c>
      <c r="C24" s="10">
        <v>59.000130386011627</v>
      </c>
      <c r="D24" s="10">
        <v>169.60816868833581</v>
      </c>
      <c r="E24" s="10">
        <f t="shared" si="0"/>
        <v>20.509706308333676</v>
      </c>
      <c r="G24" s="5" t="s">
        <v>305</v>
      </c>
      <c r="H24" s="6">
        <v>21.15650200995627</v>
      </c>
      <c r="I24" s="94">
        <v>22.63</v>
      </c>
    </row>
    <row r="25" spans="2:9" ht="15.75" x14ac:dyDescent="0.25">
      <c r="B25" s="61">
        <v>16</v>
      </c>
      <c r="C25" s="10">
        <v>63.337294009498862</v>
      </c>
      <c r="D25" s="10">
        <v>174.52229599621478</v>
      </c>
      <c r="E25" s="10">
        <f t="shared" si="0"/>
        <v>20.794939878529743</v>
      </c>
      <c r="G25" s="5" t="s">
        <v>306</v>
      </c>
      <c r="H25" s="6">
        <v>22.067674052218397</v>
      </c>
      <c r="I25" s="94">
        <v>22.98</v>
      </c>
    </row>
    <row r="26" spans="2:9" ht="15.75" x14ac:dyDescent="0.25">
      <c r="B26" s="61">
        <v>17</v>
      </c>
      <c r="C26" s="10">
        <v>67.181288947144452</v>
      </c>
      <c r="D26" s="10">
        <v>176.36580645365893</v>
      </c>
      <c r="E26" s="10">
        <f t="shared" si="0"/>
        <v>21.598299285605815</v>
      </c>
      <c r="G26" s="5" t="s">
        <v>307</v>
      </c>
      <c r="H26" s="6">
        <v>22.968688778705847</v>
      </c>
      <c r="I26" s="94">
        <v>24.13</v>
      </c>
    </row>
    <row r="27" spans="2:9" ht="15.75" x14ac:dyDescent="0.25">
      <c r="B27" s="61">
        <v>18</v>
      </c>
      <c r="C27" s="10">
        <v>70.468950673819393</v>
      </c>
      <c r="D27" s="10">
        <v>176.85296752395814</v>
      </c>
      <c r="E27" s="10">
        <f t="shared" si="0"/>
        <v>22.530617861242398</v>
      </c>
      <c r="G27" s="5" t="s">
        <v>308</v>
      </c>
      <c r="H27" s="6">
        <v>23.741661957693964</v>
      </c>
      <c r="I27" s="94">
        <v>23.594999999999999</v>
      </c>
    </row>
    <row r="28" spans="2:9" ht="15.75" x14ac:dyDescent="0.25">
      <c r="B28" s="61">
        <v>19</v>
      </c>
      <c r="C28" s="10">
        <v>73.198958370421622</v>
      </c>
      <c r="D28" s="10">
        <v>176.96686221593114</v>
      </c>
      <c r="E28" s="10">
        <f t="shared" si="0"/>
        <v>23.373352024780143</v>
      </c>
      <c r="G28" s="5" t="s">
        <v>309</v>
      </c>
      <c r="H28" s="6">
        <v>24.371147851485944</v>
      </c>
      <c r="I28" s="94">
        <v>25.024999999999999</v>
      </c>
    </row>
    <row r="29" spans="2:9" ht="15.75" x14ac:dyDescent="0.25">
      <c r="B29" s="61">
        <v>20</v>
      </c>
      <c r="C29" s="10">
        <v>75.414214512323156</v>
      </c>
      <c r="D29" s="10">
        <v>176.99258689482218</v>
      </c>
      <c r="E29" s="10">
        <f t="shared" si="0"/>
        <v>24.073711863750432</v>
      </c>
      <c r="G29" s="5" t="s">
        <v>310</v>
      </c>
      <c r="H29" s="6">
        <v>24.872219201734559</v>
      </c>
      <c r="I29" s="94">
        <v>25.81</v>
      </c>
    </row>
    <row r="30" spans="2:9" ht="15.75" x14ac:dyDescent="0.25">
      <c r="B30" s="61">
        <v>21</v>
      </c>
      <c r="C30" s="10">
        <v>77.181939133707928</v>
      </c>
      <c r="D30" s="10">
        <v>176.99834482268849</v>
      </c>
      <c r="E30" s="10">
        <f t="shared" si="0"/>
        <v>24.636401626116061</v>
      </c>
      <c r="G30" s="5" t="s">
        <v>311</v>
      </c>
      <c r="H30" s="6">
        <v>25.266816104131305</v>
      </c>
      <c r="I30" s="94">
        <v>23.635000000000002</v>
      </c>
    </row>
    <row r="31" spans="2:9" ht="15.75" x14ac:dyDescent="0.25">
      <c r="B31" s="61">
        <v>22</v>
      </c>
      <c r="C31" s="10">
        <v>78.577305924346987</v>
      </c>
      <c r="D31" s="10">
        <v>176.99963061786033</v>
      </c>
      <c r="E31" s="10">
        <f t="shared" si="0"/>
        <v>25.081436972797931</v>
      </c>
      <c r="G31" s="5" t="s">
        <v>312</v>
      </c>
      <c r="H31" s="6">
        <v>25.576364992575158</v>
      </c>
      <c r="I31" s="94">
        <v>25.135000000000002</v>
      </c>
    </row>
    <row r="32" spans="2:9" ht="15.75" x14ac:dyDescent="0.25">
      <c r="B32" s="61">
        <v>23</v>
      </c>
      <c r="C32" s="10">
        <v>79.672650885769443</v>
      </c>
      <c r="D32" s="10">
        <v>176.99991757616115</v>
      </c>
      <c r="E32" s="10">
        <f t="shared" si="0"/>
        <v>25.430982504507636</v>
      </c>
      <c r="G32" s="5" t="s">
        <v>313</v>
      </c>
      <c r="H32" s="6">
        <v>25.819469238246779</v>
      </c>
      <c r="I32" s="94">
        <v>26.62</v>
      </c>
    </row>
    <row r="33" spans="2:9" ht="15.75" x14ac:dyDescent="0.25">
      <c r="B33" s="61">
        <v>24</v>
      </c>
      <c r="C33" s="10">
        <v>80.531777651930497</v>
      </c>
      <c r="D33" s="10">
        <v>176.99998160855375</v>
      </c>
      <c r="E33" s="10">
        <f t="shared" si="0"/>
        <v>25.705191479932186</v>
      </c>
      <c r="G33" s="5" t="s">
        <v>314</v>
      </c>
      <c r="H33" s="6">
        <v>26.011388449180235</v>
      </c>
      <c r="I33" s="94">
        <v>26.52</v>
      </c>
    </row>
    <row r="34" spans="2:9" ht="15.75" x14ac:dyDescent="0.25">
      <c r="B34" s="163">
        <v>25</v>
      </c>
      <c r="C34" s="26">
        <v>81.207903119037354</v>
      </c>
      <c r="D34" s="26">
        <v>176.99999589630215</v>
      </c>
      <c r="E34" s="26">
        <f t="shared" si="0"/>
        <v>25.921001910244403</v>
      </c>
      <c r="G34" s="5" t="s">
        <v>315</v>
      </c>
      <c r="H34" s="6">
        <v>26.300784167852225</v>
      </c>
      <c r="I34" s="94">
        <v>26.44</v>
      </c>
    </row>
    <row r="35" spans="2:9" ht="15.75" x14ac:dyDescent="0.25">
      <c r="B35" s="61">
        <v>26</v>
      </c>
      <c r="C35" s="10">
        <v>81.795109593252207</v>
      </c>
      <c r="D35" s="10">
        <v>176.99999908434057</v>
      </c>
      <c r="E35" s="10">
        <f t="shared" si="0"/>
        <v>26.108433221468907</v>
      </c>
      <c r="G35" s="5" t="s">
        <v>316</v>
      </c>
      <c r="H35" s="6">
        <v>26.49598866698955</v>
      </c>
      <c r="I35" s="94">
        <v>26.91</v>
      </c>
    </row>
    <row r="36" spans="2:9" ht="15.75" x14ac:dyDescent="0.25">
      <c r="B36" s="61">
        <v>27</v>
      </c>
      <c r="C36" s="10">
        <v>82.419966322202043</v>
      </c>
      <c r="D36" s="10">
        <v>176.99999979568872</v>
      </c>
      <c r="E36" s="10">
        <f t="shared" si="0"/>
        <v>26.307882955880157</v>
      </c>
      <c r="G36" s="5" t="s">
        <v>317</v>
      </c>
      <c r="H36" s="6">
        <v>26.68136948272857</v>
      </c>
      <c r="I36" s="94">
        <v>26.63</v>
      </c>
    </row>
    <row r="37" spans="2:9" ht="15.75" x14ac:dyDescent="0.25">
      <c r="B37" s="61">
        <v>28</v>
      </c>
      <c r="C37" s="10">
        <v>83.014032621830779</v>
      </c>
      <c r="D37" s="10">
        <v>176.999999954412</v>
      </c>
      <c r="E37" s="10">
        <f t="shared" si="0"/>
        <v>26.497504760634829</v>
      </c>
      <c r="G37" s="5" t="s">
        <v>318</v>
      </c>
      <c r="H37" s="6">
        <v>26.857003759440111</v>
      </c>
      <c r="I37" s="94">
        <v>29.4</v>
      </c>
    </row>
    <row r="38" spans="2:9" ht="15.75" x14ac:dyDescent="0.25">
      <c r="B38" s="61">
        <v>29</v>
      </c>
      <c r="C38" s="10">
        <v>83.57754952483802</v>
      </c>
      <c r="D38" s="10">
        <v>176.99999998982793</v>
      </c>
      <c r="E38" s="10">
        <f t="shared" si="0"/>
        <v>26.67737544589496</v>
      </c>
      <c r="G38" s="5" t="s">
        <v>319</v>
      </c>
      <c r="H38" s="6">
        <v>27.02296868790712</v>
      </c>
      <c r="I38" s="94">
        <v>26.855</v>
      </c>
    </row>
    <row r="39" spans="2:9" ht="15.75" x14ac:dyDescent="0.25">
      <c r="B39" s="61">
        <v>30</v>
      </c>
      <c r="C39" s="10">
        <v>84.110758063923285</v>
      </c>
      <c r="D39" s="10">
        <v>176.9999999977303</v>
      </c>
      <c r="E39" s="10">
        <f t="shared" si="0"/>
        <v>26.847571919333657</v>
      </c>
      <c r="G39" s="5" t="s">
        <v>320</v>
      </c>
      <c r="H39" s="6">
        <v>27.179341469350536</v>
      </c>
      <c r="I39" s="94">
        <v>25.76</v>
      </c>
    </row>
    <row r="40" spans="2:9" ht="15.75" x14ac:dyDescent="0.25">
      <c r="B40" s="61">
        <v>31</v>
      </c>
      <c r="C40" s="10">
        <v>84.613899271786181</v>
      </c>
      <c r="D40" s="10">
        <v>176.99999999949355</v>
      </c>
      <c r="E40" s="10">
        <f t="shared" si="0"/>
        <v>27.008171110559029</v>
      </c>
      <c r="G40" s="5" t="s">
        <v>321</v>
      </c>
      <c r="H40" s="6">
        <v>27.326199307337728</v>
      </c>
      <c r="I40" s="94">
        <v>29.19</v>
      </c>
    </row>
    <row r="41" spans="2:9" ht="15.75" x14ac:dyDescent="0.25">
      <c r="B41" s="61">
        <v>32</v>
      </c>
      <c r="C41" s="10">
        <v>85.0872141811262</v>
      </c>
      <c r="D41" s="10">
        <v>176.999999999887</v>
      </c>
      <c r="E41" s="10">
        <f t="shared" si="0"/>
        <v>27.159249954111157</v>
      </c>
      <c r="G41" s="5" t="s">
        <v>322</v>
      </c>
      <c r="H41" s="6">
        <v>27.46361940596336</v>
      </c>
      <c r="I41" s="94">
        <v>27.84</v>
      </c>
    </row>
    <row r="42" spans="2:9" ht="15.75" x14ac:dyDescent="0.25">
      <c r="B42" s="61">
        <v>33</v>
      </c>
      <c r="C42" s="10">
        <v>85.530943824642932</v>
      </c>
      <c r="D42" s="10">
        <v>176.99999999997479</v>
      </c>
      <c r="E42" s="10">
        <f t="shared" si="0"/>
        <v>27.300885385638637</v>
      </c>
      <c r="G42" s="5" t="s">
        <v>323</v>
      </c>
      <c r="H42" s="6">
        <v>27.591678969440508</v>
      </c>
      <c r="I42" s="94">
        <v>27.655000000000001</v>
      </c>
    </row>
    <row r="43" spans="2:9" ht="15.75" x14ac:dyDescent="0.25">
      <c r="B43" s="61">
        <v>34</v>
      </c>
      <c r="C43" s="10">
        <v>85.945329235035928</v>
      </c>
      <c r="D43" s="10">
        <v>176.99999999999437</v>
      </c>
      <c r="E43" s="10">
        <f t="shared" si="0"/>
        <v>27.433154341039103</v>
      </c>
      <c r="G43" s="5" t="s">
        <v>324</v>
      </c>
      <c r="H43" s="6">
        <v>27.71045520200882</v>
      </c>
      <c r="I43" s="94">
        <v>28.645</v>
      </c>
    </row>
    <row r="44" spans="2:9" ht="15.75" x14ac:dyDescent="0.25">
      <c r="B44" s="61">
        <v>35</v>
      </c>
      <c r="C44" s="10">
        <v>86.330611445004706</v>
      </c>
      <c r="D44" s="10">
        <v>176.99999999999875</v>
      </c>
      <c r="E44" s="10">
        <f t="shared" si="0"/>
        <v>27.556133756266053</v>
      </c>
      <c r="G44" s="5" t="s">
        <v>325</v>
      </c>
      <c r="H44" s="6">
        <v>27.82002530791393</v>
      </c>
      <c r="I44" s="94">
        <v>28.43</v>
      </c>
    </row>
    <row r="45" spans="2:9" ht="15.75" x14ac:dyDescent="0.25">
      <c r="B45" s="61">
        <v>36</v>
      </c>
      <c r="C45" s="10">
        <v>86.687031487248888</v>
      </c>
      <c r="D45" s="10">
        <v>176.99999999999972</v>
      </c>
      <c r="E45" s="10">
        <f t="shared" si="0"/>
        <v>27.669900567285634</v>
      </c>
      <c r="G45" s="5" t="s">
        <v>326</v>
      </c>
      <c r="H45" s="6">
        <v>27.920466491402809</v>
      </c>
      <c r="I45" s="94">
        <v>27.8</v>
      </c>
    </row>
    <row r="46" spans="2:9" ht="15.75" x14ac:dyDescent="0.25">
      <c r="B46" s="61">
        <v>37</v>
      </c>
      <c r="C46" s="10">
        <v>87.014830394467978</v>
      </c>
      <c r="D46" s="10">
        <v>176.99999999999994</v>
      </c>
      <c r="E46" s="10">
        <f t="shared" si="0"/>
        <v>27.774531710066725</v>
      </c>
      <c r="G46" s="5" t="s">
        <v>327</v>
      </c>
      <c r="H46" s="6">
        <v>28.011855956722734</v>
      </c>
      <c r="I46" s="94">
        <v>28.114999999999998</v>
      </c>
    </row>
    <row r="47" spans="2:9" ht="15.75" x14ac:dyDescent="0.25">
      <c r="B47" s="61">
        <v>38</v>
      </c>
      <c r="C47" s="10">
        <v>87.314249199361527</v>
      </c>
      <c r="D47" s="10">
        <v>177</v>
      </c>
      <c r="E47" s="10">
        <f t="shared" si="0"/>
        <v>27.870104120578862</v>
      </c>
      <c r="G47" s="5" t="s">
        <v>328</v>
      </c>
      <c r="H47" s="6">
        <v>28.094270908121036</v>
      </c>
      <c r="I47" s="94">
        <v>28.06</v>
      </c>
    </row>
    <row r="48" spans="2:9" ht="15.75" x14ac:dyDescent="0.25">
      <c r="B48" s="61">
        <v>39</v>
      </c>
      <c r="C48" s="10">
        <v>87.58552893462911</v>
      </c>
      <c r="D48" s="10">
        <v>177</v>
      </c>
      <c r="E48" s="10">
        <f t="shared" si="0"/>
        <v>27.95669473479176</v>
      </c>
      <c r="G48" s="5" t="s">
        <v>329</v>
      </c>
      <c r="H48" s="6">
        <v>28.167788549845074</v>
      </c>
      <c r="I48" s="94">
        <v>27.01</v>
      </c>
    </row>
    <row r="49" spans="2:9" ht="15.75" x14ac:dyDescent="0.25">
      <c r="B49" s="61">
        <v>40</v>
      </c>
      <c r="C49" s="10">
        <v>87.828910632970278</v>
      </c>
      <c r="D49" s="10">
        <v>177</v>
      </c>
      <c r="E49" s="10">
        <f t="shared" si="0"/>
        <v>28.034380488675115</v>
      </c>
      <c r="G49" s="5" t="s">
        <v>330</v>
      </c>
      <c r="H49" s="6">
        <v>28.232486086142195</v>
      </c>
      <c r="I49" s="94">
        <v>29.175000000000001</v>
      </c>
    </row>
    <row r="50" spans="2:9" ht="15.75" x14ac:dyDescent="0.25">
      <c r="B50" s="61">
        <v>41</v>
      </c>
      <c r="C50" s="10">
        <v>88.044635327084606</v>
      </c>
      <c r="D50" s="10">
        <v>177</v>
      </c>
      <c r="E50" s="10">
        <f t="shared" si="0"/>
        <v>28.103238318198667</v>
      </c>
      <c r="G50" s="5" t="s">
        <v>331</v>
      </c>
      <c r="H50" s="6">
        <v>28.288440721259761</v>
      </c>
      <c r="I50" s="94">
        <v>28.914999999999999</v>
      </c>
    </row>
    <row r="51" spans="2:9" ht="15.75" x14ac:dyDescent="0.25">
      <c r="B51" s="61">
        <v>42</v>
      </c>
      <c r="C51" s="10">
        <v>88.232944049671602</v>
      </c>
      <c r="D51" s="10">
        <v>177</v>
      </c>
      <c r="E51" s="10">
        <f t="shared" si="0"/>
        <v>28.16334515933212</v>
      </c>
      <c r="G51" s="5" t="s">
        <v>332</v>
      </c>
      <c r="H51" s="6">
        <v>28.335729659445128</v>
      </c>
      <c r="I51" s="94">
        <v>29.97</v>
      </c>
    </row>
    <row r="52" spans="2:9" ht="15.75" x14ac:dyDescent="0.25">
      <c r="B52" s="61">
        <v>43</v>
      </c>
      <c r="C52" s="10">
        <v>88.394077833430842</v>
      </c>
      <c r="D52" s="10">
        <v>177</v>
      </c>
      <c r="E52" s="10">
        <f t="shared" si="0"/>
        <v>28.21477794804521</v>
      </c>
      <c r="G52" s="5" t="s">
        <v>333</v>
      </c>
      <c r="H52" s="6">
        <v>28.374430104945652</v>
      </c>
      <c r="I52" s="94">
        <v>27.805</v>
      </c>
    </row>
    <row r="53" spans="2:9" ht="15.75" x14ac:dyDescent="0.25">
      <c r="B53" s="61">
        <v>44</v>
      </c>
      <c r="C53" s="10">
        <v>88.528277711061889</v>
      </c>
      <c r="D53" s="10">
        <v>177</v>
      </c>
      <c r="E53" s="10">
        <f t="shared" si="0"/>
        <v>28.257613620307666</v>
      </c>
      <c r="G53" s="5" t="s">
        <v>334</v>
      </c>
      <c r="H53" s="6">
        <v>28.404619262008687</v>
      </c>
      <c r="I53" s="94">
        <v>29.92</v>
      </c>
    </row>
    <row r="54" spans="2:9" ht="15.75" x14ac:dyDescent="0.25">
      <c r="B54" s="61">
        <v>45</v>
      </c>
      <c r="C54" s="10">
        <v>88.635784715264279</v>
      </c>
      <c r="D54" s="10">
        <v>177</v>
      </c>
      <c r="E54" s="10">
        <f t="shared" si="0"/>
        <v>28.291929112089207</v>
      </c>
      <c r="G54" s="5" t="s">
        <v>335</v>
      </c>
      <c r="H54" s="6">
        <v>28.426374334881594</v>
      </c>
      <c r="I54" s="94">
        <v>28.06</v>
      </c>
    </row>
    <row r="55" spans="2:9" ht="15.75" x14ac:dyDescent="0.25">
      <c r="B55" s="61">
        <v>46</v>
      </c>
      <c r="C55" s="10">
        <v>88.716839878737574</v>
      </c>
      <c r="D55" s="10">
        <v>177</v>
      </c>
      <c r="E55" s="10">
        <f t="shared" si="0"/>
        <v>28.31780135935956</v>
      </c>
      <c r="G55" s="5" t="s">
        <v>336</v>
      </c>
      <c r="H55" s="6">
        <v>28.439772527811733</v>
      </c>
      <c r="I55" s="94">
        <v>28.63</v>
      </c>
    </row>
    <row r="56" spans="2:9" ht="15.75" x14ac:dyDescent="0.25">
      <c r="B56" s="61">
        <v>47</v>
      </c>
      <c r="C56" s="10">
        <v>88.771684234181336</v>
      </c>
      <c r="D56" s="10">
        <v>177</v>
      </c>
      <c r="E56" s="10">
        <f t="shared" si="0"/>
        <v>28.335307298088459</v>
      </c>
      <c r="G56" s="5" t="s">
        <v>337</v>
      </c>
      <c r="H56" s="6">
        <v>28.444891045046454</v>
      </c>
      <c r="I56" s="94">
        <v>27.74</v>
      </c>
    </row>
    <row r="57" spans="2:9" ht="15.75" x14ac:dyDescent="0.25">
      <c r="B57" s="61">
        <v>48</v>
      </c>
      <c r="C57" s="10">
        <v>88.80055881429513</v>
      </c>
      <c r="D57" s="10">
        <v>177</v>
      </c>
      <c r="E57" s="10">
        <f t="shared" si="0"/>
        <v>28.344523864245627</v>
      </c>
      <c r="G57" s="5" t="s">
        <v>338</v>
      </c>
      <c r="H57" s="6">
        <v>28.441807090833116</v>
      </c>
      <c r="I57" s="94">
        <v>27.5</v>
      </c>
    </row>
    <row r="58" spans="2:9" ht="15.75" x14ac:dyDescent="0.25">
      <c r="B58" s="61">
        <v>49</v>
      </c>
      <c r="C58" s="10">
        <v>88.803704651778489</v>
      </c>
      <c r="D58" s="10">
        <v>177</v>
      </c>
      <c r="E58" s="10">
        <f t="shared" si="0"/>
        <v>28.345527993800786</v>
      </c>
      <c r="G58" s="5" t="s">
        <v>339</v>
      </c>
      <c r="H58" s="6">
        <v>28.430597869419081</v>
      </c>
      <c r="I58" s="94">
        <v>26.754999999999999</v>
      </c>
    </row>
    <row r="59" spans="2:9" ht="15.75" x14ac:dyDescent="0.25">
      <c r="B59" s="61">
        <v>50</v>
      </c>
      <c r="C59" s="10">
        <v>88.781362779330948</v>
      </c>
      <c r="D59" s="10">
        <v>177</v>
      </c>
      <c r="E59" s="10">
        <f t="shared" si="0"/>
        <v>28.338396622723657</v>
      </c>
      <c r="G59" s="5" t="s">
        <v>340</v>
      </c>
      <c r="H59" s="6">
        <v>28.411340585051693</v>
      </c>
      <c r="I59" s="94">
        <v>26.8</v>
      </c>
    </row>
    <row r="60" spans="2:9" ht="15.75" x14ac:dyDescent="0.25">
      <c r="B60" s="61">
        <v>51</v>
      </c>
      <c r="C60" s="10">
        <v>88.733774229652099</v>
      </c>
      <c r="D60" s="10">
        <v>177</v>
      </c>
      <c r="E60" s="10">
        <f t="shared" si="0"/>
        <v>28.323206686983973</v>
      </c>
      <c r="G60" s="5" t="s">
        <v>341</v>
      </c>
      <c r="H60" s="6">
        <v>28.384112441978317</v>
      </c>
      <c r="I60" s="94">
        <v>27.855</v>
      </c>
    </row>
    <row r="61" spans="2:9" ht="15.75" x14ac:dyDescent="0.25">
      <c r="B61" s="61">
        <v>52</v>
      </c>
      <c r="C61" s="10">
        <v>88.661180035441461</v>
      </c>
      <c r="D61" s="10">
        <v>177</v>
      </c>
      <c r="E61" s="10">
        <f t="shared" si="0"/>
        <v>28.300035122551456</v>
      </c>
      <c r="G61" s="5" t="s">
        <v>342</v>
      </c>
      <c r="H61" s="6">
        <v>28.34899064444631</v>
      </c>
      <c r="I61" s="94">
        <v>27.93</v>
      </c>
    </row>
    <row r="62" spans="2:9" ht="15.75" x14ac:dyDescent="0.25">
      <c r="B62" s="61">
        <v>53</v>
      </c>
      <c r="C62" s="10">
        <v>88.563821229398641</v>
      </c>
      <c r="D62" s="10">
        <v>177</v>
      </c>
      <c r="E62" s="10">
        <f t="shared" si="0"/>
        <v>28.268958865395842</v>
      </c>
      <c r="G62" s="5" t="s">
        <v>343</v>
      </c>
      <c r="H62" s="6">
        <v>28.306052396703038</v>
      </c>
      <c r="I62" s="94">
        <v>28.58</v>
      </c>
    </row>
    <row r="63" spans="2:9" ht="15.75" x14ac:dyDescent="0.25">
      <c r="B63" s="61">
        <v>54</v>
      </c>
      <c r="C63" s="10">
        <v>88.441938844223145</v>
      </c>
      <c r="D63" s="10">
        <v>177</v>
      </c>
      <c r="E63" s="10">
        <f t="shared" si="0"/>
        <v>28.230054851486845</v>
      </c>
      <c r="G63" s="5" t="s">
        <v>344</v>
      </c>
      <c r="H63" s="6">
        <v>28.25537490299584</v>
      </c>
      <c r="I63" s="94">
        <v>28.47</v>
      </c>
    </row>
    <row r="64" spans="2:9" ht="15.75" x14ac:dyDescent="0.25">
      <c r="B64" s="61">
        <v>55</v>
      </c>
      <c r="C64" s="10">
        <v>88.295773912614564</v>
      </c>
      <c r="D64" s="10">
        <v>177</v>
      </c>
      <c r="E64" s="10">
        <f t="shared" si="0"/>
        <v>28.183400016794202</v>
      </c>
      <c r="G64" s="5" t="s">
        <v>345</v>
      </c>
      <c r="H64" s="6">
        <v>28.197035367572077</v>
      </c>
      <c r="I64" s="94">
        <v>27.44</v>
      </c>
    </row>
    <row r="65" spans="2:9" ht="15.75" x14ac:dyDescent="0.25">
      <c r="B65" s="61">
        <v>56</v>
      </c>
      <c r="C65" s="10">
        <v>88.12556746727239</v>
      </c>
      <c r="D65" s="10">
        <v>177</v>
      </c>
      <c r="E65" s="10">
        <f t="shared" si="0"/>
        <v>28.12907129728762</v>
      </c>
      <c r="G65" s="5" t="s">
        <v>346</v>
      </c>
      <c r="H65" s="6">
        <v>28.131110994679119</v>
      </c>
      <c r="I65" s="94">
        <v>29.97</v>
      </c>
    </row>
    <row r="66" spans="2:9" ht="15.75" x14ac:dyDescent="0.25">
      <c r="B66" s="61">
        <v>57</v>
      </c>
      <c r="C66" s="10">
        <v>87.931560540896228</v>
      </c>
      <c r="D66" s="10">
        <v>177</v>
      </c>
      <c r="E66" s="10">
        <f t="shared" si="0"/>
        <v>28.067145628936839</v>
      </c>
      <c r="G66" s="5" t="s">
        <v>347</v>
      </c>
      <c r="H66" s="6">
        <v>28.057678988564305</v>
      </c>
      <c r="I66" s="94">
        <v>29.83</v>
      </c>
    </row>
    <row r="67" spans="2:9" ht="15.75" x14ac:dyDescent="0.25">
      <c r="B67" s="61">
        <v>58</v>
      </c>
      <c r="C67" s="10">
        <v>87.713994166185643</v>
      </c>
      <c r="D67" s="10">
        <v>177</v>
      </c>
      <c r="E67" s="10">
        <f t="shared" si="0"/>
        <v>27.997699947711588</v>
      </c>
      <c r="G67" s="5" t="s">
        <v>348</v>
      </c>
      <c r="H67" s="6">
        <v>27.976816553475004</v>
      </c>
      <c r="I67" s="94">
        <v>30.03</v>
      </c>
    </row>
    <row r="68" spans="2:9" ht="15.75" x14ac:dyDescent="0.25">
      <c r="B68" s="61">
        <v>59</v>
      </c>
      <c r="C68" s="10">
        <v>87.473109375840153</v>
      </c>
      <c r="D68" s="10">
        <v>177</v>
      </c>
      <c r="E68" s="10">
        <f t="shared" si="0"/>
        <v>27.920811189581585</v>
      </c>
      <c r="G68" s="5" t="s">
        <v>349</v>
      </c>
      <c r="H68" s="6">
        <v>27.88860089365857</v>
      </c>
      <c r="I68" s="94">
        <v>28.82</v>
      </c>
    </row>
    <row r="69" spans="2:9" ht="15.75" x14ac:dyDescent="0.25">
      <c r="B69" s="61">
        <v>60</v>
      </c>
      <c r="C69" s="10">
        <v>87.209147202559322</v>
      </c>
      <c r="D69" s="10">
        <v>177</v>
      </c>
      <c r="E69" s="10">
        <f t="shared" si="0"/>
        <v>27.836556290516555</v>
      </c>
    </row>
  </sheetData>
  <mergeCells count="5">
    <mergeCell ref="H5:H6"/>
    <mergeCell ref="I5:I6"/>
    <mergeCell ref="B5:E5"/>
    <mergeCell ref="B6:E6"/>
    <mergeCell ref="G5:G6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B3:D68"/>
  <sheetViews>
    <sheetView zoomScale="60" zoomScaleNormal="60" workbookViewId="0">
      <selection activeCell="B3" sqref="B3:D3"/>
    </sheetView>
  </sheetViews>
  <sheetFormatPr defaultRowHeight="15" x14ac:dyDescent="0.25"/>
  <cols>
    <col min="2" max="2" width="19.42578125" customWidth="1"/>
    <col min="3" max="3" width="46.42578125" style="1" customWidth="1"/>
    <col min="4" max="4" width="23" style="1" customWidth="1"/>
  </cols>
  <sheetData>
    <row r="3" spans="2:4" ht="31.5" x14ac:dyDescent="0.25">
      <c r="B3" s="314" t="s">
        <v>15</v>
      </c>
      <c r="C3" s="301" t="s">
        <v>277</v>
      </c>
      <c r="D3" s="314" t="s">
        <v>109</v>
      </c>
    </row>
    <row r="4" spans="2:4" s="145" customFormat="1" ht="25.5" x14ac:dyDescent="0.25">
      <c r="B4" s="10">
        <v>0.01</v>
      </c>
      <c r="C4" s="166"/>
      <c r="D4" s="26">
        <f>0.359 * (1 + 0)</f>
        <v>0.35899999999999999</v>
      </c>
    </row>
    <row r="5" spans="2:4" s="95" customFormat="1" ht="15.75" x14ac:dyDescent="0.25">
      <c r="B5" s="163">
        <v>0.5</v>
      </c>
      <c r="C5" s="165" t="s">
        <v>107</v>
      </c>
      <c r="D5" s="26">
        <f>0.359 * (1 + 0)</f>
        <v>0.35899999999999999</v>
      </c>
    </row>
    <row r="6" spans="2:4" s="95" customFormat="1" ht="15.75" x14ac:dyDescent="0.25">
      <c r="B6" s="163">
        <v>1</v>
      </c>
      <c r="C6" s="165"/>
      <c r="D6" s="26">
        <f>0.359 * (1+ 0)</f>
        <v>0.35899999999999999</v>
      </c>
    </row>
    <row r="7" spans="2:4" ht="47.25" x14ac:dyDescent="0.25">
      <c r="B7" s="61">
        <v>2</v>
      </c>
      <c r="C7" s="12" t="s">
        <v>106</v>
      </c>
      <c r="D7" s="10">
        <f>(((0.00000112815) * (B7^3)) - (0.000172362 * (B7^2)) + (0.00815264 * B7) + 0.327363) * (1 + 0)</f>
        <v>0.34298785720000002</v>
      </c>
    </row>
    <row r="8" spans="2:4" ht="15.75" x14ac:dyDescent="0.25">
      <c r="B8" s="61">
        <v>3</v>
      </c>
      <c r="C8" s="10"/>
      <c r="D8" s="10">
        <f t="shared" ref="D8:D66" si="0">(((0.00000112815) * (B8^3)) - (0.000172362 * (B8^2)) + (0.00815264 * B8) + 0.327363) * (1 + 0)</f>
        <v>0.35030012205</v>
      </c>
    </row>
    <row r="9" spans="2:4" ht="15.75" x14ac:dyDescent="0.25">
      <c r="B9" s="61">
        <v>4</v>
      </c>
      <c r="C9" s="10"/>
      <c r="D9" s="10">
        <f t="shared" si="0"/>
        <v>0.35728796960000003</v>
      </c>
    </row>
    <row r="10" spans="2:4" s="145" customFormat="1" ht="15.75" x14ac:dyDescent="0.25">
      <c r="B10" s="61">
        <v>4.5</v>
      </c>
      <c r="C10" s="10"/>
      <c r="D10" s="10">
        <f t="shared" si="0"/>
        <v>0.36066235216875003</v>
      </c>
    </row>
    <row r="11" spans="2:4" s="95" customFormat="1" ht="15.75" x14ac:dyDescent="0.25">
      <c r="B11" s="163">
        <v>5</v>
      </c>
      <c r="C11" s="26"/>
      <c r="D11" s="26">
        <f t="shared" si="0"/>
        <v>0.36395816875000003</v>
      </c>
    </row>
    <row r="12" spans="2:4" ht="15.75" x14ac:dyDescent="0.25">
      <c r="B12" s="61">
        <v>6</v>
      </c>
      <c r="C12" s="10"/>
      <c r="D12" s="10">
        <f t="shared" si="0"/>
        <v>0.37031748840000001</v>
      </c>
    </row>
    <row r="13" spans="2:4" ht="15.75" x14ac:dyDescent="0.25">
      <c r="B13" s="61">
        <v>7</v>
      </c>
      <c r="C13" s="10"/>
      <c r="D13" s="10">
        <f t="shared" si="0"/>
        <v>0.37637269745000002</v>
      </c>
    </row>
    <row r="14" spans="2:4" ht="15.75" x14ac:dyDescent="0.25">
      <c r="B14" s="61">
        <v>8</v>
      </c>
      <c r="C14" s="10"/>
      <c r="D14" s="10">
        <f t="shared" si="0"/>
        <v>0.38213056480000002</v>
      </c>
    </row>
    <row r="15" spans="2:4" ht="15.75" x14ac:dyDescent="0.25">
      <c r="B15" s="61">
        <v>9</v>
      </c>
      <c r="C15" s="10"/>
      <c r="D15" s="10">
        <f t="shared" si="0"/>
        <v>0.38759785935000002</v>
      </c>
    </row>
    <row r="16" spans="2:4" s="95" customFormat="1" ht="15.75" x14ac:dyDescent="0.25">
      <c r="B16" s="163">
        <v>10</v>
      </c>
      <c r="C16" s="26"/>
      <c r="D16" s="26">
        <f t="shared" si="0"/>
        <v>0.39278135000000003</v>
      </c>
    </row>
    <row r="17" spans="2:4" s="95" customFormat="1" ht="15.75" x14ac:dyDescent="0.25">
      <c r="B17" s="73">
        <v>10.5</v>
      </c>
      <c r="C17" s="34"/>
      <c r="D17" s="34">
        <f t="shared" si="0"/>
        <v>0.39526878414375</v>
      </c>
    </row>
    <row r="18" spans="2:4" ht="15.75" x14ac:dyDescent="0.25">
      <c r="B18" s="61">
        <v>11</v>
      </c>
      <c r="C18" s="10"/>
      <c r="D18" s="10">
        <f t="shared" si="0"/>
        <v>0.39768780565</v>
      </c>
    </row>
    <row r="19" spans="2:4" ht="15.75" x14ac:dyDescent="0.25">
      <c r="B19" s="61">
        <v>12</v>
      </c>
      <c r="C19" s="10"/>
      <c r="D19" s="10">
        <f t="shared" si="0"/>
        <v>0.40232399520000001</v>
      </c>
    </row>
    <row r="20" spans="2:4" ht="15.75" x14ac:dyDescent="0.25">
      <c r="B20" s="61">
        <v>13</v>
      </c>
      <c r="C20" s="10"/>
      <c r="D20" s="10">
        <f t="shared" si="0"/>
        <v>0.40669668754999999</v>
      </c>
    </row>
    <row r="21" spans="2:4" ht="15.75" x14ac:dyDescent="0.25">
      <c r="B21" s="61">
        <v>14</v>
      </c>
      <c r="C21" s="10"/>
      <c r="D21" s="10">
        <f t="shared" si="0"/>
        <v>0.41081265160000002</v>
      </c>
    </row>
    <row r="22" spans="2:4" ht="15.75" x14ac:dyDescent="0.25">
      <c r="B22" s="61">
        <v>15</v>
      </c>
      <c r="C22" s="10"/>
      <c r="D22" s="10">
        <f t="shared" si="0"/>
        <v>0.41467865625</v>
      </c>
    </row>
    <row r="23" spans="2:4" ht="15.75" x14ac:dyDescent="0.25">
      <c r="B23" s="61">
        <v>16</v>
      </c>
      <c r="C23" s="10"/>
      <c r="D23" s="10">
        <f t="shared" si="0"/>
        <v>0.41830147039999999</v>
      </c>
    </row>
    <row r="24" spans="2:4" ht="15.75" x14ac:dyDescent="0.25">
      <c r="B24" s="61">
        <v>17</v>
      </c>
      <c r="C24" s="10"/>
      <c r="D24" s="10">
        <f t="shared" si="0"/>
        <v>0.42168786294999999</v>
      </c>
    </row>
    <row r="25" spans="2:4" ht="15.75" x14ac:dyDescent="0.25">
      <c r="B25" s="61">
        <v>18</v>
      </c>
      <c r="C25" s="10"/>
      <c r="D25" s="10">
        <f t="shared" si="0"/>
        <v>0.42484460280000003</v>
      </c>
    </row>
    <row r="26" spans="2:4" ht="15.75" x14ac:dyDescent="0.25">
      <c r="B26" s="61">
        <v>19</v>
      </c>
      <c r="C26" s="10"/>
      <c r="D26" s="10">
        <f t="shared" si="0"/>
        <v>0.42777845884999999</v>
      </c>
    </row>
    <row r="27" spans="2:4" ht="15.75" x14ac:dyDescent="0.25">
      <c r="B27" s="61">
        <v>20</v>
      </c>
      <c r="C27" s="10"/>
      <c r="D27" s="10">
        <f t="shared" si="0"/>
        <v>0.4304962</v>
      </c>
    </row>
    <row r="28" spans="2:4" ht="15.75" x14ac:dyDescent="0.25">
      <c r="B28" s="61">
        <v>21</v>
      </c>
      <c r="C28" s="10"/>
      <c r="D28" s="10">
        <f t="shared" si="0"/>
        <v>0.43300459515</v>
      </c>
    </row>
    <row r="29" spans="2:4" ht="15.75" x14ac:dyDescent="0.25">
      <c r="B29" s="61">
        <v>22</v>
      </c>
      <c r="C29" s="10"/>
      <c r="D29" s="10">
        <f t="shared" si="0"/>
        <v>0.43531041319999997</v>
      </c>
    </row>
    <row r="30" spans="2:4" ht="15.75" x14ac:dyDescent="0.25">
      <c r="B30" s="61">
        <v>23</v>
      </c>
      <c r="C30" s="10"/>
      <c r="D30" s="10">
        <f t="shared" si="0"/>
        <v>0.43742042305000001</v>
      </c>
    </row>
    <row r="31" spans="2:4" ht="15.75" x14ac:dyDescent="0.25">
      <c r="B31" s="61">
        <v>24</v>
      </c>
      <c r="C31" s="10"/>
      <c r="D31" s="10">
        <f t="shared" si="0"/>
        <v>0.43934139360000002</v>
      </c>
    </row>
    <row r="32" spans="2:4" s="95" customFormat="1" ht="15.75" x14ac:dyDescent="0.25">
      <c r="B32" s="163">
        <v>25</v>
      </c>
      <c r="C32" s="26"/>
      <c r="D32" s="26">
        <f t="shared" si="0"/>
        <v>0.44108009375000001</v>
      </c>
    </row>
    <row r="33" spans="2:4" ht="15.75" x14ac:dyDescent="0.25">
      <c r="B33" s="61">
        <v>26</v>
      </c>
      <c r="C33" s="10"/>
      <c r="D33" s="10">
        <f t="shared" si="0"/>
        <v>0.4426432924</v>
      </c>
    </row>
    <row r="34" spans="2:4" ht="15.75" x14ac:dyDescent="0.25">
      <c r="B34" s="61">
        <v>27</v>
      </c>
      <c r="C34" s="10"/>
      <c r="D34" s="10">
        <f t="shared" si="0"/>
        <v>0.44403775844999999</v>
      </c>
    </row>
    <row r="35" spans="2:4" ht="15.75" x14ac:dyDescent="0.25">
      <c r="B35" s="61">
        <v>28</v>
      </c>
      <c r="C35" s="10"/>
      <c r="D35" s="10">
        <f t="shared" si="0"/>
        <v>0.44527026079999998</v>
      </c>
    </row>
    <row r="36" spans="2:4" ht="15.75" x14ac:dyDescent="0.25">
      <c r="B36" s="61">
        <v>29</v>
      </c>
      <c r="C36" s="10"/>
      <c r="D36" s="10">
        <f t="shared" si="0"/>
        <v>0.44634756835</v>
      </c>
    </row>
    <row r="37" spans="2:4" ht="15.75" x14ac:dyDescent="0.25">
      <c r="B37" s="61">
        <v>30</v>
      </c>
      <c r="C37" s="10"/>
      <c r="D37" s="10">
        <f t="shared" si="0"/>
        <v>0.44727644999999999</v>
      </c>
    </row>
    <row r="38" spans="2:4" ht="15.75" x14ac:dyDescent="0.25">
      <c r="B38" s="61">
        <v>31</v>
      </c>
      <c r="C38" s="10"/>
      <c r="D38" s="10">
        <f t="shared" si="0"/>
        <v>0.44806367465000002</v>
      </c>
    </row>
    <row r="39" spans="2:4" ht="15.75" x14ac:dyDescent="0.25">
      <c r="B39" s="61">
        <v>32</v>
      </c>
      <c r="C39" s="10"/>
      <c r="D39" s="10">
        <f t="shared" si="0"/>
        <v>0.44871601119999999</v>
      </c>
    </row>
    <row r="40" spans="2:4" ht="15.75" x14ac:dyDescent="0.25">
      <c r="B40" s="61">
        <v>33</v>
      </c>
      <c r="C40" s="10"/>
      <c r="D40" s="10">
        <f t="shared" si="0"/>
        <v>0.44924022855000001</v>
      </c>
    </row>
    <row r="41" spans="2:4" ht="15.75" x14ac:dyDescent="0.25">
      <c r="B41" s="61">
        <v>34</v>
      </c>
      <c r="C41" s="10"/>
      <c r="D41" s="10">
        <f t="shared" si="0"/>
        <v>0.44964309559999999</v>
      </c>
    </row>
    <row r="42" spans="2:4" ht="15.75" x14ac:dyDescent="0.25">
      <c r="B42" s="61">
        <v>35</v>
      </c>
      <c r="C42" s="10"/>
      <c r="D42" s="10">
        <f t="shared" si="0"/>
        <v>0.44993138125000004</v>
      </c>
    </row>
    <row r="43" spans="2:4" ht="15.75" x14ac:dyDescent="0.25">
      <c r="B43" s="61">
        <v>36</v>
      </c>
      <c r="C43" s="10"/>
      <c r="D43" s="10">
        <f t="shared" si="0"/>
        <v>0.45011185440000001</v>
      </c>
    </row>
    <row r="44" spans="2:4" ht="15.75" x14ac:dyDescent="0.25">
      <c r="B44" s="61">
        <v>37</v>
      </c>
      <c r="C44" s="10"/>
      <c r="D44" s="10">
        <f t="shared" si="0"/>
        <v>0.45019128395000002</v>
      </c>
    </row>
    <row r="45" spans="2:4" ht="15.75" x14ac:dyDescent="0.25">
      <c r="B45" s="61">
        <v>38</v>
      </c>
      <c r="C45" s="10"/>
      <c r="D45" s="10">
        <f t="shared" si="0"/>
        <v>0.45017643880000002</v>
      </c>
    </row>
    <row r="46" spans="2:4" ht="15.75" x14ac:dyDescent="0.25">
      <c r="B46" s="61">
        <v>39</v>
      </c>
      <c r="C46" s="10"/>
      <c r="D46" s="10">
        <f t="shared" si="0"/>
        <v>0.45007408785000003</v>
      </c>
    </row>
    <row r="47" spans="2:4" ht="15.75" x14ac:dyDescent="0.25">
      <c r="B47" s="61">
        <v>40</v>
      </c>
      <c r="C47" s="10"/>
      <c r="D47" s="10">
        <f t="shared" si="0"/>
        <v>0.44989099999999999</v>
      </c>
    </row>
    <row r="48" spans="2:4" ht="15.75" x14ac:dyDescent="0.25">
      <c r="B48" s="61">
        <v>41</v>
      </c>
      <c r="C48" s="10"/>
      <c r="D48" s="10">
        <f t="shared" si="0"/>
        <v>0.44963394415000002</v>
      </c>
    </row>
    <row r="49" spans="2:4" ht="15.75" x14ac:dyDescent="0.25">
      <c r="B49" s="61">
        <v>42</v>
      </c>
      <c r="C49" s="10"/>
      <c r="D49" s="10">
        <f t="shared" si="0"/>
        <v>0.44930968920000003</v>
      </c>
    </row>
    <row r="50" spans="2:4" ht="15.75" x14ac:dyDescent="0.25">
      <c r="B50" s="61">
        <v>43</v>
      </c>
      <c r="C50" s="10"/>
      <c r="D50" s="10">
        <f t="shared" si="0"/>
        <v>0.44892500404999996</v>
      </c>
    </row>
    <row r="51" spans="2:4" ht="15.75" x14ac:dyDescent="0.25">
      <c r="B51" s="61">
        <v>44</v>
      </c>
      <c r="C51" s="10"/>
      <c r="D51" s="10">
        <f t="shared" si="0"/>
        <v>0.44848665759999995</v>
      </c>
    </row>
    <row r="52" spans="2:4" ht="15.75" x14ac:dyDescent="0.25">
      <c r="B52" s="61">
        <v>45</v>
      </c>
      <c r="C52" s="10"/>
      <c r="D52" s="10">
        <f t="shared" si="0"/>
        <v>0.44800141874999999</v>
      </c>
    </row>
    <row r="53" spans="2:4" ht="15.75" x14ac:dyDescent="0.25">
      <c r="B53" s="61">
        <v>46</v>
      </c>
      <c r="C53" s="10"/>
      <c r="D53" s="10">
        <f t="shared" si="0"/>
        <v>0.44747605639999999</v>
      </c>
    </row>
    <row r="54" spans="2:4" ht="15.75" x14ac:dyDescent="0.25">
      <c r="B54" s="61">
        <v>47</v>
      </c>
      <c r="C54" s="10"/>
      <c r="D54" s="10">
        <f t="shared" si="0"/>
        <v>0.44691733945000001</v>
      </c>
    </row>
    <row r="55" spans="2:4" ht="15.75" x14ac:dyDescent="0.25">
      <c r="B55" s="61">
        <v>48</v>
      </c>
      <c r="C55" s="10"/>
      <c r="D55" s="10">
        <f t="shared" si="0"/>
        <v>0.4463320368</v>
      </c>
    </row>
    <row r="56" spans="2:4" ht="15.75" x14ac:dyDescent="0.25">
      <c r="B56" s="61">
        <v>49</v>
      </c>
      <c r="C56" s="10"/>
      <c r="D56" s="10">
        <f t="shared" si="0"/>
        <v>0.44572691734999997</v>
      </c>
    </row>
    <row r="57" spans="2:4" ht="15.75" x14ac:dyDescent="0.25">
      <c r="B57" s="61">
        <v>50</v>
      </c>
      <c r="C57" s="10"/>
      <c r="D57" s="10">
        <f t="shared" si="0"/>
        <v>0.44510874999999994</v>
      </c>
    </row>
    <row r="58" spans="2:4" ht="15.75" x14ac:dyDescent="0.25">
      <c r="B58" s="61">
        <v>51</v>
      </c>
      <c r="C58" s="10"/>
      <c r="D58" s="10">
        <f t="shared" si="0"/>
        <v>0.44448430365000002</v>
      </c>
    </row>
    <row r="59" spans="2:4" ht="15.75" x14ac:dyDescent="0.25">
      <c r="B59" s="61">
        <v>52</v>
      </c>
      <c r="C59" s="10"/>
      <c r="D59" s="10">
        <f t="shared" si="0"/>
        <v>0.4438603472</v>
      </c>
    </row>
    <row r="60" spans="2:4" ht="15.75" x14ac:dyDescent="0.25">
      <c r="B60" s="61">
        <v>53</v>
      </c>
      <c r="C60" s="10"/>
      <c r="D60" s="10">
        <f t="shared" si="0"/>
        <v>0.44324364954999995</v>
      </c>
    </row>
    <row r="61" spans="2:4" ht="15.75" x14ac:dyDescent="0.25">
      <c r="B61" s="61">
        <v>54</v>
      </c>
      <c r="C61" s="10"/>
      <c r="D61" s="10">
        <f t="shared" si="0"/>
        <v>0.44264097959999998</v>
      </c>
    </row>
    <row r="62" spans="2:4" ht="15.75" x14ac:dyDescent="0.25">
      <c r="B62" s="61">
        <v>55</v>
      </c>
      <c r="C62" s="10"/>
      <c r="D62" s="10">
        <f t="shared" si="0"/>
        <v>0.44205910625</v>
      </c>
    </row>
    <row r="63" spans="2:4" ht="15.75" x14ac:dyDescent="0.25">
      <c r="B63" s="61">
        <v>56</v>
      </c>
      <c r="C63" s="10"/>
      <c r="D63" s="10">
        <f t="shared" si="0"/>
        <v>0.44150479839999995</v>
      </c>
    </row>
    <row r="64" spans="2:4" ht="15.75" x14ac:dyDescent="0.25">
      <c r="B64" s="61">
        <v>57</v>
      </c>
      <c r="C64" s="10"/>
      <c r="D64" s="10">
        <f t="shared" si="0"/>
        <v>0.44098482495000008</v>
      </c>
    </row>
    <row r="65" spans="2:4" ht="15.75" x14ac:dyDescent="0.25">
      <c r="B65" s="61">
        <v>58</v>
      </c>
      <c r="C65" s="10"/>
      <c r="D65" s="10">
        <f t="shared" si="0"/>
        <v>0.44050595479999999</v>
      </c>
    </row>
    <row r="66" spans="2:4" ht="15.75" x14ac:dyDescent="0.25">
      <c r="B66" s="61">
        <v>59</v>
      </c>
      <c r="C66" s="10"/>
      <c r="D66" s="10">
        <f t="shared" si="0"/>
        <v>0.44007495685000003</v>
      </c>
    </row>
    <row r="67" spans="2:4" s="95" customFormat="1" ht="15.75" x14ac:dyDescent="0.25">
      <c r="B67" s="73">
        <v>60</v>
      </c>
      <c r="C67" s="34"/>
      <c r="D67" s="10">
        <f>(((0.00000112815) * (B67^3)) - (0.000172362 * (B67^2)) + (0.00815264 * B67) + 0.327363) * (1 + 0)</f>
        <v>0.43969860000000005</v>
      </c>
    </row>
    <row r="68" spans="2:4" ht="47.25" x14ac:dyDescent="0.25">
      <c r="B68" s="164">
        <v>70</v>
      </c>
      <c r="C68" s="12" t="s">
        <v>108</v>
      </c>
      <c r="D68" s="12">
        <f>(((0.00000112815) * (B68^3)) - (0.000172362 * (B68^2)) + (0.00815264 * B68) + 0.327363) * (1 + 0)</f>
        <v>0.44042945000000006</v>
      </c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B3DB7"/>
  </sheetPr>
  <dimension ref="B1:AF81"/>
  <sheetViews>
    <sheetView zoomScale="95" zoomScaleNormal="95" workbookViewId="0">
      <selection activeCell="D5" sqref="D5:D8"/>
    </sheetView>
  </sheetViews>
  <sheetFormatPr defaultRowHeight="15.75" x14ac:dyDescent="0.25"/>
  <cols>
    <col min="1" max="1" width="9.140625" style="3"/>
    <col min="2" max="2" width="15.85546875" style="3" customWidth="1"/>
    <col min="3" max="3" width="23.28515625" style="3" bestFit="1" customWidth="1"/>
    <col min="4" max="4" width="20.5703125" style="3" customWidth="1"/>
    <col min="5" max="5" width="18.5703125" style="3" customWidth="1"/>
    <col min="6" max="6" width="39.140625" style="3" customWidth="1"/>
    <col min="7" max="7" width="18.5703125" style="3" customWidth="1"/>
    <col min="8" max="8" width="11.7109375" style="3" customWidth="1"/>
    <col min="9" max="9" width="18.85546875" style="3" customWidth="1"/>
    <col min="10" max="10" width="9.140625" style="3"/>
    <col min="11" max="11" width="19.140625" style="3" customWidth="1"/>
    <col min="12" max="12" width="23.42578125" style="3" customWidth="1"/>
    <col min="13" max="13" width="13.140625" style="3" customWidth="1"/>
    <col min="14" max="14" width="12.7109375" style="3" customWidth="1"/>
    <col min="15" max="15" width="19.28515625" style="3" customWidth="1"/>
    <col min="16" max="16" width="11.42578125" style="3" customWidth="1"/>
    <col min="17" max="17" width="9.140625" style="3"/>
    <col min="18" max="18" width="10.85546875" style="3" customWidth="1"/>
    <col min="19" max="22" width="9.140625" style="3"/>
    <col min="23" max="23" width="13.140625" style="3" customWidth="1"/>
    <col min="24" max="24" width="17.140625" style="3" customWidth="1"/>
    <col min="25" max="29" width="9.140625" style="3"/>
    <col min="30" max="30" width="12.28515625" style="3" customWidth="1"/>
    <col min="31" max="16384" width="9.140625" style="3"/>
  </cols>
  <sheetData>
    <row r="1" spans="3:30" ht="16.5" thickBot="1" x14ac:dyDescent="0.3"/>
    <row r="2" spans="3:30" ht="16.5" thickBot="1" x14ac:dyDescent="0.3">
      <c r="H2" s="262" t="s">
        <v>151</v>
      </c>
      <c r="I2" s="263"/>
      <c r="J2" s="263"/>
      <c r="K2" s="263"/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W2" s="263"/>
      <c r="X2" s="263"/>
      <c r="Y2" s="263"/>
      <c r="Z2" s="263"/>
      <c r="AA2" s="263"/>
      <c r="AB2" s="263"/>
      <c r="AC2" s="263"/>
      <c r="AD2" s="264"/>
    </row>
    <row r="3" spans="3:30" x14ac:dyDescent="0.25">
      <c r="C3" s="302" t="s">
        <v>354</v>
      </c>
      <c r="D3" s="302" t="s">
        <v>355</v>
      </c>
      <c r="E3" s="302" t="s">
        <v>17</v>
      </c>
      <c r="F3" s="303" t="s">
        <v>356</v>
      </c>
      <c r="H3" s="200"/>
      <c r="I3" s="265" t="s">
        <v>152</v>
      </c>
      <c r="J3" s="265"/>
      <c r="K3" s="265"/>
      <c r="L3" s="265"/>
      <c r="M3" s="201"/>
      <c r="N3" s="202"/>
      <c r="O3" s="266" t="s">
        <v>158</v>
      </c>
      <c r="P3" s="266"/>
      <c r="Q3" s="266"/>
      <c r="R3" s="266"/>
      <c r="S3" s="201"/>
      <c r="T3" s="202"/>
      <c r="U3" s="266" t="s">
        <v>160</v>
      </c>
      <c r="V3" s="266"/>
      <c r="W3" s="266"/>
      <c r="X3" s="266"/>
      <c r="Y3" s="201"/>
      <c r="Z3" s="202"/>
      <c r="AA3" s="266" t="s">
        <v>161</v>
      </c>
      <c r="AB3" s="266"/>
      <c r="AC3" s="266"/>
      <c r="AD3" s="267"/>
    </row>
    <row r="4" spans="3:30" ht="63" x14ac:dyDescent="0.25">
      <c r="C4" s="19" t="s">
        <v>357</v>
      </c>
      <c r="D4" s="182" t="s">
        <v>358</v>
      </c>
      <c r="E4" s="8"/>
      <c r="F4" s="10" t="s">
        <v>154</v>
      </c>
      <c r="H4" s="203" t="s">
        <v>15</v>
      </c>
      <c r="I4" s="61" t="s">
        <v>155</v>
      </c>
      <c r="J4" s="61" t="s">
        <v>156</v>
      </c>
      <c r="K4" s="61" t="s">
        <v>284</v>
      </c>
      <c r="L4" s="61" t="s">
        <v>359</v>
      </c>
      <c r="M4" s="201"/>
      <c r="N4" s="61" t="s">
        <v>15</v>
      </c>
      <c r="O4" s="61" t="s">
        <v>155</v>
      </c>
      <c r="P4" s="61" t="s">
        <v>156</v>
      </c>
      <c r="Q4" s="61" t="s">
        <v>284</v>
      </c>
      <c r="R4" s="61" t="s">
        <v>157</v>
      </c>
      <c r="S4" s="201"/>
      <c r="T4" s="61" t="s">
        <v>15</v>
      </c>
      <c r="U4" s="61" t="s">
        <v>155</v>
      </c>
      <c r="V4" s="61" t="s">
        <v>156</v>
      </c>
      <c r="W4" s="61" t="s">
        <v>284</v>
      </c>
      <c r="X4" s="61" t="s">
        <v>157</v>
      </c>
      <c r="Y4" s="201"/>
      <c r="Z4" s="61" t="s">
        <v>15</v>
      </c>
      <c r="AA4" s="61" t="s">
        <v>155</v>
      </c>
      <c r="AB4" s="61" t="s">
        <v>156</v>
      </c>
      <c r="AC4" s="61" t="s">
        <v>284</v>
      </c>
      <c r="AD4" s="204" t="s">
        <v>157</v>
      </c>
    </row>
    <row r="5" spans="3:30" ht="47.25" x14ac:dyDescent="0.25">
      <c r="C5" s="304" t="s">
        <v>360</v>
      </c>
      <c r="D5" s="306" t="s">
        <v>358</v>
      </c>
      <c r="E5" s="182" t="s">
        <v>152</v>
      </c>
      <c r="F5" s="10" t="s">
        <v>163</v>
      </c>
      <c r="H5" s="205">
        <v>0.25</v>
      </c>
      <c r="I5" s="8">
        <v>1.4E-2</v>
      </c>
      <c r="J5" s="8">
        <v>3.9E-2</v>
      </c>
      <c r="K5" s="8">
        <v>90</v>
      </c>
      <c r="L5" s="8">
        <f>(J5-I5)*K5</f>
        <v>2.25</v>
      </c>
      <c r="M5" s="201"/>
      <c r="N5" s="206">
        <v>0.25</v>
      </c>
      <c r="O5" s="8">
        <v>1.4E-2</v>
      </c>
      <c r="P5" s="207" t="s">
        <v>159</v>
      </c>
      <c r="Q5" s="207" t="s">
        <v>159</v>
      </c>
      <c r="R5" s="8" t="e">
        <f>(P5-O5)*Q5</f>
        <v>#VALUE!</v>
      </c>
      <c r="S5" s="201"/>
      <c r="T5" s="206">
        <v>0.25</v>
      </c>
      <c r="U5" s="8">
        <v>1.4E-2</v>
      </c>
      <c r="V5" s="8">
        <v>6.6000000000000003E-2</v>
      </c>
      <c r="W5" s="8">
        <v>190</v>
      </c>
      <c r="X5" s="8">
        <f>(V5-U5)*W5</f>
        <v>9.8800000000000008</v>
      </c>
      <c r="Y5" s="201"/>
      <c r="Z5" s="206">
        <v>0.25</v>
      </c>
      <c r="AA5" s="8">
        <v>1.4E-2</v>
      </c>
      <c r="AB5" s="207" t="s">
        <v>159</v>
      </c>
      <c r="AC5" s="207" t="s">
        <v>159</v>
      </c>
      <c r="AD5" s="208" t="e">
        <f>(AB5-AA5)*AC5</f>
        <v>#VALUE!</v>
      </c>
    </row>
    <row r="6" spans="3:30" x14ac:dyDescent="0.25">
      <c r="C6" s="305"/>
      <c r="D6" s="307"/>
      <c r="E6" s="309" t="s">
        <v>158</v>
      </c>
      <c r="F6" s="209"/>
      <c r="H6" s="210">
        <v>1</v>
      </c>
      <c r="I6" s="19">
        <v>0.02</v>
      </c>
      <c r="J6" s="19">
        <v>7.3999999999999996E-2</v>
      </c>
      <c r="K6" s="19">
        <v>150</v>
      </c>
      <c r="L6" s="8">
        <f t="shared" ref="L6:L10" si="0">(J6-I6)*K6</f>
        <v>8.1</v>
      </c>
      <c r="M6" s="201"/>
      <c r="N6" s="211">
        <v>1</v>
      </c>
      <c r="O6" s="19">
        <v>0.02</v>
      </c>
      <c r="P6" s="19">
        <v>0.1</v>
      </c>
      <c r="Q6" s="19">
        <v>220</v>
      </c>
      <c r="R6" s="8">
        <f t="shared" ref="R6:R10" si="1">(P6-O6)*Q6</f>
        <v>17.600000000000001</v>
      </c>
      <c r="S6" s="201"/>
      <c r="T6" s="211">
        <v>1</v>
      </c>
      <c r="U6" s="19">
        <v>0.02</v>
      </c>
      <c r="V6" s="19">
        <v>0.13</v>
      </c>
      <c r="W6" s="19">
        <v>350</v>
      </c>
      <c r="X6" s="8">
        <f t="shared" ref="X6:X10" si="2">(V6-U6)*W6</f>
        <v>38.5</v>
      </c>
      <c r="Y6" s="201"/>
      <c r="Z6" s="211">
        <v>1</v>
      </c>
      <c r="AA6" s="19">
        <v>0.02</v>
      </c>
      <c r="AB6" s="212" t="s">
        <v>159</v>
      </c>
      <c r="AC6" s="212" t="s">
        <v>159</v>
      </c>
      <c r="AD6" s="208" t="e">
        <f t="shared" ref="AD6:AD10" si="3">(AB6-AA6)*AC6</f>
        <v>#VALUE!</v>
      </c>
    </row>
    <row r="7" spans="3:30" ht="31.5" x14ac:dyDescent="0.25">
      <c r="C7" s="305"/>
      <c r="D7" s="307"/>
      <c r="E7" s="61" t="s">
        <v>160</v>
      </c>
      <c r="F7" s="10" t="s">
        <v>165</v>
      </c>
      <c r="H7" s="210">
        <v>5</v>
      </c>
      <c r="I7" s="19">
        <v>4.5999999999999999E-2</v>
      </c>
      <c r="J7" s="19">
        <v>0.17</v>
      </c>
      <c r="K7" s="19">
        <v>240</v>
      </c>
      <c r="L7" s="8">
        <f t="shared" si="0"/>
        <v>29.76</v>
      </c>
      <c r="M7" s="201"/>
      <c r="N7" s="211">
        <v>5</v>
      </c>
      <c r="O7" s="19">
        <v>4.5999999999999999E-2</v>
      </c>
      <c r="P7" s="19">
        <v>0.21</v>
      </c>
      <c r="Q7" s="19">
        <v>320</v>
      </c>
      <c r="R7" s="8">
        <f t="shared" si="1"/>
        <v>52.47999999999999</v>
      </c>
      <c r="S7" s="201"/>
      <c r="T7" s="211">
        <v>5</v>
      </c>
      <c r="U7" s="19">
        <v>4.5999999999999999E-2</v>
      </c>
      <c r="V7" s="19">
        <v>0.24</v>
      </c>
      <c r="W7" s="19">
        <v>570</v>
      </c>
      <c r="X7" s="8">
        <f t="shared" si="2"/>
        <v>110.58</v>
      </c>
      <c r="Y7" s="201"/>
      <c r="Z7" s="211">
        <v>5</v>
      </c>
      <c r="AA7" s="19">
        <v>4.5999999999999999E-2</v>
      </c>
      <c r="AB7" s="212" t="s">
        <v>159</v>
      </c>
      <c r="AC7" s="212" t="s">
        <v>159</v>
      </c>
      <c r="AD7" s="208" t="e">
        <f t="shared" si="3"/>
        <v>#VALUE!</v>
      </c>
    </row>
    <row r="8" spans="3:30" x14ac:dyDescent="0.25">
      <c r="C8" s="266"/>
      <c r="D8" s="308"/>
      <c r="E8" s="309" t="s">
        <v>161</v>
      </c>
      <c r="F8" s="209"/>
      <c r="H8" s="210">
        <v>10</v>
      </c>
      <c r="I8" s="19">
        <v>7.8E-2</v>
      </c>
      <c r="J8" s="19">
        <v>0.3</v>
      </c>
      <c r="K8" s="19">
        <v>310</v>
      </c>
      <c r="L8" s="8">
        <f t="shared" si="0"/>
        <v>68.819999999999993</v>
      </c>
      <c r="M8" s="201"/>
      <c r="N8" s="211">
        <v>10</v>
      </c>
      <c r="O8" s="19">
        <v>7.8E-2</v>
      </c>
      <c r="P8" s="19">
        <v>0.33</v>
      </c>
      <c r="Q8" s="19">
        <v>380</v>
      </c>
      <c r="R8" s="8">
        <f t="shared" si="1"/>
        <v>95.76</v>
      </c>
      <c r="S8" s="201"/>
      <c r="T8" s="211">
        <v>10</v>
      </c>
      <c r="U8" s="19">
        <v>7.8E-2</v>
      </c>
      <c r="V8" s="19">
        <v>0.57999999999999996</v>
      </c>
      <c r="W8" s="19">
        <v>1100</v>
      </c>
      <c r="X8" s="8">
        <f t="shared" si="2"/>
        <v>552.20000000000005</v>
      </c>
      <c r="Y8" s="201"/>
      <c r="Z8" s="211">
        <v>10</v>
      </c>
      <c r="AA8" s="19">
        <v>7.8E-2</v>
      </c>
      <c r="AB8" s="19">
        <v>0.84</v>
      </c>
      <c r="AC8" s="19">
        <v>2200</v>
      </c>
      <c r="AD8" s="208">
        <f t="shared" si="3"/>
        <v>1676.4</v>
      </c>
    </row>
    <row r="9" spans="3:30" ht="47.25" x14ac:dyDescent="0.25">
      <c r="C9" s="304" t="s">
        <v>361</v>
      </c>
      <c r="D9" s="306" t="s">
        <v>362</v>
      </c>
      <c r="E9" s="182" t="s">
        <v>152</v>
      </c>
      <c r="F9" s="10" t="s">
        <v>167</v>
      </c>
      <c r="H9" s="210">
        <v>15</v>
      </c>
      <c r="I9" s="19">
        <v>0.13</v>
      </c>
      <c r="J9" s="19">
        <v>0.5</v>
      </c>
      <c r="K9" s="19">
        <v>420</v>
      </c>
      <c r="L9" s="8">
        <f t="shared" si="0"/>
        <v>155.4</v>
      </c>
      <c r="M9" s="201"/>
      <c r="N9" s="211">
        <v>15</v>
      </c>
      <c r="O9" s="19">
        <v>0.13</v>
      </c>
      <c r="P9" s="19">
        <v>0.53</v>
      </c>
      <c r="Q9" s="19">
        <v>480</v>
      </c>
      <c r="R9" s="8">
        <f t="shared" si="1"/>
        <v>192</v>
      </c>
      <c r="S9" s="201"/>
      <c r="T9" s="211">
        <v>15</v>
      </c>
      <c r="U9" s="19">
        <v>0.13</v>
      </c>
      <c r="V9" s="19">
        <v>1</v>
      </c>
      <c r="W9" s="19">
        <v>1400</v>
      </c>
      <c r="X9" s="8">
        <f t="shared" si="2"/>
        <v>1218</v>
      </c>
      <c r="Y9" s="201"/>
      <c r="Z9" s="211">
        <v>15</v>
      </c>
      <c r="AA9" s="19">
        <v>0.13</v>
      </c>
      <c r="AB9" s="19">
        <v>1.4</v>
      </c>
      <c r="AC9" s="19">
        <f>2.9*1000</f>
        <v>2900</v>
      </c>
      <c r="AD9" s="208">
        <f t="shared" si="3"/>
        <v>3683</v>
      </c>
    </row>
    <row r="10" spans="3:30" ht="16.5" thickBot="1" x14ac:dyDescent="0.3">
      <c r="C10" s="305"/>
      <c r="D10" s="307"/>
      <c r="E10" s="309" t="s">
        <v>158</v>
      </c>
      <c r="F10" s="213"/>
      <c r="H10" s="214">
        <v>25</v>
      </c>
      <c r="I10" s="215">
        <v>0.15</v>
      </c>
      <c r="J10" s="215">
        <v>0.63</v>
      </c>
      <c r="K10" s="215">
        <v>450</v>
      </c>
      <c r="L10" s="216">
        <f t="shared" si="0"/>
        <v>216</v>
      </c>
      <c r="M10" s="217"/>
      <c r="N10" s="218">
        <v>25</v>
      </c>
      <c r="O10" s="215">
        <v>0.15</v>
      </c>
      <c r="P10" s="215">
        <v>0.75</v>
      </c>
      <c r="Q10" s="215">
        <v>540</v>
      </c>
      <c r="R10" s="216">
        <f t="shared" si="1"/>
        <v>324</v>
      </c>
      <c r="S10" s="217"/>
      <c r="T10" s="218">
        <v>25</v>
      </c>
      <c r="U10" s="215">
        <v>0.15</v>
      </c>
      <c r="V10" s="215">
        <v>1.3</v>
      </c>
      <c r="W10" s="215">
        <v>1500</v>
      </c>
      <c r="X10" s="216">
        <f t="shared" si="2"/>
        <v>1725.0000000000002</v>
      </c>
      <c r="Y10" s="217"/>
      <c r="Z10" s="218">
        <v>25</v>
      </c>
      <c r="AA10" s="215">
        <v>0.15</v>
      </c>
      <c r="AB10" s="215">
        <v>1.9</v>
      </c>
      <c r="AC10" s="215">
        <v>3000</v>
      </c>
      <c r="AD10" s="219">
        <f t="shared" si="3"/>
        <v>5250</v>
      </c>
    </row>
    <row r="11" spans="3:30" ht="47.25" x14ac:dyDescent="0.25">
      <c r="C11" s="305"/>
      <c r="D11" s="307"/>
      <c r="E11" s="61" t="s">
        <v>160</v>
      </c>
      <c r="F11" s="10" t="s">
        <v>167</v>
      </c>
      <c r="N11" s="3" t="s">
        <v>363</v>
      </c>
    </row>
    <row r="12" spans="3:30" x14ac:dyDescent="0.25">
      <c r="C12" s="266"/>
      <c r="D12" s="308"/>
      <c r="E12" s="309" t="s">
        <v>161</v>
      </c>
      <c r="F12" s="213"/>
    </row>
    <row r="13" spans="3:30" x14ac:dyDescent="0.25">
      <c r="E13" s="2"/>
    </row>
    <row r="14" spans="3:30" x14ac:dyDescent="0.25">
      <c r="E14" s="2"/>
    </row>
    <row r="16" spans="3:30" ht="56.25" customHeight="1" x14ac:dyDescent="0.25">
      <c r="K16" s="268" t="s">
        <v>166</v>
      </c>
      <c r="L16" s="268"/>
      <c r="W16" s="268" t="s">
        <v>168</v>
      </c>
      <c r="X16" s="268"/>
    </row>
    <row r="17" spans="2:32" ht="77.25" customHeight="1" x14ac:dyDescent="0.25">
      <c r="B17" s="220" t="s">
        <v>153</v>
      </c>
      <c r="C17" s="162" t="s">
        <v>154</v>
      </c>
      <c r="F17" s="190" t="s">
        <v>162</v>
      </c>
      <c r="G17" s="162" t="s">
        <v>163</v>
      </c>
      <c r="K17" s="190" t="s">
        <v>164</v>
      </c>
      <c r="L17" s="162" t="s">
        <v>165</v>
      </c>
      <c r="P17" s="190" t="s">
        <v>285</v>
      </c>
      <c r="Q17" s="162" t="s">
        <v>167</v>
      </c>
      <c r="W17" s="190" t="s">
        <v>286</v>
      </c>
      <c r="X17" s="162" t="s">
        <v>167</v>
      </c>
    </row>
    <row r="18" spans="2:32" x14ac:dyDescent="0.25">
      <c r="B18" s="8">
        <v>0.25</v>
      </c>
      <c r="C18" s="8">
        <f>0.17*EXP(LN(0.01371/0.17)*EXP(-0.13*B18))</f>
        <v>1.4859427412776439E-2</v>
      </c>
      <c r="F18" s="8">
        <v>0.25</v>
      </c>
      <c r="G18" s="8">
        <f>0.6842*EXP(LN(0.04306/0.6842)*EXP(-0.1357*F18))</f>
        <v>4.722133038989159E-2</v>
      </c>
      <c r="K18" s="8">
        <v>0.25</v>
      </c>
      <c r="L18" s="8">
        <f>1.661*EXP(LN(0.07428/1.661)*EXP(-0.1095*K18))</f>
        <v>8.0781763135068754E-2</v>
      </c>
      <c r="P18" s="8">
        <v>0.25</v>
      </c>
      <c r="Q18" s="8">
        <f>0.4493*EXP(LN(0.09919/0.4493)*EXP(-0.175*P18))*1000</f>
        <v>105.81617714127098</v>
      </c>
      <c r="W18" s="8">
        <v>0.25</v>
      </c>
      <c r="X18" s="8">
        <f>4.36*W18^0.6264/(62.41^0.6264+W18^0.6264)*1000</f>
        <v>133.14942540349287</v>
      </c>
    </row>
    <row r="19" spans="2:32" x14ac:dyDescent="0.25">
      <c r="B19" s="19">
        <v>0.5</v>
      </c>
      <c r="C19" s="19">
        <f t="shared" ref="C19:C81" si="4">0.17*EXP(LN(0.01371/0.17)*EXP(-0.13*B19))</f>
        <v>1.6063811968509541E-2</v>
      </c>
      <c r="F19" s="19">
        <v>0.5</v>
      </c>
      <c r="G19" s="19">
        <f t="shared" ref="G19:G81" si="5">0.6842*EXP(LN(0.04306/0.6842)*EXP(-0.1357*F19))</f>
        <v>5.1625709147501322E-2</v>
      </c>
      <c r="K19" s="19">
        <v>0.5</v>
      </c>
      <c r="L19" s="19">
        <f t="shared" ref="L19:L21" si="6">1.661*EXP(LN(0.07428/1.661)*EXP(-0.1095*K19))</f>
        <v>8.7653791619613231E-2</v>
      </c>
      <c r="P19" s="19">
        <v>0.5</v>
      </c>
      <c r="Q19" s="8">
        <f t="shared" ref="Q19:Q81" si="7">0.4493*EXP(LN(0.09919/0.4493)*EXP(-0.175*P19))*1000</f>
        <v>112.57295124806461</v>
      </c>
      <c r="W19" s="19">
        <v>0.5</v>
      </c>
      <c r="X19" s="8">
        <f t="shared" ref="X19:AC81" si="8">4.36*W19^0.6264/(62.41^0.6264+W19^0.6264)*1000</f>
        <v>202.18669596648022</v>
      </c>
      <c r="AE19" s="41"/>
      <c r="AF19" s="41"/>
    </row>
    <row r="20" spans="2:32" x14ac:dyDescent="0.25">
      <c r="B20" s="19">
        <v>1</v>
      </c>
      <c r="C20" s="19">
        <f t="shared" si="4"/>
        <v>1.8634996196604529E-2</v>
      </c>
      <c r="F20" s="19">
        <v>1</v>
      </c>
      <c r="G20" s="19">
        <f t="shared" si="5"/>
        <v>6.1163077407530415E-2</v>
      </c>
      <c r="K20" s="19">
        <v>1</v>
      </c>
      <c r="L20" s="19">
        <f t="shared" si="6"/>
        <v>0.1025271486668973</v>
      </c>
      <c r="P20" s="19">
        <v>1</v>
      </c>
      <c r="Q20" s="8">
        <f t="shared" si="7"/>
        <v>126.41397463537751</v>
      </c>
      <c r="W20" s="19">
        <v>1</v>
      </c>
      <c r="X20" s="8">
        <f t="shared" si="8"/>
        <v>304.44123741177145</v>
      </c>
    </row>
    <row r="21" spans="2:32" x14ac:dyDescent="0.25">
      <c r="B21" s="19"/>
      <c r="C21" s="19"/>
      <c r="F21" s="19"/>
      <c r="G21" s="19"/>
      <c r="K21" s="19">
        <v>1.5</v>
      </c>
      <c r="L21" s="19">
        <f t="shared" si="6"/>
        <v>0.11892701058953015</v>
      </c>
      <c r="P21" s="19"/>
      <c r="Q21" s="8"/>
      <c r="W21" s="19">
        <v>1.5</v>
      </c>
      <c r="X21" s="8">
        <f t="shared" si="8"/>
        <v>384.70328478731955</v>
      </c>
    </row>
    <row r="22" spans="2:32" x14ac:dyDescent="0.25">
      <c r="B22" s="8">
        <v>2</v>
      </c>
      <c r="C22" s="8">
        <f t="shared" si="4"/>
        <v>2.4399013995162616E-2</v>
      </c>
      <c r="F22" s="8">
        <v>2</v>
      </c>
      <c r="G22" s="8">
        <f t="shared" si="5"/>
        <v>8.3092881476378055E-2</v>
      </c>
      <c r="K22" s="8">
        <v>2</v>
      </c>
      <c r="L22" s="8">
        <f t="shared" ref="L22:L81" si="9">0.1041+(K22^2.727)*(1.478-0.1041)/(K22^2.727+12.23^2.727)</f>
        <v>0.11388023636891223</v>
      </c>
      <c r="P22" s="8">
        <v>2</v>
      </c>
      <c r="Q22" s="8">
        <f t="shared" si="7"/>
        <v>154.9575497889833</v>
      </c>
      <c r="W22" s="8">
        <v>2</v>
      </c>
      <c r="X22" s="8">
        <f t="shared" si="8"/>
        <v>452.77869150514334</v>
      </c>
    </row>
    <row r="23" spans="2:32" x14ac:dyDescent="0.25">
      <c r="B23" s="8">
        <v>3</v>
      </c>
      <c r="C23" s="8">
        <f t="shared" si="4"/>
        <v>3.091342831891794E-2</v>
      </c>
      <c r="F23" s="8">
        <v>3</v>
      </c>
      <c r="G23" s="8">
        <f t="shared" si="5"/>
        <v>0.10858048061925069</v>
      </c>
      <c r="K23" s="8">
        <v>3</v>
      </c>
      <c r="L23" s="8">
        <f t="shared" si="9"/>
        <v>0.13323034406344797</v>
      </c>
      <c r="P23" s="8">
        <v>3</v>
      </c>
      <c r="Q23" s="8">
        <f t="shared" si="7"/>
        <v>183.83811625947922</v>
      </c>
      <c r="W23" s="8">
        <v>3</v>
      </c>
      <c r="X23" s="8">
        <f t="shared" si="8"/>
        <v>566.6835528178616</v>
      </c>
    </row>
    <row r="24" spans="2:32" x14ac:dyDescent="0.25">
      <c r="B24" s="8">
        <v>4</v>
      </c>
      <c r="C24" s="8">
        <f t="shared" si="4"/>
        <v>3.8053388685169422E-2</v>
      </c>
      <c r="F24" s="8">
        <v>4</v>
      </c>
      <c r="G24" s="8">
        <f t="shared" si="5"/>
        <v>0.13715005176721329</v>
      </c>
      <c r="K24" s="8">
        <v>4</v>
      </c>
      <c r="L24" s="8">
        <f t="shared" si="9"/>
        <v>0.16636153071306725</v>
      </c>
      <c r="P24" s="8">
        <v>4</v>
      </c>
      <c r="Q24" s="8">
        <f t="shared" si="7"/>
        <v>212.19855840361697</v>
      </c>
      <c r="W24" s="8">
        <v>4</v>
      </c>
      <c r="X24" s="8">
        <f t="shared" si="8"/>
        <v>661.60199324177279</v>
      </c>
    </row>
    <row r="25" spans="2:32" x14ac:dyDescent="0.25">
      <c r="B25" s="8">
        <v>4.5</v>
      </c>
      <c r="C25" s="8">
        <f t="shared" si="4"/>
        <v>4.1812196619025313E-2</v>
      </c>
      <c r="F25" s="8">
        <v>4.5</v>
      </c>
      <c r="G25" s="8">
        <f t="shared" si="5"/>
        <v>0.15239948319917224</v>
      </c>
      <c r="K25" s="8">
        <v>4.5</v>
      </c>
      <c r="L25" s="8">
        <f t="shared" si="9"/>
        <v>0.18849589182535209</v>
      </c>
      <c r="P25" s="8"/>
      <c r="Q25" s="8"/>
      <c r="W25" s="8"/>
      <c r="X25" s="8"/>
    </row>
    <row r="26" spans="2:32" x14ac:dyDescent="0.25">
      <c r="B26" s="19">
        <v>5</v>
      </c>
      <c r="C26" s="19">
        <f t="shared" si="4"/>
        <v>4.567074362537251E-2</v>
      </c>
      <c r="F26" s="19">
        <v>5</v>
      </c>
      <c r="G26" s="19">
        <f t="shared" si="5"/>
        <v>0.16817730161913705</v>
      </c>
      <c r="K26" s="19">
        <v>5</v>
      </c>
      <c r="L26" s="19">
        <f t="shared" si="9"/>
        <v>0.21433306322421544</v>
      </c>
      <c r="P26" s="19">
        <v>5</v>
      </c>
      <c r="Q26" s="8">
        <f t="shared" si="7"/>
        <v>239.35712889582319</v>
      </c>
      <c r="W26" s="19">
        <v>5</v>
      </c>
      <c r="X26" s="8">
        <f t="shared" si="8"/>
        <v>743.91912774517982</v>
      </c>
    </row>
    <row r="27" spans="2:32" x14ac:dyDescent="0.25">
      <c r="B27" s="8">
        <v>6</v>
      </c>
      <c r="C27" s="8">
        <f t="shared" si="4"/>
        <v>5.3607126978820543E-2</v>
      </c>
      <c r="F27" s="8">
        <v>6</v>
      </c>
      <c r="G27" s="8">
        <f t="shared" si="5"/>
        <v>0.20095530413541426</v>
      </c>
      <c r="K27" s="8">
        <v>6</v>
      </c>
      <c r="L27" s="8">
        <f t="shared" si="9"/>
        <v>0.27642816075717591</v>
      </c>
      <c r="P27" s="8">
        <v>6</v>
      </c>
      <c r="Q27" s="8">
        <f t="shared" si="7"/>
        <v>264.82152034480129</v>
      </c>
      <c r="W27" s="8">
        <v>6</v>
      </c>
      <c r="X27" s="8">
        <f t="shared" si="8"/>
        <v>817.05475804580442</v>
      </c>
    </row>
    <row r="28" spans="2:32" x14ac:dyDescent="0.25">
      <c r="B28" s="8">
        <v>7</v>
      </c>
      <c r="C28" s="8">
        <f t="shared" si="4"/>
        <v>6.1705563011449346E-2</v>
      </c>
      <c r="F28" s="8">
        <v>7</v>
      </c>
      <c r="G28" s="8">
        <f t="shared" si="5"/>
        <v>0.23475695873573268</v>
      </c>
      <c r="K28" s="8">
        <v>7</v>
      </c>
      <c r="L28" s="8">
        <f t="shared" si="9"/>
        <v>0.3503353369653418</v>
      </c>
      <c r="P28" s="8">
        <v>7</v>
      </c>
      <c r="Q28" s="8">
        <f t="shared" si="7"/>
        <v>288.27782481628162</v>
      </c>
      <c r="W28" s="8">
        <v>7</v>
      </c>
      <c r="X28" s="8">
        <f t="shared" si="8"/>
        <v>883.10730923983624</v>
      </c>
    </row>
    <row r="29" spans="2:32" x14ac:dyDescent="0.25">
      <c r="B29" s="8">
        <v>8</v>
      </c>
      <c r="C29" s="8">
        <f t="shared" si="4"/>
        <v>6.9819626175003396E-2</v>
      </c>
      <c r="F29" s="8">
        <v>8</v>
      </c>
      <c r="G29" s="8">
        <f t="shared" si="5"/>
        <v>0.26888688490195206</v>
      </c>
      <c r="K29" s="8">
        <v>8</v>
      </c>
      <c r="L29" s="8">
        <f t="shared" si="9"/>
        <v>0.43263543642743751</v>
      </c>
      <c r="P29" s="8">
        <v>8</v>
      </c>
      <c r="Q29" s="8">
        <f t="shared" si="7"/>
        <v>309.56504186402293</v>
      </c>
      <c r="W29" s="8">
        <v>8</v>
      </c>
      <c r="X29" s="8">
        <f t="shared" si="8"/>
        <v>943.47934782917332</v>
      </c>
    </row>
    <row r="30" spans="2:32" x14ac:dyDescent="0.25">
      <c r="B30" s="8">
        <v>9</v>
      </c>
      <c r="C30" s="8">
        <f t="shared" si="4"/>
        <v>7.7819806922619278E-2</v>
      </c>
      <c r="F30" s="8">
        <v>9</v>
      </c>
      <c r="G30" s="8">
        <f t="shared" si="5"/>
        <v>0.30271931457978107</v>
      </c>
      <c r="K30" s="8">
        <v>9</v>
      </c>
      <c r="L30" s="8">
        <f t="shared" si="9"/>
        <v>0.51945529240942645</v>
      </c>
      <c r="P30" s="8">
        <v>9</v>
      </c>
      <c r="Q30" s="8">
        <f t="shared" si="7"/>
        <v>328.64367483818251</v>
      </c>
      <c r="W30" s="8">
        <v>9</v>
      </c>
      <c r="X30" s="8">
        <f t="shared" si="8"/>
        <v>999.16547288773404</v>
      </c>
    </row>
    <row r="31" spans="2:32" x14ac:dyDescent="0.25">
      <c r="B31" s="19">
        <v>10</v>
      </c>
      <c r="C31" s="19">
        <f t="shared" si="4"/>
        <v>8.5597195134585691E-2</v>
      </c>
      <c r="F31" s="19">
        <v>10</v>
      </c>
      <c r="G31" s="19">
        <f t="shared" si="5"/>
        <v>0.3357215874060947</v>
      </c>
      <c r="K31" s="19">
        <v>10</v>
      </c>
      <c r="L31" s="19">
        <f t="shared" si="9"/>
        <v>0.60709145220090688</v>
      </c>
      <c r="P31" s="19">
        <v>10</v>
      </c>
      <c r="Q31" s="8">
        <f t="shared" si="7"/>
        <v>345.56424730802235</v>
      </c>
      <c r="W31" s="19">
        <v>10</v>
      </c>
      <c r="X31" s="8">
        <f t="shared" si="8"/>
        <v>1050.9023500386527</v>
      </c>
    </row>
    <row r="32" spans="2:32" x14ac:dyDescent="0.25">
      <c r="B32" s="8">
        <v>11</v>
      </c>
      <c r="C32" s="8">
        <f t="shared" si="4"/>
        <v>9.3064875724288398E-2</v>
      </c>
      <c r="F32" s="8">
        <v>11</v>
      </c>
      <c r="G32" s="8">
        <f t="shared" si="5"/>
        <v>0.36746487419747698</v>
      </c>
      <c r="K32" s="8">
        <v>11</v>
      </c>
      <c r="L32" s="8">
        <f t="shared" si="9"/>
        <v>0.69245308228161473</v>
      </c>
      <c r="P32" s="8">
        <v>11</v>
      </c>
      <c r="Q32" s="8">
        <f t="shared" si="7"/>
        <v>360.43912395845285</v>
      </c>
      <c r="W32" s="8">
        <v>11</v>
      </c>
      <c r="X32" s="8">
        <f t="shared" si="8"/>
        <v>1099.2541393078934</v>
      </c>
    </row>
    <row r="33" spans="2:24" x14ac:dyDescent="0.25">
      <c r="B33" s="8">
        <v>12</v>
      </c>
      <c r="C33" s="8">
        <f t="shared" si="4"/>
        <v>0.10015755900914651</v>
      </c>
      <c r="F33" s="8">
        <v>12</v>
      </c>
      <c r="G33" s="8">
        <f t="shared" si="5"/>
        <v>0.3976247897418661</v>
      </c>
      <c r="K33" s="8">
        <v>12</v>
      </c>
      <c r="L33" s="8">
        <f t="shared" si="9"/>
        <v>0.77327126980568872</v>
      </c>
      <c r="P33" s="8">
        <v>12</v>
      </c>
      <c r="Q33" s="8">
        <f t="shared" si="7"/>
        <v>373.41917053222966</v>
      </c>
      <c r="W33" s="8">
        <v>12</v>
      </c>
      <c r="X33" s="8">
        <f t="shared" si="8"/>
        <v>1144.6644883704507</v>
      </c>
    </row>
    <row r="34" spans="2:24" x14ac:dyDescent="0.25">
      <c r="B34" s="8">
        <v>13</v>
      </c>
      <c r="C34" s="8">
        <f t="shared" si="4"/>
        <v>0.10682998269271228</v>
      </c>
      <c r="F34" s="8">
        <v>13</v>
      </c>
      <c r="G34" s="8">
        <f t="shared" si="5"/>
        <v>0.42597482819632959</v>
      </c>
      <c r="K34" s="8">
        <v>13</v>
      </c>
      <c r="L34" s="8">
        <f t="shared" si="9"/>
        <v>0.84810804762627778</v>
      </c>
      <c r="P34" s="8">
        <v>13</v>
      </c>
      <c r="Q34" s="8">
        <f t="shared" si="7"/>
        <v>384.67556661398476</v>
      </c>
      <c r="W34" s="8">
        <v>13</v>
      </c>
      <c r="X34" s="8">
        <f t="shared" si="8"/>
        <v>1187.4898697830495</v>
      </c>
    </row>
    <row r="35" spans="2:24" x14ac:dyDescent="0.25">
      <c r="B35" s="8">
        <v>14</v>
      </c>
      <c r="C35" s="8">
        <f t="shared" si="4"/>
        <v>0.1130545660747258</v>
      </c>
      <c r="F35" s="8">
        <v>14</v>
      </c>
      <c r="G35" s="8">
        <f t="shared" si="5"/>
        <v>0.45237533248314349</v>
      </c>
      <c r="K35" s="8">
        <v>14</v>
      </c>
      <c r="L35" s="8">
        <f t="shared" si="9"/>
        <v>0.91623932402908825</v>
      </c>
      <c r="P35" s="8">
        <v>14</v>
      </c>
      <c r="Q35" s="8">
        <f t="shared" si="7"/>
        <v>394.38638361298382</v>
      </c>
      <c r="W35" s="8">
        <v>14</v>
      </c>
      <c r="X35" s="8">
        <f t="shared" si="8"/>
        <v>1228.0218722372811</v>
      </c>
    </row>
    <row r="36" spans="2:24" x14ac:dyDescent="0.25">
      <c r="B36" s="8">
        <v>15</v>
      </c>
      <c r="C36" s="8">
        <f t="shared" si="4"/>
        <v>0.11881870647680963</v>
      </c>
      <c r="F36" s="8">
        <v>15</v>
      </c>
      <c r="G36" s="8">
        <f t="shared" si="5"/>
        <v>0.47676023100242837</v>
      </c>
      <c r="K36" s="8">
        <v>15</v>
      </c>
      <c r="L36" s="8">
        <f t="shared" si="9"/>
        <v>0.97748520785495685</v>
      </c>
      <c r="P36" s="8">
        <v>15</v>
      </c>
      <c r="Q36" s="8">
        <f t="shared" si="7"/>
        <v>402.72721035433466</v>
      </c>
      <c r="W36" s="8">
        <v>15</v>
      </c>
      <c r="X36" s="8">
        <f t="shared" si="8"/>
        <v>1266.5026297080015</v>
      </c>
    </row>
    <row r="37" spans="2:24" x14ac:dyDescent="0.25">
      <c r="B37" s="8">
        <v>16</v>
      </c>
      <c r="C37" s="8">
        <f t="shared" si="4"/>
        <v>0.12412200857511804</v>
      </c>
      <c r="F37" s="8">
        <v>16</v>
      </c>
      <c r="G37" s="8">
        <f t="shared" si="5"/>
        <v>0.49912321555663386</v>
      </c>
      <c r="K37" s="8">
        <v>16</v>
      </c>
      <c r="L37" s="8">
        <f t="shared" si="9"/>
        <v>1.0320394834634572</v>
      </c>
      <c r="P37" s="8">
        <v>16</v>
      </c>
      <c r="Q37" s="8">
        <f t="shared" si="7"/>
        <v>409.86501559956793</v>
      </c>
      <c r="W37" s="8">
        <v>16</v>
      </c>
      <c r="X37" s="8">
        <f t="shared" si="8"/>
        <v>1303.1358146989628</v>
      </c>
    </row>
    <row r="38" spans="2:24" x14ac:dyDescent="0.25">
      <c r="B38" s="8">
        <v>17</v>
      </c>
      <c r="C38" s="8">
        <f t="shared" si="4"/>
        <v>0.12897364515959925</v>
      </c>
      <c r="F38" s="8">
        <v>17</v>
      </c>
      <c r="G38" s="8">
        <f t="shared" si="5"/>
        <v>0.51950450293411343</v>
      </c>
      <c r="K38" s="8">
        <v>17</v>
      </c>
      <c r="L38" s="8">
        <f t="shared" si="9"/>
        <v>1.0803254064924048</v>
      </c>
      <c r="P38" s="8">
        <v>17</v>
      </c>
      <c r="Q38" s="8">
        <f t="shared" si="7"/>
        <v>415.95447760822714</v>
      </c>
      <c r="W38" s="8">
        <v>17</v>
      </c>
      <c r="X38" s="8">
        <f t="shared" si="8"/>
        <v>1338.0946663014909</v>
      </c>
    </row>
    <row r="39" spans="2:24" x14ac:dyDescent="0.25">
      <c r="B39" s="8">
        <v>18</v>
      </c>
      <c r="C39" s="8">
        <f t="shared" si="4"/>
        <v>0.13338997070961991</v>
      </c>
      <c r="F39" s="8">
        <v>18</v>
      </c>
      <c r="G39" s="8">
        <f t="shared" si="5"/>
        <v>0.53797887509130515</v>
      </c>
      <c r="K39" s="8">
        <v>18</v>
      </c>
      <c r="L39" s="8">
        <f t="shared" si="9"/>
        <v>1.1228866057272175</v>
      </c>
      <c r="P39" s="8">
        <v>18</v>
      </c>
      <c r="Q39" s="8">
        <f t="shared" si="7"/>
        <v>421.13611534492532</v>
      </c>
      <c r="W39" s="8">
        <v>18</v>
      </c>
      <c r="X39" s="8">
        <f t="shared" si="8"/>
        <v>1371.5279786388382</v>
      </c>
    </row>
    <row r="40" spans="2:24" x14ac:dyDescent="0.25">
      <c r="B40" s="8">
        <v>19</v>
      </c>
      <c r="C40" s="8">
        <f t="shared" si="4"/>
        <v>0.13739244957266136</v>
      </c>
      <c r="F40" s="8">
        <v>19</v>
      </c>
      <c r="G40" s="8">
        <f t="shared" si="5"/>
        <v>0.55464534813648492</v>
      </c>
      <c r="K40" s="8">
        <v>19</v>
      </c>
      <c r="L40" s="8">
        <f t="shared" si="9"/>
        <v>1.1603113446713231</v>
      </c>
      <c r="P40" s="8">
        <v>19</v>
      </c>
      <c r="Q40" s="8">
        <f t="shared" si="7"/>
        <v>425.53568078901225</v>
      </c>
      <c r="W40" s="8">
        <v>19</v>
      </c>
      <c r="X40" s="8">
        <f t="shared" si="8"/>
        <v>1403.564651215753</v>
      </c>
    </row>
    <row r="41" spans="2:24" x14ac:dyDescent="0.25">
      <c r="B41" s="8">
        <v>20</v>
      </c>
      <c r="C41" s="8">
        <f t="shared" si="4"/>
        <v>0.14100591766670326</v>
      </c>
      <c r="F41" s="8">
        <v>20</v>
      </c>
      <c r="G41" s="8">
        <f t="shared" si="5"/>
        <v>0.56961857482518707</v>
      </c>
      <c r="K41" s="8">
        <v>20</v>
      </c>
      <c r="L41" s="8">
        <f t="shared" si="9"/>
        <v>1.1931839245791744</v>
      </c>
      <c r="P41" s="8">
        <v>20</v>
      </c>
      <c r="Q41" s="8">
        <f t="shared" si="7"/>
        <v>429.26439295896176</v>
      </c>
      <c r="W41" s="8">
        <v>20</v>
      </c>
      <c r="X41" s="8">
        <f t="shared" si="8"/>
        <v>1434.3172031446243</v>
      </c>
    </row>
    <row r="42" spans="2:24" x14ac:dyDescent="0.25">
      <c r="B42" s="8">
        <v>21</v>
      </c>
      <c r="C42" s="8">
        <f t="shared" si="4"/>
        <v>0.14425716805751029</v>
      </c>
      <c r="F42" s="8">
        <v>21</v>
      </c>
      <c r="G42" s="8">
        <f t="shared" si="5"/>
        <v>0.58302192432917577</v>
      </c>
      <c r="K42" s="8">
        <v>21</v>
      </c>
      <c r="L42" s="8">
        <f t="shared" si="9"/>
        <v>1.2220561487932422</v>
      </c>
      <c r="P42" s="8">
        <v>21</v>
      </c>
      <c r="Q42" s="8">
        <f t="shared" si="7"/>
        <v>432.41970027394785</v>
      </c>
      <c r="W42" s="8">
        <v>21</v>
      </c>
      <c r="X42" s="8">
        <f t="shared" si="8"/>
        <v>1463.8845265098403</v>
      </c>
    </row>
    <row r="43" spans="2:24" x14ac:dyDescent="0.25">
      <c r="B43" s="8">
        <v>22</v>
      </c>
      <c r="C43" s="8">
        <f t="shared" si="4"/>
        <v>0.14717383348220273</v>
      </c>
      <c r="F43" s="8">
        <v>22</v>
      </c>
      <c r="G43" s="8">
        <f t="shared" si="5"/>
        <v>0.59498208816693166</v>
      </c>
      <c r="K43" s="8">
        <v>22</v>
      </c>
      <c r="L43" s="8">
        <f t="shared" si="9"/>
        <v>1.2474326078456108</v>
      </c>
      <c r="P43" s="8">
        <v>22</v>
      </c>
      <c r="Q43" s="8">
        <f t="shared" si="7"/>
        <v>435.08634486548897</v>
      </c>
      <c r="W43" s="8">
        <v>22</v>
      </c>
      <c r="X43" s="8">
        <f t="shared" si="8"/>
        <v>1492.354071474824</v>
      </c>
    </row>
    <row r="44" spans="2:24" x14ac:dyDescent="0.25">
      <c r="B44" s="8">
        <v>23</v>
      </c>
      <c r="C44" s="8">
        <f t="shared" si="4"/>
        <v>0.14978352996576288</v>
      </c>
      <c r="F44" s="8">
        <v>23</v>
      </c>
      <c r="G44" s="8">
        <f t="shared" si="5"/>
        <v>0.60562501442995709</v>
      </c>
      <c r="K44" s="8">
        <v>23</v>
      </c>
      <c r="L44" s="8">
        <f t="shared" si="9"/>
        <v>1.2697649312832746</v>
      </c>
      <c r="P44" s="8">
        <v>23</v>
      </c>
      <c r="Q44" s="8">
        <f t="shared" si="7"/>
        <v>437.33757067510635</v>
      </c>
      <c r="W44" s="8">
        <v>23</v>
      </c>
      <c r="X44" s="8">
        <f t="shared" si="8"/>
        <v>1519.8036005132387</v>
      </c>
    </row>
    <row r="45" spans="2:24" x14ac:dyDescent="0.25">
      <c r="B45" s="8">
        <v>24</v>
      </c>
      <c r="C45" s="8">
        <f t="shared" si="4"/>
        <v>0.15211322256599163</v>
      </c>
      <c r="F45" s="8">
        <v>24</v>
      </c>
      <c r="G45" s="8">
        <f t="shared" si="5"/>
        <v>0.61507295844505505</v>
      </c>
      <c r="K45" s="8">
        <v>24</v>
      </c>
      <c r="L45" s="8">
        <f t="shared" si="9"/>
        <v>1.2894515134522693</v>
      </c>
      <c r="P45" s="8">
        <v>24</v>
      </c>
      <c r="Q45" s="8">
        <f t="shared" si="7"/>
        <v>439.23636883504054</v>
      </c>
      <c r="W45" s="8">
        <v>24</v>
      </c>
      <c r="X45" s="8">
        <f t="shared" si="8"/>
        <v>1546.3026114573781</v>
      </c>
    </row>
    <row r="46" spans="2:24" x14ac:dyDescent="0.25">
      <c r="B46" s="19">
        <v>25</v>
      </c>
      <c r="C46" s="19">
        <f t="shared" si="4"/>
        <v>0.15418877495056943</v>
      </c>
      <c r="F46" s="19">
        <v>25</v>
      </c>
      <c r="G46" s="19">
        <f t="shared" si="5"/>
        <v>0.62344244469170651</v>
      </c>
      <c r="K46" s="19">
        <v>25</v>
      </c>
      <c r="L46" s="19">
        <f t="shared" si="9"/>
        <v>1.3068403375628093</v>
      </c>
      <c r="P46" s="19">
        <v>25</v>
      </c>
      <c r="Q46" s="8">
        <f t="shared" si="7"/>
        <v>440.83669181207347</v>
      </c>
      <c r="W46" s="19">
        <v>25</v>
      </c>
      <c r="X46" s="8">
        <f t="shared" si="8"/>
        <v>1571.9135028385385</v>
      </c>
    </row>
    <row r="47" spans="2:24" x14ac:dyDescent="0.25">
      <c r="B47" s="8">
        <v>26</v>
      </c>
      <c r="C47" s="8">
        <f t="shared" si="4"/>
        <v>0.15603464742551465</v>
      </c>
      <c r="F47" s="8">
        <v>26</v>
      </c>
      <c r="G47" s="8">
        <f t="shared" si="5"/>
        <v>0.63084295323570838</v>
      </c>
      <c r="K47" s="8">
        <v>26</v>
      </c>
      <c r="L47" s="8">
        <f t="shared" si="9"/>
        <v>1.3222333557121053</v>
      </c>
      <c r="P47" s="8">
        <v>26</v>
      </c>
      <c r="Q47" s="8">
        <f t="shared" si="7"/>
        <v>442.18459497886596</v>
      </c>
      <c r="W47" s="8">
        <v>26</v>
      </c>
      <c r="X47" s="8">
        <f t="shared" si="8"/>
        <v>1596.6925364376846</v>
      </c>
    </row>
    <row r="48" spans="2:24" x14ac:dyDescent="0.25">
      <c r="B48" s="8">
        <v>27</v>
      </c>
      <c r="C48" s="8">
        <f t="shared" si="4"/>
        <v>0.15767371210470893</v>
      </c>
      <c r="F48" s="8">
        <v>27</v>
      </c>
      <c r="G48" s="8">
        <f t="shared" si="5"/>
        <v>0.63737616794984198</v>
      </c>
      <c r="K48" s="8">
        <v>27</v>
      </c>
      <c r="L48" s="8">
        <f t="shared" si="9"/>
        <v>1.3358914674277951</v>
      </c>
      <c r="P48" s="8">
        <v>27</v>
      </c>
      <c r="Q48" s="8">
        <f t="shared" si="7"/>
        <v>443.31928321771392</v>
      </c>
      <c r="W48" s="8">
        <v>27</v>
      </c>
      <c r="X48" s="8">
        <f t="shared" si="8"/>
        <v>1620.6906386234841</v>
      </c>
    </row>
    <row r="49" spans="2:24" x14ac:dyDescent="0.25">
      <c r="B49" s="8">
        <v>28</v>
      </c>
      <c r="C49" s="8">
        <f t="shared" si="4"/>
        <v>0.15912715839687161</v>
      </c>
      <c r="F49" s="8">
        <v>28</v>
      </c>
      <c r="G49" s="8">
        <f t="shared" si="5"/>
        <v>0.64313564931367007</v>
      </c>
      <c r="K49" s="8">
        <v>28</v>
      </c>
      <c r="L49" s="8">
        <f t="shared" si="9"/>
        <v>1.3480395319906038</v>
      </c>
      <c r="P49" s="8">
        <v>28</v>
      </c>
      <c r="Q49" s="8">
        <f t="shared" si="7"/>
        <v>444.27405297624387</v>
      </c>
      <c r="W49" s="8">
        <v>28</v>
      </c>
      <c r="X49" s="8">
        <f t="shared" si="8"/>
        <v>1643.9540723250384</v>
      </c>
    </row>
    <row r="50" spans="2:24" x14ac:dyDescent="0.25">
      <c r="B50" s="8">
        <v>29</v>
      </c>
      <c r="C50" s="8">
        <f t="shared" si="4"/>
        <v>0.16041446642068524</v>
      </c>
      <c r="F50" s="8">
        <v>29</v>
      </c>
      <c r="G50" s="8">
        <f t="shared" si="5"/>
        <v>0.64820681914887734</v>
      </c>
      <c r="K50" s="8">
        <v>29</v>
      </c>
      <c r="L50" s="8">
        <f t="shared" si="9"/>
        <v>1.3588711040483759</v>
      </c>
      <c r="P50" s="8">
        <v>29</v>
      </c>
      <c r="Q50" s="8">
        <f t="shared" si="7"/>
        <v>445.07712856203432</v>
      </c>
      <c r="W50" s="8">
        <v>29</v>
      </c>
      <c r="X50" s="8">
        <f t="shared" si="8"/>
        <v>1666.5250042972652</v>
      </c>
    </row>
    <row r="51" spans="2:24" x14ac:dyDescent="0.25">
      <c r="B51" s="8">
        <v>30</v>
      </c>
      <c r="C51" s="8">
        <f t="shared" si="4"/>
        <v>0.16155343006737291</v>
      </c>
      <c r="F51" s="8">
        <v>30</v>
      </c>
      <c r="G51" s="8">
        <f t="shared" si="5"/>
        <v>0.65266716690242921</v>
      </c>
      <c r="K51" s="8">
        <v>30</v>
      </c>
      <c r="L51" s="8">
        <f t="shared" si="9"/>
        <v>1.3685527411484379</v>
      </c>
      <c r="P51" s="8">
        <v>30</v>
      </c>
      <c r="Q51" s="8">
        <f t="shared" si="7"/>
        <v>445.75239667144308</v>
      </c>
      <c r="W51" s="8">
        <v>30</v>
      </c>
      <c r="X51" s="8">
        <f t="shared" si="8"/>
        <v>1688.441986960346</v>
      </c>
    </row>
    <row r="52" spans="2:24" x14ac:dyDescent="0.25">
      <c r="B52" s="8">
        <v>31</v>
      </c>
      <c r="C52" s="8">
        <f t="shared" si="4"/>
        <v>0.16256021507472773</v>
      </c>
      <c r="F52" s="8">
        <v>31</v>
      </c>
      <c r="G52" s="8">
        <f t="shared" si="5"/>
        <v>0.65658660643334898</v>
      </c>
      <c r="K52" s="8">
        <v>31</v>
      </c>
      <c r="L52" s="8">
        <f t="shared" si="9"/>
        <v>1.3772278277769243</v>
      </c>
      <c r="P52" s="8">
        <v>31</v>
      </c>
      <c r="Q52" s="8">
        <f t="shared" si="7"/>
        <v>446.3200461604697</v>
      </c>
      <c r="W52" s="8">
        <v>31</v>
      </c>
      <c r="X52" s="8">
        <f t="shared" si="8"/>
        <v>1709.7403700289772</v>
      </c>
    </row>
    <row r="53" spans="2:24" x14ac:dyDescent="0.25">
      <c r="B53" s="8">
        <v>32</v>
      </c>
      <c r="C53" s="8">
        <f t="shared" si="4"/>
        <v>0.16344944060823338</v>
      </c>
      <c r="F53" s="8">
        <v>32</v>
      </c>
      <c r="G53" s="8">
        <f t="shared" si="5"/>
        <v>0.66002792855891956</v>
      </c>
      <c r="K53" s="8">
        <v>32</v>
      </c>
      <c r="L53" s="8">
        <f t="shared" si="9"/>
        <v>1.3850199157077645</v>
      </c>
      <c r="P53" s="8">
        <v>32</v>
      </c>
      <c r="Q53" s="8">
        <f t="shared" si="7"/>
        <v>446.79712158793632</v>
      </c>
      <c r="W53" s="8">
        <v>32</v>
      </c>
      <c r="X53" s="8">
        <f t="shared" si="8"/>
        <v>1730.452654041035</v>
      </c>
    </row>
    <row r="54" spans="2:24" x14ac:dyDescent="0.25">
      <c r="B54" s="8">
        <v>33</v>
      </c>
      <c r="C54" s="8">
        <f t="shared" si="4"/>
        <v>0.1642342754695717</v>
      </c>
      <c r="F54" s="8">
        <v>33</v>
      </c>
      <c r="G54" s="8">
        <f t="shared" si="5"/>
        <v>0.66304730801920531</v>
      </c>
      <c r="K54" s="8">
        <v>33</v>
      </c>
      <c r="L54" s="8">
        <f t="shared" si="9"/>
        <v>1.3920356100682225</v>
      </c>
      <c r="P54" s="8">
        <v>33</v>
      </c>
      <c r="Q54" s="8">
        <f t="shared" si="7"/>
        <v>447.19799960094161</v>
      </c>
      <c r="W54" s="8">
        <v>33</v>
      </c>
      <c r="X54" s="8">
        <f t="shared" si="8"/>
        <v>1750.60879549945</v>
      </c>
    </row>
    <row r="55" spans="2:24" x14ac:dyDescent="0.25">
      <c r="B55" s="8">
        <v>34</v>
      </c>
      <c r="C55" s="8">
        <f t="shared" si="4"/>
        <v>0.16492654220811578</v>
      </c>
      <c r="F55" s="8">
        <v>34</v>
      </c>
      <c r="G55" s="8">
        <f t="shared" si="5"/>
        <v>0.66569483431716536</v>
      </c>
      <c r="K55" s="8">
        <v>34</v>
      </c>
      <c r="L55" s="8">
        <f t="shared" si="9"/>
        <v>1.3983670444767304</v>
      </c>
      <c r="P55" s="8">
        <v>34</v>
      </c>
      <c r="Q55" s="8">
        <f t="shared" si="7"/>
        <v>447.53479714776228</v>
      </c>
      <c r="W55" s="8">
        <v>34</v>
      </c>
      <c r="X55" s="8">
        <f t="shared" si="8"/>
        <v>1770.2364714768173</v>
      </c>
    </row>
    <row r="56" spans="2:24" x14ac:dyDescent="0.25">
      <c r="B56" s="8">
        <v>35</v>
      </c>
      <c r="C56" s="8">
        <f t="shared" si="4"/>
        <v>0.16553682415013413</v>
      </c>
      <c r="F56" s="8">
        <v>35</v>
      </c>
      <c r="G56" s="8">
        <f t="shared" si="5"/>
        <v>0.66801504443750293</v>
      </c>
      <c r="K56" s="8">
        <v>35</v>
      </c>
      <c r="L56" s="8">
        <f t="shared" si="9"/>
        <v>1.404093993304488</v>
      </c>
      <c r="P56" s="8">
        <v>35</v>
      </c>
      <c r="Q56" s="8">
        <f t="shared" si="7"/>
        <v>447.81772004273819</v>
      </c>
      <c r="W56" s="8">
        <v>35</v>
      </c>
      <c r="X56" s="8">
        <f t="shared" si="8"/>
        <v>1789.3613100693944</v>
      </c>
    </row>
    <row r="57" spans="2:24" x14ac:dyDescent="0.25">
      <c r="B57" s="8">
        <v>36</v>
      </c>
      <c r="C57" s="8">
        <f t="shared" si="4"/>
        <v>0.16607457174184623</v>
      </c>
      <c r="F57" s="8">
        <v>36</v>
      </c>
      <c r="G57" s="8">
        <f t="shared" si="5"/>
        <v>0.67004744210054956</v>
      </c>
      <c r="K57" s="8">
        <v>36</v>
      </c>
      <c r="L57" s="8">
        <f t="shared" si="9"/>
        <v>1.4092856685888731</v>
      </c>
      <c r="P57" s="8">
        <v>36</v>
      </c>
      <c r="Q57" s="8">
        <f t="shared" si="7"/>
        <v>448.05535974026481</v>
      </c>
      <c r="W57" s="8">
        <v>36</v>
      </c>
      <c r="X57" s="8">
        <f t="shared" si="8"/>
        <v>1808.0070919304906</v>
      </c>
    </row>
    <row r="58" spans="2:24" x14ac:dyDescent="0.25">
      <c r="B58" s="8">
        <v>37</v>
      </c>
      <c r="C58" s="8">
        <f t="shared" si="4"/>
        <v>0.1665482056836545</v>
      </c>
      <c r="F58" s="8">
        <v>37</v>
      </c>
      <c r="G58" s="8">
        <f t="shared" si="5"/>
        <v>0.67182699330559104</v>
      </c>
      <c r="K58" s="8">
        <v>37</v>
      </c>
      <c r="L58" s="8">
        <f t="shared" si="9"/>
        <v>1.41400224587238</v>
      </c>
      <c r="P58" s="8">
        <v>37</v>
      </c>
      <c r="Q58" s="8">
        <f t="shared" si="7"/>
        <v>448.25494541319858</v>
      </c>
      <c r="W58" s="8">
        <v>37</v>
      </c>
      <c r="X58" s="8">
        <f t="shared" si="8"/>
        <v>1826.1959271919516</v>
      </c>
    </row>
    <row r="59" spans="2:24" x14ac:dyDescent="0.25">
      <c r="B59" s="8">
        <v>38</v>
      </c>
      <c r="C59" s="8">
        <f t="shared" si="4"/>
        <v>0.16696521516685703</v>
      </c>
      <c r="F59" s="8">
        <v>38</v>
      </c>
      <c r="G59" s="8">
        <f t="shared" si="5"/>
        <v>0.67338459176182253</v>
      </c>
      <c r="K59" s="8">
        <v>38</v>
      </c>
      <c r="L59" s="8">
        <f t="shared" si="9"/>
        <v>1.4182961587523149</v>
      </c>
      <c r="P59" s="8">
        <v>38</v>
      </c>
      <c r="Q59" s="8">
        <f t="shared" si="7"/>
        <v>448.42255764719863</v>
      </c>
      <c r="W59" s="8">
        <v>38</v>
      </c>
      <c r="X59" s="8">
        <f t="shared" si="8"/>
        <v>1843.9484113436465</v>
      </c>
    </row>
    <row r="60" spans="2:24" x14ac:dyDescent="0.25">
      <c r="B60" s="8">
        <v>39</v>
      </c>
      <c r="C60" s="8">
        <f t="shared" si="4"/>
        <v>0.16733225015781794</v>
      </c>
      <c r="F60" s="8">
        <v>39</v>
      </c>
      <c r="G60" s="8">
        <f t="shared" si="5"/>
        <v>0.67474749065297379</v>
      </c>
      <c r="K60" s="8">
        <v>39</v>
      </c>
      <c r="L60" s="8">
        <f t="shared" si="9"/>
        <v>1.4222131970748384</v>
      </c>
      <c r="P60" s="8">
        <v>39</v>
      </c>
      <c r="Q60" s="8">
        <f t="shared" si="7"/>
        <v>448.5633093015843</v>
      </c>
      <c r="W60" s="8">
        <v>39</v>
      </c>
      <c r="X60" s="8">
        <f t="shared" si="8"/>
        <v>1861.2837630446043</v>
      </c>
    </row>
    <row r="61" spans="2:24" x14ac:dyDescent="0.25">
      <c r="B61" s="8">
        <v>40</v>
      </c>
      <c r="C61" s="8">
        <f t="shared" si="4"/>
        <v>0.1676552071481888</v>
      </c>
      <c r="F61" s="8">
        <v>40</v>
      </c>
      <c r="G61" s="8">
        <f t="shared" si="5"/>
        <v>0.67593969924977537</v>
      </c>
      <c r="K61" s="8">
        <v>40</v>
      </c>
      <c r="L61" s="8">
        <f t="shared" si="9"/>
        <v>1.425793438974627</v>
      </c>
      <c r="P61" s="8">
        <v>40</v>
      </c>
      <c r="Q61" s="8">
        <f t="shared" si="7"/>
        <v>448.68149837515301</v>
      </c>
      <c r="W61" s="8">
        <v>40</v>
      </c>
      <c r="X61" s="8">
        <f t="shared" si="8"/>
        <v>1878.2199463552909</v>
      </c>
    </row>
    <row r="62" spans="2:24" x14ac:dyDescent="0.25">
      <c r="B62" s="8">
        <v>41</v>
      </c>
      <c r="C62" s="8">
        <f t="shared" si="4"/>
        <v>0.16793930813710972</v>
      </c>
      <c r="F62" s="8">
        <v>41</v>
      </c>
      <c r="G62" s="8">
        <f t="shared" si="5"/>
        <v>0.67698234435009808</v>
      </c>
      <c r="K62" s="8">
        <v>41</v>
      </c>
      <c r="L62" s="8">
        <f t="shared" si="9"/>
        <v>1.4290720425943018</v>
      </c>
      <c r="P62" s="8">
        <v>41</v>
      </c>
      <c r="Q62" s="8">
        <f t="shared" si="7"/>
        <v>448.78073706541994</v>
      </c>
      <c r="W62" s="8">
        <v>41</v>
      </c>
      <c r="X62" s="8">
        <f t="shared" si="8"/>
        <v>1894.7737794851657</v>
      </c>
    </row>
    <row r="63" spans="2:24" x14ac:dyDescent="0.25">
      <c r="B63" s="8">
        <v>42</v>
      </c>
      <c r="C63" s="8">
        <f t="shared" si="4"/>
        <v>0.16818917286020285</v>
      </c>
      <c r="F63" s="8">
        <v>42</v>
      </c>
      <c r="G63" s="8">
        <f t="shared" si="5"/>
        <v>0.6778939975326721</v>
      </c>
      <c r="K63" s="8">
        <v>42</v>
      </c>
      <c r="L63" s="8">
        <f t="shared" si="9"/>
        <v>1.4320799194211842</v>
      </c>
      <c r="P63" s="8">
        <v>42</v>
      </c>
      <c r="Q63" s="8">
        <f t="shared" si="7"/>
        <v>448.86406062707329</v>
      </c>
      <c r="W63" s="8">
        <v>42</v>
      </c>
      <c r="X63" s="8">
        <f t="shared" si="8"/>
        <v>1910.9610318250473</v>
      </c>
    </row>
    <row r="64" spans="2:24" x14ac:dyDescent="0.25">
      <c r="B64" s="8">
        <v>43</v>
      </c>
      <c r="C64" s="8">
        <f t="shared" si="4"/>
        <v>0.16840888445320135</v>
      </c>
      <c r="F64" s="8">
        <v>43</v>
      </c>
      <c r="G64" s="8">
        <f t="shared" si="5"/>
        <v>0.67869096987038691</v>
      </c>
      <c r="K64" s="8">
        <v>43</v>
      </c>
      <c r="L64" s="8">
        <f t="shared" si="9"/>
        <v>1.4348443077774315</v>
      </c>
      <c r="P64" s="8">
        <v>43</v>
      </c>
      <c r="Q64" s="8">
        <f t="shared" si="7"/>
        <v>448.93401912004856</v>
      </c>
      <c r="W64" s="8">
        <v>43</v>
      </c>
      <c r="X64" s="8">
        <f t="shared" si="8"/>
        <v>1926.7965107659384</v>
      </c>
    </row>
    <row r="65" spans="2:24" x14ac:dyDescent="0.25">
      <c r="B65" s="8">
        <v>44</v>
      </c>
      <c r="C65" s="8">
        <f t="shared" si="4"/>
        <v>0.16860204885334815</v>
      </c>
      <c r="F65" s="8">
        <v>44</v>
      </c>
      <c r="G65" s="8">
        <f t="shared" si="5"/>
        <v>0.67938757615246159</v>
      </c>
      <c r="K65" s="8">
        <v>44</v>
      </c>
      <c r="L65" s="8">
        <f t="shared" si="9"/>
        <v>1.4373892620738935</v>
      </c>
      <c r="P65" s="8">
        <v>44</v>
      </c>
      <c r="Q65" s="8">
        <f t="shared" si="7"/>
        <v>448.99275468636444</v>
      </c>
      <c r="W65" s="8">
        <v>44</v>
      </c>
      <c r="X65" s="8">
        <f t="shared" si="8"/>
        <v>1942.2941395838479</v>
      </c>
    </row>
    <row r="66" spans="2:24" x14ac:dyDescent="0.25">
      <c r="B66" s="8">
        <v>45</v>
      </c>
      <c r="C66" s="8">
        <f t="shared" si="4"/>
        <v>0.16877184831361253</v>
      </c>
      <c r="F66" s="8">
        <v>45</v>
      </c>
      <c r="G66" s="8">
        <f t="shared" si="5"/>
        <v>0.67999637088053966</v>
      </c>
      <c r="K66" s="8">
        <v>45</v>
      </c>
      <c r="L66" s="8">
        <f t="shared" si="9"/>
        <v>1.4397360709471116</v>
      </c>
      <c r="P66" s="8">
        <v>45</v>
      </c>
      <c r="Q66" s="8">
        <f t="shared" si="7"/>
        <v>449.04206660288446</v>
      </c>
      <c r="W66" s="8">
        <v>45</v>
      </c>
      <c r="X66" s="8">
        <f t="shared" si="8"/>
        <v>1957.467027485068</v>
      </c>
    </row>
    <row r="67" spans="2:24" x14ac:dyDescent="0.25">
      <c r="B67" s="8">
        <v>46</v>
      </c>
      <c r="C67" s="8">
        <f t="shared" si="4"/>
        <v>0.16892108944457718</v>
      </c>
      <c r="F67" s="8">
        <v>46</v>
      </c>
      <c r="G67" s="8">
        <f t="shared" si="5"/>
        <v>0.68052835838518078</v>
      </c>
      <c r="K67" s="8">
        <v>46</v>
      </c>
      <c r="L67" s="8">
        <f t="shared" si="9"/>
        <v>1.4419036152930838</v>
      </c>
      <c r="P67" s="8">
        <v>46</v>
      </c>
      <c r="Q67" s="8">
        <f t="shared" si="7"/>
        <v>449.08346601879822</v>
      </c>
      <c r="W67" s="8">
        <v>46</v>
      </c>
      <c r="X67" s="8">
        <f t="shared" si="8"/>
        <v>1972.327532751535</v>
      </c>
    </row>
    <row r="68" spans="2:24" x14ac:dyDescent="0.25">
      <c r="B68" s="8">
        <v>47</v>
      </c>
      <c r="C68" s="8">
        <f t="shared" si="4"/>
        <v>0.16905224621530035</v>
      </c>
      <c r="F68" s="8">
        <v>47</v>
      </c>
      <c r="G68" s="8">
        <f t="shared" si="5"/>
        <v>0.68099317939675907</v>
      </c>
      <c r="K68" s="8">
        <v>47</v>
      </c>
      <c r="L68" s="8">
        <f t="shared" si="9"/>
        <v>1.4439086754398818</v>
      </c>
      <c r="P68" s="8">
        <v>47</v>
      </c>
      <c r="Q68" s="8">
        <f t="shared" si="7"/>
        <v>449.11822199598828</v>
      </c>
      <c r="W68" s="8">
        <v>47</v>
      </c>
      <c r="X68" s="8">
        <f t="shared" si="8"/>
        <v>1986.8873197958183</v>
      </c>
    </row>
    <row r="69" spans="2:24" x14ac:dyDescent="0.25">
      <c r="B69" s="8">
        <v>48</v>
      </c>
      <c r="C69" s="8">
        <f t="shared" si="4"/>
        <v>0.16916749834429567</v>
      </c>
      <c r="F69" s="8">
        <v>48</v>
      </c>
      <c r="G69" s="8">
        <f t="shared" si="5"/>
        <v>0.68139927632884367</v>
      </c>
      <c r="K69" s="8">
        <v>48</v>
      </c>
      <c r="L69" s="8">
        <f t="shared" si="9"/>
        <v>1.4457661952157477</v>
      </c>
      <c r="P69" s="8">
        <v>48</v>
      </c>
      <c r="Q69" s="8">
        <f t="shared" si="7"/>
        <v>449.14740022182355</v>
      </c>
      <c r="W69" s="8">
        <v>48</v>
      </c>
      <c r="X69" s="8">
        <f t="shared" si="8"/>
        <v>2001.1574108254949</v>
      </c>
    </row>
    <row r="70" spans="2:24" x14ac:dyDescent="0.25">
      <c r="B70" s="8">
        <v>49</v>
      </c>
      <c r="C70" s="8">
        <f t="shared" si="4"/>
        <v>0.16926876550013198</v>
      </c>
      <c r="F70" s="8">
        <v>49</v>
      </c>
      <c r="G70" s="8">
        <f t="shared" si="5"/>
        <v>0.6817540394153323</v>
      </c>
      <c r="K70" s="8">
        <v>49</v>
      </c>
      <c r="L70" s="8">
        <f t="shared" si="9"/>
        <v>1.4474895094262885</v>
      </c>
      <c r="P70" s="8">
        <v>49</v>
      </c>
      <c r="Q70" s="8">
        <f t="shared" si="7"/>
        <v>449.1718955519251</v>
      </c>
      <c r="W70" s="8">
        <v>49</v>
      </c>
      <c r="X70" s="8">
        <f t="shared" si="8"/>
        <v>2015.1482327237611</v>
      </c>
    </row>
    <row r="71" spans="2:24" x14ac:dyDescent="0.25">
      <c r="B71" s="8">
        <v>50</v>
      </c>
      <c r="C71" s="8">
        <f t="shared" si="4"/>
        <v>0.16935773771190707</v>
      </c>
      <c r="F71" s="8">
        <v>50</v>
      </c>
      <c r="G71" s="8">
        <f t="shared" si="5"/>
        <v>0.68206393570151935</v>
      </c>
      <c r="K71" s="8">
        <v>50</v>
      </c>
      <c r="L71" s="8">
        <f t="shared" si="9"/>
        <v>1.4490905402155161</v>
      </c>
      <c r="P71" s="8">
        <v>50</v>
      </c>
      <c r="Q71" s="8">
        <f t="shared" si="7"/>
        <v>449.19245936017262</v>
      </c>
      <c r="W71" s="8">
        <v>50</v>
      </c>
      <c r="X71" s="8">
        <f t="shared" si="8"/>
        <v>2028.869659674144</v>
      </c>
    </row>
    <row r="72" spans="2:24" x14ac:dyDescent="0.25">
      <c r="B72" s="8">
        <v>51</v>
      </c>
      <c r="C72" s="8">
        <f t="shared" si="4"/>
        <v>0.16943590236587971</v>
      </c>
      <c r="F72" s="8">
        <v>51</v>
      </c>
      <c r="G72" s="8">
        <f t="shared" si="5"/>
        <v>0.68233462273586942</v>
      </c>
      <c r="K72" s="8">
        <v>51</v>
      </c>
      <c r="L72" s="8">
        <f t="shared" si="9"/>
        <v>1.45057996691763</v>
      </c>
      <c r="P72" s="8">
        <v>51</v>
      </c>
      <c r="Q72" s="8">
        <f t="shared" si="7"/>
        <v>449.20972252024097</v>
      </c>
      <c r="W72" s="8">
        <v>51</v>
      </c>
      <c r="X72" s="8">
        <f t="shared" si="8"/>
        <v>2042.3310519897987</v>
      </c>
    </row>
    <row r="73" spans="2:24" x14ac:dyDescent="0.25">
      <c r="B73" s="8">
        <v>52</v>
      </c>
      <c r="C73" s="8">
        <f t="shared" si="4"/>
        <v>0.16950456813797038</v>
      </c>
      <c r="F73" s="8">
        <v>52</v>
      </c>
      <c r="G73" s="8">
        <f t="shared" si="5"/>
        <v>0.68257104865201146</v>
      </c>
      <c r="K73" s="8">
        <v>52</v>
      </c>
      <c r="L73" s="8">
        <f t="shared" si="9"/>
        <v>1.4519673732814378</v>
      </c>
      <c r="P73" s="8">
        <v>52</v>
      </c>
      <c r="Q73" s="8">
        <f t="shared" si="7"/>
        <v>449.22421471339152</v>
      </c>
      <c r="W73" s="8">
        <v>52</v>
      </c>
      <c r="X73" s="8">
        <f t="shared" si="8"/>
        <v>2055.5412915502698</v>
      </c>
    </row>
    <row r="74" spans="2:24" x14ac:dyDescent="0.25">
      <c r="B74" s="8">
        <v>53</v>
      </c>
      <c r="C74" s="8">
        <f t="shared" si="4"/>
        <v>0.16956488618419729</v>
      </c>
      <c r="F74" s="8">
        <v>53</v>
      </c>
      <c r="G74" s="8">
        <f t="shared" si="5"/>
        <v>0.68277754017521086</v>
      </c>
      <c r="K74" s="8">
        <v>53</v>
      </c>
      <c r="L74" s="8">
        <f t="shared" si="9"/>
        <v>1.4532613753433583</v>
      </c>
      <c r="P74" s="8">
        <v>53</v>
      </c>
      <c r="Q74" s="8">
        <f t="shared" si="7"/>
        <v>449.23638064765248</v>
      </c>
      <c r="W74" s="8">
        <v>53</v>
      </c>
      <c r="X74" s="8">
        <f t="shared" si="8"/>
        <v>2068.5088141990927</v>
      </c>
    </row>
    <row r="75" spans="2:24" x14ac:dyDescent="0.25">
      <c r="B75" s="8">
        <v>54</v>
      </c>
      <c r="C75" s="8">
        <f t="shared" si="4"/>
        <v>0.16961786888348154</v>
      </c>
      <c r="F75" s="8">
        <v>54</v>
      </c>
      <c r="G75" s="8">
        <f t="shared" si="5"/>
        <v>0.68295787993821166</v>
      </c>
      <c r="K75" s="8">
        <v>54</v>
      </c>
      <c r="L75" s="8">
        <f t="shared" si="9"/>
        <v>1.4544697327181038</v>
      </c>
      <c r="P75" s="8">
        <v>54</v>
      </c>
      <c r="Q75" s="8">
        <f t="shared" si="7"/>
        <v>449.24659368096343</v>
      </c>
      <c r="W75" s="8">
        <v>54</v>
      </c>
      <c r="X75" s="8">
        <f t="shared" si="8"/>
        <v>2081.2416394130373</v>
      </c>
    </row>
    <row r="76" spans="2:24" x14ac:dyDescent="0.25">
      <c r="B76" s="8">
        <v>55</v>
      </c>
      <c r="C76" s="8">
        <f t="shared" si="4"/>
        <v>0.16966440640037797</v>
      </c>
      <c r="F76" s="8">
        <v>55</v>
      </c>
      <c r="G76" s="8">
        <f t="shared" si="5"/>
        <v>0.68311537435032266</v>
      </c>
      <c r="K76" s="8">
        <v>55</v>
      </c>
      <c r="L76" s="8">
        <f t="shared" si="9"/>
        <v>1.4555994456517551</v>
      </c>
      <c r="P76" s="8">
        <v>55</v>
      </c>
      <c r="Q76" s="8">
        <f t="shared" si="7"/>
        <v>449.25516726274327</v>
      </c>
      <c r="W76" s="8">
        <v>55</v>
      </c>
      <c r="X76" s="8">
        <f t="shared" si="8"/>
        <v>2093.7473975169892</v>
      </c>
    </row>
    <row r="77" spans="2:24" x14ac:dyDescent="0.25">
      <c r="B77" s="8">
        <v>56</v>
      </c>
      <c r="C77" s="8">
        <f t="shared" si="4"/>
        <v>0.16970528130965767</v>
      </c>
      <c r="F77" s="8">
        <v>56</v>
      </c>
      <c r="G77" s="8">
        <f t="shared" si="5"/>
        <v>0.68325291313234804</v>
      </c>
      <c r="K77" s="8">
        <v>56</v>
      </c>
      <c r="L77" s="8">
        <f t="shared" si="9"/>
        <v>1.4566568398261543</v>
      </c>
      <c r="P77" s="8">
        <v>56</v>
      </c>
      <c r="Q77" s="8">
        <f t="shared" si="7"/>
        <v>449.26236454248891</v>
      </c>
      <c r="W77" s="8">
        <v>56</v>
      </c>
      <c r="X77" s="8">
        <f t="shared" si="8"/>
        <v>2106.0333546866214</v>
      </c>
    </row>
    <row r="78" spans="2:24" x14ac:dyDescent="0.25">
      <c r="B78" s="8">
        <v>57</v>
      </c>
      <c r="C78" s="8">
        <f t="shared" si="4"/>
        <v>0.16974118150058515</v>
      </c>
      <c r="F78" s="8">
        <v>57</v>
      </c>
      <c r="G78" s="8">
        <f t="shared" si="5"/>
        <v>0.68337302150911716</v>
      </c>
      <c r="K78" s="8">
        <v>57</v>
      </c>
      <c r="L78" s="8">
        <f t="shared" si="9"/>
        <v>1.4576476406048393</v>
      </c>
      <c r="P78" s="8">
        <v>57</v>
      </c>
      <c r="Q78" s="8">
        <f t="shared" si="7"/>
        <v>449.26840643852461</v>
      </c>
      <c r="W78" s="8">
        <v>57</v>
      </c>
      <c r="X78" s="8">
        <f t="shared" si="8"/>
        <v>2118.1064359533434</v>
      </c>
    </row>
    <row r="79" spans="2:24" x14ac:dyDescent="0.25">
      <c r="B79" s="8">
        <v>58</v>
      </c>
      <c r="C79" s="8">
        <f t="shared" si="4"/>
        <v>0.16977271155636259</v>
      </c>
      <c r="F79" s="8">
        <v>58</v>
      </c>
      <c r="G79" s="8">
        <f t="shared" si="5"/>
        <v>0.6834779059410554</v>
      </c>
      <c r="K79" s="8">
        <v>58</v>
      </c>
      <c r="L79" s="8">
        <f t="shared" si="9"/>
        <v>1.4585770381595995</v>
      </c>
      <c r="P79" s="8">
        <v>58</v>
      </c>
      <c r="Q79" s="8">
        <f t="shared" si="7"/>
        <v>449.27347841330476</v>
      </c>
      <c r="W79" s="8">
        <v>58</v>
      </c>
      <c r="X79" s="8">
        <f t="shared" si="8"/>
        <v>2129.9732464019348</v>
      </c>
    </row>
    <row r="80" spans="2:24" x14ac:dyDescent="0.25">
      <c r="B80" s="8">
        <v>59</v>
      </c>
      <c r="C80" s="8">
        <f t="shared" si="4"/>
        <v>0.16980040278362382</v>
      </c>
      <c r="F80" s="8">
        <v>59</v>
      </c>
      <c r="G80" s="8">
        <f t="shared" si="5"/>
        <v>0.68356949417628166</v>
      </c>
      <c r="K80" s="8">
        <v>59</v>
      </c>
      <c r="L80" s="8">
        <f t="shared" si="9"/>
        <v>1.4594497447052275</v>
      </c>
      <c r="P80" s="8">
        <v>59</v>
      </c>
      <c r="Q80" s="8">
        <f t="shared" si="7"/>
        <v>449.27773616235163</v>
      </c>
      <c r="W80" s="8">
        <v>59</v>
      </c>
      <c r="X80" s="8">
        <f t="shared" si="8"/>
        <v>2141.6400907302468</v>
      </c>
    </row>
    <row r="81" spans="2:29" x14ac:dyDescent="0.25">
      <c r="B81" s="8">
        <v>60</v>
      </c>
      <c r="C81" s="8">
        <f t="shared" si="4"/>
        <v>0.16982472204804447</v>
      </c>
      <c r="F81" s="8">
        <v>60</v>
      </c>
      <c r="G81" s="8">
        <f t="shared" si="5"/>
        <v>0.68364947031462397</v>
      </c>
      <c r="K81" s="8">
        <v>60</v>
      </c>
      <c r="L81" s="8">
        <f t="shared" si="9"/>
        <v>1.4602700448916071</v>
      </c>
      <c r="P81" s="8">
        <v>60</v>
      </c>
      <c r="Q81" s="8">
        <f t="shared" si="7"/>
        <v>449.28131039083519</v>
      </c>
      <c r="AB81" s="8">
        <v>60</v>
      </c>
      <c r="AC81" s="8">
        <f t="shared" si="8"/>
        <v>2153.112991321962</v>
      </c>
    </row>
  </sheetData>
  <mergeCells count="11">
    <mergeCell ref="C9:C12"/>
    <mergeCell ref="D9:D12"/>
    <mergeCell ref="K16:L16"/>
    <mergeCell ref="W16:X16"/>
    <mergeCell ref="D5:D8"/>
    <mergeCell ref="C5:C8"/>
    <mergeCell ref="H2:AD2"/>
    <mergeCell ref="I3:L3"/>
    <mergeCell ref="O3:R3"/>
    <mergeCell ref="U3:X3"/>
    <mergeCell ref="AA3:AD3"/>
  </mergeCells>
  <pageMargins left="0.7" right="0.7" top="0.75" bottom="0.75" header="0.3" footer="0.3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Prism7.Document" shapeId="73729" r:id="rId4">
          <objectPr defaultSize="0" autoPict="0" r:id="rId5">
            <anchor moveWithCells="1">
              <from>
                <xdr:col>3</xdr:col>
                <xdr:colOff>38100</xdr:colOff>
                <xdr:row>16</xdr:row>
                <xdr:rowOff>0</xdr:rowOff>
              </from>
              <to>
                <xdr:col>4</xdr:col>
                <xdr:colOff>1123950</xdr:colOff>
                <xdr:row>21</xdr:row>
                <xdr:rowOff>104775</xdr:rowOff>
              </to>
            </anchor>
          </objectPr>
        </oleObject>
      </mc:Choice>
      <mc:Fallback>
        <oleObject progId="Prism7.Document" shapeId="73729" r:id="rId4"/>
      </mc:Fallback>
    </mc:AlternateContent>
    <mc:AlternateContent xmlns:mc="http://schemas.openxmlformats.org/markup-compatibility/2006">
      <mc:Choice Requires="x14">
        <oleObject progId="Prism7.Document" shapeId="73730" r:id="rId6">
          <objectPr defaultSize="0" autoPict="0" r:id="rId7">
            <anchor moveWithCells="1">
              <from>
                <xdr:col>7</xdr:col>
                <xdr:colOff>104775</xdr:colOff>
                <xdr:row>16</xdr:row>
                <xdr:rowOff>9525</xdr:rowOff>
              </from>
              <to>
                <xdr:col>9</xdr:col>
                <xdr:colOff>361950</xdr:colOff>
                <xdr:row>20</xdr:row>
                <xdr:rowOff>161925</xdr:rowOff>
              </to>
            </anchor>
          </objectPr>
        </oleObject>
      </mc:Choice>
      <mc:Fallback>
        <oleObject progId="Prism7.Document" shapeId="73730" r:id="rId6"/>
      </mc:Fallback>
    </mc:AlternateContent>
    <mc:AlternateContent xmlns:mc="http://schemas.openxmlformats.org/markup-compatibility/2006">
      <mc:Choice Requires="x14">
        <oleObject progId="Prism7.Document" shapeId="73731" r:id="rId8">
          <objectPr defaultSize="0" autoPict="0" r:id="rId9">
            <anchor moveWithCells="1">
              <from>
                <xdr:col>17</xdr:col>
                <xdr:colOff>57150</xdr:colOff>
                <xdr:row>16</xdr:row>
                <xdr:rowOff>38100</xdr:rowOff>
              </from>
              <to>
                <xdr:col>21</xdr:col>
                <xdr:colOff>142875</xdr:colOff>
                <xdr:row>21</xdr:row>
                <xdr:rowOff>190500</xdr:rowOff>
              </to>
            </anchor>
          </objectPr>
        </oleObject>
      </mc:Choice>
      <mc:Fallback>
        <oleObject progId="Prism7.Document" shapeId="73731" r:id="rId8"/>
      </mc:Fallback>
    </mc:AlternateContent>
    <mc:AlternateContent xmlns:mc="http://schemas.openxmlformats.org/markup-compatibility/2006">
      <mc:Choice Requires="x14">
        <oleObject progId="Prism7.Document" shapeId="73732" r:id="rId10">
          <objectPr defaultSize="0" autoPict="0" r:id="rId11">
            <anchor moveWithCells="1">
              <from>
                <xdr:col>12</xdr:col>
                <xdr:colOff>152400</xdr:colOff>
                <xdr:row>16</xdr:row>
                <xdr:rowOff>28575</xdr:rowOff>
              </from>
              <to>
                <xdr:col>14</xdr:col>
                <xdr:colOff>876300</xdr:colOff>
                <xdr:row>22</xdr:row>
                <xdr:rowOff>0</xdr:rowOff>
              </to>
            </anchor>
          </objectPr>
        </oleObject>
      </mc:Choice>
      <mc:Fallback>
        <oleObject progId="Prism7.Document" shapeId="73732" r:id="rId10"/>
      </mc:Fallback>
    </mc:AlternateContent>
    <mc:AlternateContent xmlns:mc="http://schemas.openxmlformats.org/markup-compatibility/2006">
      <mc:Choice Requires="x14">
        <oleObject progId="Prism7.Document" shapeId="73733" r:id="rId12">
          <objectPr defaultSize="0" autoPict="0" r:id="rId13">
            <anchor moveWithCells="1">
              <from>
                <xdr:col>24</xdr:col>
                <xdr:colOff>133350</xdr:colOff>
                <xdr:row>16</xdr:row>
                <xdr:rowOff>47625</xdr:rowOff>
              </from>
              <to>
                <xdr:col>28</xdr:col>
                <xdr:colOff>504825</xdr:colOff>
                <xdr:row>22</xdr:row>
                <xdr:rowOff>76200</xdr:rowOff>
              </to>
            </anchor>
          </objectPr>
        </oleObject>
      </mc:Choice>
      <mc:Fallback>
        <oleObject progId="Prism7.Document" shapeId="73733" r:id="rId12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2:C18"/>
  <sheetViews>
    <sheetView workbookViewId="0">
      <selection activeCell="E13" sqref="E13"/>
    </sheetView>
  </sheetViews>
  <sheetFormatPr defaultRowHeight="15" x14ac:dyDescent="0.25"/>
  <cols>
    <col min="2" max="2" width="32.42578125" customWidth="1"/>
    <col min="3" max="3" width="20.5703125" customWidth="1"/>
    <col min="5" max="5" width="15.42578125" customWidth="1"/>
    <col min="6" max="6" width="18" customWidth="1"/>
  </cols>
  <sheetData>
    <row r="2" spans="2:3" x14ac:dyDescent="0.25">
      <c r="B2" s="27"/>
      <c r="C2" s="27"/>
    </row>
    <row r="3" spans="2:3" x14ac:dyDescent="0.25">
      <c r="B3" s="27"/>
      <c r="C3" s="27"/>
    </row>
    <row r="4" spans="2:3" x14ac:dyDescent="0.25">
      <c r="B4" s="269" t="s">
        <v>169</v>
      </c>
      <c r="C4" s="269"/>
    </row>
    <row r="5" spans="2:3" x14ac:dyDescent="0.25">
      <c r="B5" s="56" t="s">
        <v>15</v>
      </c>
      <c r="C5" s="55" t="s">
        <v>170</v>
      </c>
    </row>
    <row r="6" spans="2:3" x14ac:dyDescent="0.25">
      <c r="B6" s="15" t="s">
        <v>171</v>
      </c>
      <c r="C6" s="74">
        <v>0.48099999999999998</v>
      </c>
    </row>
    <row r="7" spans="2:3" x14ac:dyDescent="0.25">
      <c r="B7" s="15" t="s">
        <v>172</v>
      </c>
      <c r="C7" s="74">
        <v>0.66500000000000004</v>
      </c>
    </row>
    <row r="8" spans="2:3" x14ac:dyDescent="0.25">
      <c r="B8" s="15" t="s">
        <v>173</v>
      </c>
      <c r="C8" s="74">
        <v>0.66</v>
      </c>
    </row>
    <row r="9" spans="2:3" x14ac:dyDescent="0.25">
      <c r="B9" s="15" t="s">
        <v>174</v>
      </c>
      <c r="C9" s="74">
        <v>0.47699999999999998</v>
      </c>
    </row>
    <row r="10" spans="2:3" x14ac:dyDescent="0.25">
      <c r="B10" s="15" t="s">
        <v>175</v>
      </c>
      <c r="C10" s="74">
        <v>0.378</v>
      </c>
    </row>
    <row r="11" spans="2:3" x14ac:dyDescent="0.25">
      <c r="B11" s="15" t="s">
        <v>176</v>
      </c>
      <c r="C11" s="74">
        <v>0.441</v>
      </c>
    </row>
    <row r="12" spans="2:3" x14ac:dyDescent="0.25">
      <c r="B12" s="15" t="s">
        <v>177</v>
      </c>
      <c r="C12" s="74">
        <v>0.50600000000000001</v>
      </c>
    </row>
    <row r="13" spans="2:3" x14ac:dyDescent="0.25">
      <c r="B13" s="15" t="s">
        <v>178</v>
      </c>
      <c r="C13" s="74">
        <v>0.66600000000000004</v>
      </c>
    </row>
    <row r="14" spans="2:3" x14ac:dyDescent="0.25">
      <c r="B14" s="15" t="s">
        <v>179</v>
      </c>
      <c r="C14" s="74">
        <v>0.89800000000000002</v>
      </c>
    </row>
    <row r="15" spans="2:3" x14ac:dyDescent="0.25">
      <c r="B15" s="15" t="s">
        <v>180</v>
      </c>
      <c r="C15" s="74">
        <v>1.1379999999999999</v>
      </c>
    </row>
    <row r="16" spans="2:3" x14ac:dyDescent="0.25">
      <c r="B16" s="15" t="s">
        <v>181</v>
      </c>
      <c r="C16" s="74">
        <v>1.2769999999999999</v>
      </c>
    </row>
    <row r="17" spans="2:3" x14ac:dyDescent="0.25">
      <c r="B17" s="15" t="s">
        <v>182</v>
      </c>
      <c r="C17" s="74">
        <v>1.712</v>
      </c>
    </row>
    <row r="18" spans="2:3" x14ac:dyDescent="0.25">
      <c r="B18" s="15" t="s">
        <v>183</v>
      </c>
      <c r="C18" s="74">
        <v>1.5029999999999999</v>
      </c>
    </row>
  </sheetData>
  <mergeCells count="1">
    <mergeCell ref="B4:C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B2:T331"/>
  <sheetViews>
    <sheetView zoomScale="80" zoomScaleNormal="80" workbookViewId="0">
      <selection activeCell="B6" sqref="B6:F6"/>
    </sheetView>
  </sheetViews>
  <sheetFormatPr defaultColWidth="9.140625" defaultRowHeight="15.75" x14ac:dyDescent="0.25"/>
  <cols>
    <col min="1" max="1" width="9.140625" style="29"/>
    <col min="2" max="2" width="16.140625" style="29" bestFit="1" customWidth="1"/>
    <col min="3" max="3" width="19.7109375" style="30" customWidth="1"/>
    <col min="4" max="4" width="13.140625" style="29" bestFit="1" customWidth="1"/>
    <col min="5" max="5" width="11.28515625" style="29" bestFit="1" customWidth="1"/>
    <col min="6" max="6" width="13.5703125" style="29" bestFit="1" customWidth="1"/>
    <col min="7" max="16384" width="9.140625" style="29"/>
  </cols>
  <sheetData>
    <row r="2" spans="2:20" ht="31.5" customHeight="1" x14ac:dyDescent="0.25">
      <c r="B2" s="310" t="s">
        <v>30</v>
      </c>
      <c r="C2" s="310"/>
      <c r="D2" s="310"/>
      <c r="E2" s="310"/>
    </row>
    <row r="3" spans="2:20" ht="52.5" customHeight="1" x14ac:dyDescent="0.25">
      <c r="B3" s="31" t="s">
        <v>34</v>
      </c>
      <c r="C3" s="34" t="s">
        <v>35</v>
      </c>
      <c r="D3" s="270" t="s">
        <v>33</v>
      </c>
      <c r="E3" s="270"/>
    </row>
    <row r="6" spans="2:20" ht="31.5" x14ac:dyDescent="0.25">
      <c r="B6" s="312" t="s">
        <v>15</v>
      </c>
      <c r="C6" s="313"/>
      <c r="D6" s="314" t="s">
        <v>92</v>
      </c>
      <c r="E6" s="312" t="s">
        <v>93</v>
      </c>
      <c r="F6" s="315" t="s">
        <v>66</v>
      </c>
    </row>
    <row r="7" spans="2:20" x14ac:dyDescent="0.25">
      <c r="B7" s="233">
        <v>0.01</v>
      </c>
      <c r="C7" s="33"/>
      <c r="D7" s="104">
        <f t="shared" ref="D7:D42" si="0">10*(B7+0.315)/(9+6.92*B7)</f>
        <v>0.3583557535394522</v>
      </c>
      <c r="E7" s="31">
        <v>4.8377925320663246</v>
      </c>
      <c r="F7" s="108">
        <f t="shared" ref="F7:F42" si="1">D7/E7</f>
        <v>7.4074229344099379E-2</v>
      </c>
    </row>
    <row r="8" spans="2:20" ht="31.5" x14ac:dyDescent="0.25">
      <c r="B8" s="167">
        <v>0.5</v>
      </c>
      <c r="C8" s="168" t="s">
        <v>36</v>
      </c>
      <c r="D8" s="104">
        <f t="shared" si="0"/>
        <v>0.65409309791332249</v>
      </c>
      <c r="E8" s="107">
        <v>7.0759454883143711</v>
      </c>
      <c r="F8" s="108">
        <f t="shared" si="1"/>
        <v>9.2438967908038572E-2</v>
      </c>
      <c r="R8" s="259" t="s">
        <v>204</v>
      </c>
      <c r="S8" s="260"/>
      <c r="T8" s="261"/>
    </row>
    <row r="9" spans="2:20" ht="30" x14ac:dyDescent="0.25">
      <c r="B9" s="167">
        <v>1</v>
      </c>
      <c r="C9" s="26"/>
      <c r="D9" s="104">
        <f t="shared" si="0"/>
        <v>0.82600502512562801</v>
      </c>
      <c r="E9" s="107">
        <v>9.0775771843511723</v>
      </c>
      <c r="F9" s="108">
        <f t="shared" si="1"/>
        <v>9.0993996344044023E-2</v>
      </c>
      <c r="R9" s="78" t="s">
        <v>15</v>
      </c>
      <c r="S9" s="77" t="s">
        <v>205</v>
      </c>
      <c r="T9" s="78" t="s">
        <v>203</v>
      </c>
    </row>
    <row r="10" spans="2:20" x14ac:dyDescent="0.25">
      <c r="B10" s="75">
        <v>1.5</v>
      </c>
      <c r="C10" s="34"/>
      <c r="D10" s="60">
        <f t="shared" si="0"/>
        <v>0.93653250773993801</v>
      </c>
      <c r="E10" s="48">
        <v>10.85867141433374</v>
      </c>
      <c r="F10" s="40">
        <f t="shared" si="1"/>
        <v>8.6247430464070379E-2</v>
      </c>
      <c r="R10" s="78"/>
      <c r="S10" s="77"/>
      <c r="T10" s="78"/>
    </row>
    <row r="11" spans="2:20" x14ac:dyDescent="0.25">
      <c r="B11" s="75">
        <v>2</v>
      </c>
      <c r="C11" s="34"/>
      <c r="D11" s="60">
        <f t="shared" si="0"/>
        <v>1.0135726795096323</v>
      </c>
      <c r="E11" s="48">
        <v>12.469385771384614</v>
      </c>
      <c r="F11" s="40">
        <f t="shared" si="1"/>
        <v>8.1284892302845482E-2</v>
      </c>
      <c r="R11" s="78" t="s">
        <v>201</v>
      </c>
      <c r="S11" s="78">
        <f>380/1000</f>
        <v>0.38</v>
      </c>
      <c r="T11" s="140"/>
    </row>
    <row r="12" spans="2:20" x14ac:dyDescent="0.25">
      <c r="B12" s="75">
        <v>3</v>
      </c>
      <c r="C12" s="34"/>
      <c r="D12" s="60">
        <f t="shared" si="0"/>
        <v>1.1139112903225807</v>
      </c>
      <c r="E12" s="48">
        <v>15.33180604994063</v>
      </c>
      <c r="F12" s="40">
        <f t="shared" si="1"/>
        <v>7.2653625195506194E-2</v>
      </c>
      <c r="R12" s="78">
        <v>1</v>
      </c>
      <c r="S12" s="78">
        <f>950/1000</f>
        <v>0.95</v>
      </c>
      <c r="T12" s="140">
        <v>0.82600502512562801</v>
      </c>
    </row>
    <row r="13" spans="2:20" x14ac:dyDescent="0.25">
      <c r="B13" s="75">
        <v>4</v>
      </c>
      <c r="C13" s="34"/>
      <c r="D13" s="60">
        <f t="shared" si="0"/>
        <v>1.1763904034896402</v>
      </c>
      <c r="E13" s="48">
        <v>17.908606982755128</v>
      </c>
      <c r="F13" s="40">
        <f t="shared" si="1"/>
        <v>6.5688548786761072E-2</v>
      </c>
      <c r="R13" s="78">
        <v>5</v>
      </c>
      <c r="S13" s="78">
        <f>1310/1000</f>
        <v>1.31</v>
      </c>
      <c r="T13" s="140">
        <v>1.2190366972477065</v>
      </c>
    </row>
    <row r="14" spans="2:20" x14ac:dyDescent="0.25">
      <c r="B14" s="75">
        <v>4.5</v>
      </c>
      <c r="C14" s="34"/>
      <c r="D14" s="60">
        <f t="shared" si="0"/>
        <v>1.1995515695067265</v>
      </c>
      <c r="E14" s="48">
        <v>19.148095016301134</v>
      </c>
      <c r="F14" s="40">
        <f t="shared" si="1"/>
        <v>6.2646000476053912E-2</v>
      </c>
      <c r="R14" s="78"/>
      <c r="S14" s="78"/>
      <c r="T14" s="140"/>
    </row>
    <row r="15" spans="2:20" x14ac:dyDescent="0.25">
      <c r="B15" s="167">
        <v>5</v>
      </c>
      <c r="C15" s="26"/>
      <c r="D15" s="104">
        <f t="shared" si="0"/>
        <v>1.2190366972477065</v>
      </c>
      <c r="E15" s="107">
        <v>20.38127759653889</v>
      </c>
      <c r="F15" s="108">
        <f t="shared" si="1"/>
        <v>5.9811593825439137E-2</v>
      </c>
      <c r="R15" s="78">
        <v>10</v>
      </c>
      <c r="S15" s="78">
        <f>1400/1000</f>
        <v>1.4</v>
      </c>
      <c r="T15" s="140">
        <v>1.3190537084398974</v>
      </c>
    </row>
    <row r="16" spans="2:20" s="30" customFormat="1" x14ac:dyDescent="0.25">
      <c r="B16" s="75">
        <v>6</v>
      </c>
      <c r="C16" s="34"/>
      <c r="D16" s="60">
        <f t="shared" si="0"/>
        <v>1.2500000000000002</v>
      </c>
      <c r="E16" s="60">
        <v>22.899044891228044</v>
      </c>
      <c r="F16" s="40">
        <f t="shared" si="1"/>
        <v>5.4587429560384801E-2</v>
      </c>
      <c r="R16" s="78">
        <v>15</v>
      </c>
      <c r="S16" s="78">
        <f>1420/1000</f>
        <v>1.42</v>
      </c>
      <c r="T16" s="140">
        <v>1.3577127659574468</v>
      </c>
    </row>
    <row r="17" spans="2:20" x14ac:dyDescent="0.25">
      <c r="B17" s="75">
        <v>7</v>
      </c>
      <c r="C17" s="34"/>
      <c r="D17" s="60">
        <f t="shared" si="0"/>
        <v>1.2735027855153205</v>
      </c>
      <c r="E17" s="48">
        <v>25.592430754887268</v>
      </c>
      <c r="F17" s="40">
        <f t="shared" si="1"/>
        <v>4.9760915550084106E-2</v>
      </c>
      <c r="R17" s="78" t="s">
        <v>202</v>
      </c>
      <c r="S17" s="78">
        <f>1450/1000</f>
        <v>1.45</v>
      </c>
      <c r="T17" s="140">
        <v>1.3909340659340659</v>
      </c>
    </row>
    <row r="18" spans="2:20" s="38" customFormat="1" x14ac:dyDescent="0.25">
      <c r="B18" s="75">
        <v>8</v>
      </c>
      <c r="C18" s="34"/>
      <c r="D18" s="60">
        <f t="shared" si="0"/>
        <v>1.2919515226848974</v>
      </c>
      <c r="E18" s="48">
        <v>28.575820928596343</v>
      </c>
      <c r="F18" s="40">
        <f t="shared" si="1"/>
        <v>4.5211352839631569E-2</v>
      </c>
    </row>
    <row r="19" spans="2:20" x14ac:dyDescent="0.25">
      <c r="B19" s="75">
        <v>9</v>
      </c>
      <c r="C19" s="34"/>
      <c r="D19" s="60">
        <f t="shared" si="0"/>
        <v>1.3068181818181817</v>
      </c>
      <c r="E19" s="48">
        <v>31.940959644573518</v>
      </c>
      <c r="F19" s="40">
        <f t="shared" si="1"/>
        <v>4.091355414364322E-2</v>
      </c>
    </row>
    <row r="20" spans="2:20" x14ac:dyDescent="0.25">
      <c r="B20" s="167">
        <v>10</v>
      </c>
      <c r="C20" s="26"/>
      <c r="D20" s="104">
        <f t="shared" si="0"/>
        <v>1.3190537084398974</v>
      </c>
      <c r="E20" s="107">
        <v>35.742930987515741</v>
      </c>
      <c r="F20" s="108">
        <f t="shared" si="1"/>
        <v>3.6903904408416177E-2</v>
      </c>
    </row>
    <row r="21" spans="2:20" x14ac:dyDescent="0.25">
      <c r="B21" s="75">
        <v>10.5</v>
      </c>
      <c r="C21" s="34"/>
      <c r="D21" s="60">
        <f t="shared" si="0"/>
        <v>1.3243938280675973</v>
      </c>
      <c r="E21" s="48">
        <v>37.81048562869546</v>
      </c>
      <c r="F21" s="40">
        <f t="shared" si="1"/>
        <v>3.5027157309571205E-2</v>
      </c>
    </row>
    <row r="22" spans="2:20" x14ac:dyDescent="0.25">
      <c r="B22" s="75">
        <v>11</v>
      </c>
      <c r="C22" s="34"/>
      <c r="D22" s="60">
        <f t="shared" si="0"/>
        <v>1.329299812030075</v>
      </c>
      <c r="E22" s="48">
        <v>39.982278220873482</v>
      </c>
      <c r="F22" s="40">
        <f t="shared" si="1"/>
        <v>3.3247225300335428E-2</v>
      </c>
    </row>
    <row r="23" spans="2:20" x14ac:dyDescent="0.25">
      <c r="B23" s="75">
        <v>12</v>
      </c>
      <c r="C23" s="34"/>
      <c r="D23" s="60">
        <f t="shared" si="0"/>
        <v>1.3380052151238593</v>
      </c>
      <c r="E23" s="48">
        <v>44.590410457317788</v>
      </c>
      <c r="F23" s="40">
        <f t="shared" si="1"/>
        <v>3.000656870841335E-2</v>
      </c>
    </row>
    <row r="24" spans="2:20" x14ac:dyDescent="0.25">
      <c r="B24" s="75">
        <v>13</v>
      </c>
      <c r="C24" s="34"/>
      <c r="D24" s="60">
        <f t="shared" si="0"/>
        <v>1.3454931285367826</v>
      </c>
      <c r="E24" s="48">
        <v>49.42771554129417</v>
      </c>
      <c r="F24" s="40">
        <f t="shared" si="1"/>
        <v>2.7221430604307338E-2</v>
      </c>
    </row>
    <row r="25" spans="2:20" x14ac:dyDescent="0.25">
      <c r="B25" s="75">
        <v>14</v>
      </c>
      <c r="C25" s="34"/>
      <c r="D25" s="60">
        <f t="shared" si="0"/>
        <v>1.3520022667170382</v>
      </c>
      <c r="E25" s="48">
        <v>54.301228570926213</v>
      </c>
      <c r="F25" s="40">
        <f t="shared" si="1"/>
        <v>2.4898189273030974E-2</v>
      </c>
    </row>
    <row r="26" spans="2:20" x14ac:dyDescent="0.25">
      <c r="B26" s="75">
        <v>15</v>
      </c>
      <c r="C26" s="34"/>
      <c r="D26" s="60">
        <f t="shared" si="0"/>
        <v>1.3577127659574468</v>
      </c>
      <c r="E26" s="48">
        <v>59.000130386011627</v>
      </c>
      <c r="F26" s="40">
        <f t="shared" si="1"/>
        <v>2.3012029923909248E-2</v>
      </c>
    </row>
    <row r="27" spans="2:20" s="30" customFormat="1" x14ac:dyDescent="0.25">
      <c r="B27" s="75">
        <v>16</v>
      </c>
      <c r="C27" s="34"/>
      <c r="D27" s="60">
        <f t="shared" si="0"/>
        <v>1.3627631139325092</v>
      </c>
      <c r="E27" s="60">
        <v>63.337294009498862</v>
      </c>
      <c r="F27" s="40">
        <f t="shared" si="1"/>
        <v>2.1515966781405785E-2</v>
      </c>
    </row>
    <row r="28" spans="2:20" s="30" customFormat="1" x14ac:dyDescent="0.25">
      <c r="B28" s="75">
        <v>17</v>
      </c>
      <c r="C28" s="34"/>
      <c r="D28" s="60">
        <f t="shared" si="0"/>
        <v>1.3672615287428933</v>
      </c>
      <c r="E28" s="60">
        <v>67.181288947144452</v>
      </c>
      <c r="F28" s="40">
        <f t="shared" si="1"/>
        <v>2.0351820427538983E-2</v>
      </c>
    </row>
    <row r="29" spans="2:20" s="30" customFormat="1" x14ac:dyDescent="0.25">
      <c r="B29" s="75">
        <v>18</v>
      </c>
      <c r="C29" s="34"/>
      <c r="D29" s="60">
        <f t="shared" si="0"/>
        <v>1.3712938005390836</v>
      </c>
      <c r="E29" s="60">
        <v>70.468950673819393</v>
      </c>
      <c r="F29" s="40">
        <f t="shared" si="1"/>
        <v>1.9459546189163651E-2</v>
      </c>
    </row>
    <row r="30" spans="2:20" s="30" customFormat="1" x14ac:dyDescent="0.25">
      <c r="B30" s="75">
        <v>19</v>
      </c>
      <c r="C30" s="34"/>
      <c r="D30" s="60">
        <f t="shared" si="0"/>
        <v>1.3749288154897497</v>
      </c>
      <c r="E30" s="60">
        <v>73.198958370421622</v>
      </c>
      <c r="F30" s="40">
        <f t="shared" si="1"/>
        <v>1.8783447826292207E-2</v>
      </c>
    </row>
    <row r="31" spans="2:20" s="30" customFormat="1" x14ac:dyDescent="0.25">
      <c r="B31" s="75">
        <v>20</v>
      </c>
      <c r="C31" s="34"/>
      <c r="D31" s="60">
        <f t="shared" si="0"/>
        <v>1.3782225237449117</v>
      </c>
      <c r="E31" s="60">
        <v>75.414214512323156</v>
      </c>
      <c r="F31" s="40">
        <f t="shared" si="1"/>
        <v>1.8275368014602892E-2</v>
      </c>
    </row>
    <row r="32" spans="2:20" s="30" customFormat="1" x14ac:dyDescent="0.25">
      <c r="B32" s="75">
        <v>21</v>
      </c>
      <c r="C32" s="34"/>
      <c r="D32" s="60">
        <f t="shared" si="0"/>
        <v>1.381220839813375</v>
      </c>
      <c r="E32" s="60">
        <v>77.181939133707928</v>
      </c>
      <c r="F32" s="40">
        <f t="shared" si="1"/>
        <v>1.7895648325453251E-2</v>
      </c>
    </row>
    <row r="33" spans="2:6" s="30" customFormat="1" x14ac:dyDescent="0.25">
      <c r="B33" s="75">
        <v>22</v>
      </c>
      <c r="C33" s="34"/>
      <c r="D33" s="60">
        <f t="shared" si="0"/>
        <v>1.3839617960803769</v>
      </c>
      <c r="E33" s="60">
        <v>78.577305924346987</v>
      </c>
      <c r="F33" s="40">
        <f t="shared" si="1"/>
        <v>1.761274174267102E-2</v>
      </c>
    </row>
    <row r="34" spans="2:6" s="30" customFormat="1" x14ac:dyDescent="0.25">
      <c r="B34" s="75">
        <v>23</v>
      </c>
      <c r="C34" s="34"/>
      <c r="D34" s="60">
        <f t="shared" si="0"/>
        <v>1.3864771646051379</v>
      </c>
      <c r="E34" s="60">
        <v>79.672650885769443</v>
      </c>
      <c r="F34" s="40">
        <f t="shared" si="1"/>
        <v>1.7402171876934252E-2</v>
      </c>
    </row>
    <row r="35" spans="2:6" s="30" customFormat="1" x14ac:dyDescent="0.25">
      <c r="B35" s="75">
        <v>24</v>
      </c>
      <c r="C35" s="34"/>
      <c r="D35" s="60">
        <f t="shared" si="0"/>
        <v>1.3887936943111723</v>
      </c>
      <c r="E35" s="60">
        <v>80.531777651930497</v>
      </c>
      <c r="F35" s="40">
        <f t="shared" si="1"/>
        <v>1.7245287944763012E-2</v>
      </c>
    </row>
    <row r="36" spans="2:6" s="30" customFormat="1" x14ac:dyDescent="0.25">
      <c r="B36" s="167">
        <v>25</v>
      </c>
      <c r="C36" s="26"/>
      <c r="D36" s="104">
        <f t="shared" si="0"/>
        <v>1.3909340659340659</v>
      </c>
      <c r="E36" s="104">
        <v>81.207903119037354</v>
      </c>
      <c r="F36" s="108">
        <f t="shared" si="1"/>
        <v>1.7128062817915474E-2</v>
      </c>
    </row>
    <row r="37" spans="2:6" s="30" customFormat="1" x14ac:dyDescent="0.25">
      <c r="B37" s="75">
        <v>26</v>
      </c>
      <c r="C37" s="34"/>
      <c r="D37" s="60">
        <f t="shared" si="0"/>
        <v>1.3929176370950669</v>
      </c>
      <c r="E37" s="60">
        <v>81.795109593252207</v>
      </c>
      <c r="F37" s="40">
        <f t="shared" si="1"/>
        <v>1.7029351070274468E-2</v>
      </c>
    </row>
    <row r="38" spans="2:6" s="30" customFormat="1" x14ac:dyDescent="0.25">
      <c r="B38" s="75">
        <v>27</v>
      </c>
      <c r="C38" s="34"/>
      <c r="D38" s="60">
        <f t="shared" si="0"/>
        <v>1.3947610294117649</v>
      </c>
      <c r="E38" s="60">
        <v>82.419966322202043</v>
      </c>
      <c r="F38" s="40">
        <f t="shared" si="1"/>
        <v>1.6922611008590625E-2</v>
      </c>
    </row>
    <row r="39" spans="2:6" s="30" customFormat="1" x14ac:dyDescent="0.25">
      <c r="B39" s="75">
        <v>28</v>
      </c>
      <c r="C39" s="34"/>
      <c r="D39" s="60">
        <f t="shared" si="0"/>
        <v>1.3964785953837051</v>
      </c>
      <c r="E39" s="60">
        <v>83.014032621830779</v>
      </c>
      <c r="F39" s="40">
        <f t="shared" si="1"/>
        <v>1.6822199226790284E-2</v>
      </c>
    </row>
    <row r="40" spans="2:6" s="30" customFormat="1" x14ac:dyDescent="0.25">
      <c r="B40" s="75">
        <v>29</v>
      </c>
      <c r="C40" s="34"/>
      <c r="D40" s="60">
        <f t="shared" si="0"/>
        <v>1.3980827928271653</v>
      </c>
      <c r="E40" s="60">
        <v>83.57754952483802</v>
      </c>
      <c r="F40" s="40">
        <f t="shared" si="1"/>
        <v>1.6727970618613024E-2</v>
      </c>
    </row>
    <row r="41" spans="2:6" s="30" customFormat="1" x14ac:dyDescent="0.25">
      <c r="B41" s="75">
        <v>30</v>
      </c>
      <c r="C41" s="34"/>
      <c r="D41" s="60">
        <f t="shared" si="0"/>
        <v>1.3995844875346262</v>
      </c>
      <c r="E41" s="60">
        <v>84.110758063923285</v>
      </c>
      <c r="F41" s="40">
        <f t="shared" si="1"/>
        <v>1.6639779735084029E-2</v>
      </c>
    </row>
    <row r="42" spans="2:6" s="30" customFormat="1" x14ac:dyDescent="0.25">
      <c r="B42" s="75">
        <v>31</v>
      </c>
      <c r="C42" s="34"/>
      <c r="D42" s="60">
        <f t="shared" si="0"/>
        <v>1.4009931997136722</v>
      </c>
      <c r="E42" s="60">
        <v>84.613899271786181</v>
      </c>
      <c r="F42" s="40">
        <f t="shared" si="1"/>
        <v>1.6557483011314454E-2</v>
      </c>
    </row>
    <row r="43" spans="2:6" s="30" customFormat="1" x14ac:dyDescent="0.25">
      <c r="B43" s="75">
        <v>32</v>
      </c>
      <c r="C43" s="34"/>
      <c r="D43" s="60">
        <f t="shared" ref="D43:D71" si="2">10*(B43+0.315)/(9+6.92*B43)</f>
        <v>1.4023173060232597</v>
      </c>
      <c r="E43" s="60">
        <v>85.0872141811262</v>
      </c>
      <c r="F43" s="40">
        <f t="shared" ref="F43:F71" si="3">D43/E43</f>
        <v>1.6480940403550286E-2</v>
      </c>
    </row>
    <row r="44" spans="2:6" s="30" customFormat="1" x14ac:dyDescent="0.25">
      <c r="B44" s="75">
        <v>33</v>
      </c>
      <c r="C44" s="34"/>
      <c r="D44" s="60">
        <f t="shared" si="2"/>
        <v>1.4035642062689586</v>
      </c>
      <c r="E44" s="60">
        <v>85.530943824642932</v>
      </c>
      <c r="F44" s="40">
        <f t="shared" si="3"/>
        <v>1.641001658004115E-2</v>
      </c>
    </row>
    <row r="45" spans="2:6" s="30" customFormat="1" x14ac:dyDescent="0.25">
      <c r="B45" s="75">
        <v>34</v>
      </c>
      <c r="C45" s="34"/>
      <c r="D45" s="60">
        <f t="shared" si="2"/>
        <v>1.4047404617651873</v>
      </c>
      <c r="E45" s="60">
        <v>85.945329235035928</v>
      </c>
      <c r="F45" s="40">
        <f t="shared" si="3"/>
        <v>1.6344581773881199E-2</v>
      </c>
    </row>
    <row r="46" spans="2:6" s="30" customFormat="1" x14ac:dyDescent="0.25">
      <c r="B46" s="75">
        <v>35</v>
      </c>
      <c r="C46" s="34"/>
      <c r="D46" s="60">
        <f t="shared" si="2"/>
        <v>1.4058519108280254</v>
      </c>
      <c r="E46" s="60">
        <v>86.330611445004706</v>
      </c>
      <c r="F46" s="40">
        <f t="shared" si="3"/>
        <v>1.6284512379755318E-2</v>
      </c>
    </row>
    <row r="47" spans="2:6" s="30" customFormat="1" x14ac:dyDescent="0.25">
      <c r="B47" s="75">
        <v>36</v>
      </c>
      <c r="C47" s="34"/>
      <c r="D47" s="60">
        <f t="shared" si="2"/>
        <v>1.4069037656903765</v>
      </c>
      <c r="E47" s="60">
        <v>86.687031487248888</v>
      </c>
      <c r="F47" s="40">
        <f t="shared" si="3"/>
        <v>1.6229691356974465E-2</v>
      </c>
    </row>
    <row r="48" spans="2:6" s="30" customFormat="1" x14ac:dyDescent="0.25">
      <c r="B48" s="75">
        <v>37</v>
      </c>
      <c r="C48" s="34"/>
      <c r="D48" s="60">
        <f t="shared" si="2"/>
        <v>1.4079006942348322</v>
      </c>
      <c r="E48" s="60">
        <v>87.014830394467978</v>
      </c>
      <c r="F48" s="40">
        <f t="shared" si="3"/>
        <v>1.6180008486511289E-2</v>
      </c>
    </row>
    <row r="49" spans="2:6" s="30" customFormat="1" x14ac:dyDescent="0.25">
      <c r="B49" s="75">
        <v>38</v>
      </c>
      <c r="C49" s="34"/>
      <c r="D49" s="60">
        <f t="shared" si="2"/>
        <v>1.4088468892484189</v>
      </c>
      <c r="E49" s="60">
        <v>87.314249199361527</v>
      </c>
      <c r="F49" s="40">
        <f t="shared" si="3"/>
        <v>1.6135360518666878E-2</v>
      </c>
    </row>
    <row r="50" spans="2:6" s="30" customFormat="1" x14ac:dyDescent="0.25">
      <c r="B50" s="75">
        <v>39</v>
      </c>
      <c r="C50" s="34"/>
      <c r="D50" s="60">
        <f t="shared" si="2"/>
        <v>1.4097461273666092</v>
      </c>
      <c r="E50" s="60">
        <v>87.58552893462911</v>
      </c>
      <c r="F50" s="40">
        <f t="shared" si="3"/>
        <v>1.609565123958772E-2</v>
      </c>
    </row>
    <row r="51" spans="2:6" s="30" customFormat="1" x14ac:dyDescent="0.25">
      <c r="B51" s="75">
        <v>40</v>
      </c>
      <c r="C51" s="34"/>
      <c r="D51" s="60">
        <f t="shared" si="2"/>
        <v>1.4106018194541636</v>
      </c>
      <c r="E51" s="60">
        <v>87.828910632970278</v>
      </c>
      <c r="F51" s="40">
        <f t="shared" si="3"/>
        <v>1.6060791478434151E-2</v>
      </c>
    </row>
    <row r="52" spans="2:6" s="30" customFormat="1" x14ac:dyDescent="0.25">
      <c r="B52" s="75">
        <v>41</v>
      </c>
      <c r="C52" s="34"/>
      <c r="D52" s="60">
        <f t="shared" si="2"/>
        <v>1.4114170538398469</v>
      </c>
      <c r="E52" s="60">
        <v>88.044635327084606</v>
      </c>
      <c r="F52" s="40">
        <f t="shared" si="3"/>
        <v>1.6030699072083744E-2</v>
      </c>
    </row>
    <row r="53" spans="2:6" s="30" customFormat="1" x14ac:dyDescent="0.25">
      <c r="B53" s="75">
        <v>42</v>
      </c>
      <c r="C53" s="34"/>
      <c r="D53" s="60">
        <f t="shared" si="2"/>
        <v>1.4121946335602724</v>
      </c>
      <c r="E53" s="60">
        <v>88.232944049671602</v>
      </c>
      <c r="F53" s="40">
        <f t="shared" si="3"/>
        <v>1.6005298800471437E-2</v>
      </c>
    </row>
    <row r="54" spans="2:6" s="30" customFormat="1" x14ac:dyDescent="0.25">
      <c r="B54" s="75">
        <v>43</v>
      </c>
      <c r="C54" s="34"/>
      <c r="D54" s="60">
        <f t="shared" si="2"/>
        <v>1.4129371085594988</v>
      </c>
      <c r="E54" s="60">
        <v>88.394077833430842</v>
      </c>
      <c r="F54" s="40">
        <f t="shared" si="3"/>
        <v>1.5984522302750048E-2</v>
      </c>
    </row>
    <row r="55" spans="2:6" s="30" customFormat="1" x14ac:dyDescent="0.25">
      <c r="B55" s="75">
        <v>44</v>
      </c>
      <c r="C55" s="34"/>
      <c r="D55" s="60">
        <f t="shared" si="2"/>
        <v>1.4136468036238354</v>
      </c>
      <c r="E55" s="60">
        <v>88.528277711061889</v>
      </c>
      <c r="F55" s="40">
        <f t="shared" si="3"/>
        <v>1.5968307982198504E-2</v>
      </c>
    </row>
    <row r="56" spans="2:6" s="30" customFormat="1" x14ac:dyDescent="0.25">
      <c r="B56" s="75">
        <v>45</v>
      </c>
      <c r="C56" s="34"/>
      <c r="D56" s="60">
        <f t="shared" si="2"/>
        <v>1.4143258426966292</v>
      </c>
      <c r="E56" s="60">
        <v>88.635784715264279</v>
      </c>
      <c r="F56" s="40">
        <f t="shared" si="3"/>
        <v>1.5956600906056662E-2</v>
      </c>
    </row>
    <row r="57" spans="2:6" s="30" customFormat="1" x14ac:dyDescent="0.25">
      <c r="B57" s="75">
        <v>46</v>
      </c>
      <c r="C57" s="34"/>
      <c r="D57" s="60">
        <f t="shared" si="2"/>
        <v>1.414976170108762</v>
      </c>
      <c r="E57" s="60">
        <v>88.716839878737574</v>
      </c>
      <c r="F57" s="40">
        <f t="shared" si="3"/>
        <v>1.5949352705110092E-2</v>
      </c>
    </row>
    <row r="58" spans="2:6" s="30" customFormat="1" x14ac:dyDescent="0.25">
      <c r="B58" s="75">
        <v>47</v>
      </c>
      <c r="C58" s="34"/>
      <c r="D58" s="60">
        <f t="shared" si="2"/>
        <v>1.4155995691718524</v>
      </c>
      <c r="E58" s="60">
        <v>88.771684234181336</v>
      </c>
      <c r="F58" s="40">
        <f t="shared" si="3"/>
        <v>1.594652147679743E-2</v>
      </c>
    </row>
    <row r="59" spans="2:6" s="30" customFormat="1" x14ac:dyDescent="0.25">
      <c r="B59" s="75">
        <v>48</v>
      </c>
      <c r="C59" s="34"/>
      <c r="D59" s="60">
        <f t="shared" si="2"/>
        <v>1.4161976785086177</v>
      </c>
      <c r="E59" s="60">
        <v>88.80055881429513</v>
      </c>
      <c r="F59" s="40">
        <f t="shared" si="3"/>
        <v>1.5948071694799268E-2</v>
      </c>
    </row>
    <row r="60" spans="2:6" s="30" customFormat="1" x14ac:dyDescent="0.25">
      <c r="B60" s="75">
        <v>49</v>
      </c>
      <c r="C60" s="34"/>
      <c r="D60" s="60">
        <f t="shared" si="2"/>
        <v>1.4167720064353022</v>
      </c>
      <c r="E60" s="60">
        <v>88.803704651778489</v>
      </c>
      <c r="F60" s="40">
        <f t="shared" si="3"/>
        <v>1.5953974127440058E-2</v>
      </c>
    </row>
    <row r="61" spans="2:6" s="30" customFormat="1" x14ac:dyDescent="0.25">
      <c r="B61" s="75">
        <v>50</v>
      </c>
      <c r="C61" s="34"/>
      <c r="D61" s="60">
        <f t="shared" si="2"/>
        <v>1.4173239436619718</v>
      </c>
      <c r="E61" s="60">
        <v>88.781362779330948</v>
      </c>
      <c r="F61" s="40">
        <f t="shared" si="3"/>
        <v>1.5964205766752847E-2</v>
      </c>
    </row>
    <row r="62" spans="2:6" s="30" customFormat="1" x14ac:dyDescent="0.25">
      <c r="B62" s="75">
        <v>51</v>
      </c>
      <c r="C62" s="34"/>
      <c r="D62" s="60">
        <f t="shared" si="2"/>
        <v>1.417854774535809</v>
      </c>
      <c r="E62" s="60">
        <v>88.733774229652099</v>
      </c>
      <c r="F62" s="40">
        <f t="shared" si="3"/>
        <v>1.597874976969035E-2</v>
      </c>
    </row>
    <row r="63" spans="2:6" s="30" customFormat="1" x14ac:dyDescent="0.25">
      <c r="B63" s="75">
        <v>52</v>
      </c>
      <c r="C63" s="34"/>
      <c r="D63" s="60">
        <f t="shared" si="2"/>
        <v>1.4183656870187615</v>
      </c>
      <c r="E63" s="60">
        <v>88.661180035441461</v>
      </c>
      <c r="F63" s="40">
        <f t="shared" si="3"/>
        <v>1.5997595412691138E-2</v>
      </c>
    </row>
    <row r="64" spans="2:6" s="30" customFormat="1" x14ac:dyDescent="0.25">
      <c r="B64" s="75">
        <v>53</v>
      </c>
      <c r="C64" s="34"/>
      <c r="D64" s="60">
        <f t="shared" si="2"/>
        <v>1.4188577815626995</v>
      </c>
      <c r="E64" s="60">
        <v>88.563821229398641</v>
      </c>
      <c r="F64" s="40">
        <f t="shared" si="3"/>
        <v>1.6020738060607886E-2</v>
      </c>
    </row>
    <row r="65" spans="2:6" s="30" customFormat="1" x14ac:dyDescent="0.25">
      <c r="B65" s="75">
        <v>54</v>
      </c>
      <c r="C65" s="34"/>
      <c r="D65" s="60">
        <f t="shared" si="2"/>
        <v>1.4193320790216368</v>
      </c>
      <c r="E65" s="60">
        <v>88.441938844223145</v>
      </c>
      <c r="F65" s="40">
        <f t="shared" si="3"/>
        <v>1.6048179150861579E-2</v>
      </c>
    </row>
    <row r="66" spans="2:6" s="30" customFormat="1" x14ac:dyDescent="0.25">
      <c r="B66" s="75">
        <v>55</v>
      </c>
      <c r="C66" s="34"/>
      <c r="D66" s="60">
        <f t="shared" si="2"/>
        <v>1.4197895277207391</v>
      </c>
      <c r="E66" s="60">
        <v>88.295773912614564</v>
      </c>
      <c r="F66" s="40">
        <f t="shared" si="3"/>
        <v>1.6079926193589857E-2</v>
      </c>
    </row>
    <row r="67" spans="2:6" s="30" customFormat="1" x14ac:dyDescent="0.25">
      <c r="B67" s="75">
        <v>56</v>
      </c>
      <c r="C67" s="34"/>
      <c r="D67" s="60">
        <f t="shared" si="2"/>
        <v>1.4202310097851307</v>
      </c>
      <c r="E67" s="60">
        <v>88.12556746727239</v>
      </c>
      <c r="F67" s="40">
        <f t="shared" si="3"/>
        <v>1.6115992788501121E-2</v>
      </c>
    </row>
    <row r="68" spans="2:6" s="30" customFormat="1" x14ac:dyDescent="0.25">
      <c r="B68" s="75">
        <v>57</v>
      </c>
      <c r="C68" s="34"/>
      <c r="D68" s="60">
        <f t="shared" si="2"/>
        <v>1.4206573468173707</v>
      </c>
      <c r="E68" s="60">
        <v>87.931560540896228</v>
      </c>
      <c r="F68" s="40">
        <f t="shared" si="3"/>
        <v>1.6156398659121201E-2</v>
      </c>
    </row>
    <row r="69" spans="2:6" s="30" customFormat="1" x14ac:dyDescent="0.25">
      <c r="B69" s="75">
        <v>58</v>
      </c>
      <c r="C69" s="34"/>
      <c r="D69" s="60">
        <f t="shared" si="2"/>
        <v>1.4210693050004872</v>
      </c>
      <c r="E69" s="60">
        <v>87.713994166185643</v>
      </c>
      <c r="F69" s="40">
        <f t="shared" si="3"/>
        <v>1.6201169705122372E-2</v>
      </c>
    </row>
    <row r="70" spans="2:6" s="30" customFormat="1" x14ac:dyDescent="0.25">
      <c r="B70" s="75">
        <v>59</v>
      </c>
      <c r="C70" s="34"/>
      <c r="D70" s="60">
        <f t="shared" si="2"/>
        <v>1.4214675996932515</v>
      </c>
      <c r="E70" s="60">
        <v>87.473109375840153</v>
      </c>
      <c r="F70" s="40">
        <f t="shared" si="3"/>
        <v>1.6250338073449774E-2</v>
      </c>
    </row>
    <row r="71" spans="2:6" s="30" customFormat="1" x14ac:dyDescent="0.25">
      <c r="B71" s="75">
        <v>60</v>
      </c>
      <c r="C71" s="34"/>
      <c r="D71" s="60">
        <f t="shared" si="2"/>
        <v>1.4218528995756718</v>
      </c>
      <c r="E71" s="60">
        <v>87.209147202559322</v>
      </c>
      <c r="F71" s="40">
        <f t="shared" si="3"/>
        <v>1.6303942249006935E-2</v>
      </c>
    </row>
    <row r="72" spans="2:6" s="30" customFormat="1" x14ac:dyDescent="0.25"/>
    <row r="73" spans="2:6" s="30" customFormat="1" x14ac:dyDescent="0.25"/>
    <row r="74" spans="2:6" s="30" customFormat="1" x14ac:dyDescent="0.25"/>
    <row r="75" spans="2:6" s="30" customFormat="1" x14ac:dyDescent="0.25"/>
    <row r="76" spans="2:6" s="30" customFormat="1" x14ac:dyDescent="0.25"/>
    <row r="77" spans="2:6" s="30" customFormat="1" x14ac:dyDescent="0.25"/>
    <row r="78" spans="2:6" s="30" customFormat="1" x14ac:dyDescent="0.25"/>
    <row r="79" spans="2:6" s="30" customFormat="1" x14ac:dyDescent="0.25"/>
    <row r="80" spans="2:6" s="30" customFormat="1" x14ac:dyDescent="0.25"/>
    <row r="81" s="30" customFormat="1" x14ac:dyDescent="0.25"/>
    <row r="82" s="30" customFormat="1" x14ac:dyDescent="0.25"/>
    <row r="83" s="30" customFormat="1" x14ac:dyDescent="0.25"/>
    <row r="84" s="30" customFormat="1" x14ac:dyDescent="0.25"/>
    <row r="85" s="30" customFormat="1" x14ac:dyDescent="0.25"/>
    <row r="86" s="30" customFormat="1" x14ac:dyDescent="0.25"/>
    <row r="87" s="30" customFormat="1" x14ac:dyDescent="0.25"/>
    <row r="88" s="30" customFormat="1" x14ac:dyDescent="0.25"/>
    <row r="89" s="30" customFormat="1" x14ac:dyDescent="0.25"/>
    <row r="90" s="30" customFormat="1" x14ac:dyDescent="0.25"/>
    <row r="91" s="30" customFormat="1" x14ac:dyDescent="0.25"/>
    <row r="92" s="30" customFormat="1" x14ac:dyDescent="0.25"/>
    <row r="93" s="30" customFormat="1" x14ac:dyDescent="0.25"/>
    <row r="94" s="30" customFormat="1" x14ac:dyDescent="0.25"/>
    <row r="95" s="30" customFormat="1" x14ac:dyDescent="0.25"/>
    <row r="96" s="30" customFormat="1" x14ac:dyDescent="0.25"/>
    <row r="97" s="30" customFormat="1" x14ac:dyDescent="0.25"/>
    <row r="98" s="30" customFormat="1" x14ac:dyDescent="0.25"/>
    <row r="99" s="30" customFormat="1" x14ac:dyDescent="0.25"/>
    <row r="100" s="30" customFormat="1" x14ac:dyDescent="0.25"/>
    <row r="101" s="30" customFormat="1" x14ac:dyDescent="0.25"/>
    <row r="102" s="30" customFormat="1" x14ac:dyDescent="0.25"/>
    <row r="103" s="30" customFormat="1" x14ac:dyDescent="0.25"/>
    <row r="104" s="30" customFormat="1" x14ac:dyDescent="0.25"/>
    <row r="105" s="30" customFormat="1" x14ac:dyDescent="0.25"/>
    <row r="106" s="30" customFormat="1" x14ac:dyDescent="0.25"/>
    <row r="107" s="30" customFormat="1" x14ac:dyDescent="0.25"/>
    <row r="108" s="30" customFormat="1" x14ac:dyDescent="0.25"/>
    <row r="109" s="30" customFormat="1" x14ac:dyDescent="0.25"/>
    <row r="110" s="30" customFormat="1" x14ac:dyDescent="0.25"/>
    <row r="111" s="30" customFormat="1" x14ac:dyDescent="0.25"/>
    <row r="112" s="30" customFormat="1" x14ac:dyDescent="0.25"/>
    <row r="113" s="30" customFormat="1" x14ac:dyDescent="0.25"/>
    <row r="114" s="30" customFormat="1" x14ac:dyDescent="0.25"/>
    <row r="115" s="30" customFormat="1" x14ac:dyDescent="0.25"/>
    <row r="116" s="30" customFormat="1" x14ac:dyDescent="0.25"/>
    <row r="117" s="30" customFormat="1" x14ac:dyDescent="0.25"/>
    <row r="118" s="30" customFormat="1" x14ac:dyDescent="0.25"/>
    <row r="119" s="30" customFormat="1" x14ac:dyDescent="0.25"/>
    <row r="120" s="30" customFormat="1" x14ac:dyDescent="0.25"/>
    <row r="121" s="30" customFormat="1" x14ac:dyDescent="0.25"/>
    <row r="122" s="30" customFormat="1" x14ac:dyDescent="0.25"/>
    <row r="123" s="30" customFormat="1" x14ac:dyDescent="0.25"/>
    <row r="124" s="30" customFormat="1" x14ac:dyDescent="0.25"/>
    <row r="125" s="30" customFormat="1" x14ac:dyDescent="0.25"/>
    <row r="126" s="30" customFormat="1" x14ac:dyDescent="0.25"/>
    <row r="127" s="30" customFormat="1" x14ac:dyDescent="0.25"/>
    <row r="128" s="30" customFormat="1" x14ac:dyDescent="0.25"/>
    <row r="129" s="30" customFormat="1" x14ac:dyDescent="0.25"/>
    <row r="130" s="30" customFormat="1" x14ac:dyDescent="0.25"/>
    <row r="131" s="30" customFormat="1" x14ac:dyDescent="0.25"/>
    <row r="132" s="30" customFormat="1" x14ac:dyDescent="0.25"/>
    <row r="133" s="30" customFormat="1" x14ac:dyDescent="0.25"/>
    <row r="134" s="30" customFormat="1" x14ac:dyDescent="0.25"/>
    <row r="135" s="30" customFormat="1" x14ac:dyDescent="0.25"/>
    <row r="136" s="30" customFormat="1" x14ac:dyDescent="0.25"/>
    <row r="137" s="30" customFormat="1" x14ac:dyDescent="0.25"/>
    <row r="138" s="30" customFormat="1" x14ac:dyDescent="0.25"/>
    <row r="139" s="30" customFormat="1" x14ac:dyDescent="0.25"/>
    <row r="140" s="30" customFormat="1" x14ac:dyDescent="0.25"/>
    <row r="141" s="30" customFormat="1" x14ac:dyDescent="0.25"/>
    <row r="142" s="30" customFormat="1" x14ac:dyDescent="0.25"/>
    <row r="143" s="30" customFormat="1" x14ac:dyDescent="0.25"/>
    <row r="144" s="30" customFormat="1" x14ac:dyDescent="0.25"/>
    <row r="145" s="30" customFormat="1" x14ac:dyDescent="0.25"/>
    <row r="146" s="30" customFormat="1" x14ac:dyDescent="0.25"/>
    <row r="147" s="30" customFormat="1" x14ac:dyDescent="0.25"/>
    <row r="148" s="30" customFormat="1" x14ac:dyDescent="0.25"/>
    <row r="149" s="30" customFormat="1" x14ac:dyDescent="0.25"/>
    <row r="150" s="30" customFormat="1" x14ac:dyDescent="0.25"/>
    <row r="151" s="30" customFormat="1" x14ac:dyDescent="0.25"/>
    <row r="152" s="30" customFormat="1" x14ac:dyDescent="0.25"/>
    <row r="153" s="30" customFormat="1" x14ac:dyDescent="0.25"/>
    <row r="154" s="30" customFormat="1" x14ac:dyDescent="0.25"/>
    <row r="155" s="30" customFormat="1" x14ac:dyDescent="0.25"/>
    <row r="156" s="30" customFormat="1" x14ac:dyDescent="0.25"/>
    <row r="157" s="30" customFormat="1" x14ac:dyDescent="0.25"/>
    <row r="158" s="30" customFormat="1" x14ac:dyDescent="0.25"/>
    <row r="159" s="30" customFormat="1" x14ac:dyDescent="0.25"/>
    <row r="160" s="30" customFormat="1" x14ac:dyDescent="0.25"/>
    <row r="161" s="30" customFormat="1" x14ac:dyDescent="0.25"/>
    <row r="162" s="30" customFormat="1" x14ac:dyDescent="0.25"/>
    <row r="163" s="30" customFormat="1" x14ac:dyDescent="0.25"/>
    <row r="164" s="30" customFormat="1" x14ac:dyDescent="0.25"/>
    <row r="165" s="30" customFormat="1" x14ac:dyDescent="0.25"/>
    <row r="166" s="30" customFormat="1" x14ac:dyDescent="0.25"/>
    <row r="167" s="30" customFormat="1" x14ac:dyDescent="0.25"/>
    <row r="168" s="30" customFormat="1" x14ac:dyDescent="0.25"/>
    <row r="169" s="30" customFormat="1" x14ac:dyDescent="0.25"/>
    <row r="170" s="30" customFormat="1" x14ac:dyDescent="0.25"/>
    <row r="171" s="30" customFormat="1" x14ac:dyDescent="0.25"/>
    <row r="172" s="30" customFormat="1" x14ac:dyDescent="0.25"/>
    <row r="173" s="30" customFormat="1" x14ac:dyDescent="0.25"/>
    <row r="174" s="30" customFormat="1" x14ac:dyDescent="0.25"/>
    <row r="175" s="30" customFormat="1" x14ac:dyDescent="0.25"/>
    <row r="176" s="30" customFormat="1" x14ac:dyDescent="0.25"/>
    <row r="177" s="30" customFormat="1" x14ac:dyDescent="0.25"/>
    <row r="178" s="30" customFormat="1" x14ac:dyDescent="0.25"/>
    <row r="179" s="30" customFormat="1" x14ac:dyDescent="0.25"/>
    <row r="180" s="30" customFormat="1" x14ac:dyDescent="0.25"/>
    <row r="181" s="30" customFormat="1" x14ac:dyDescent="0.25"/>
    <row r="182" s="30" customFormat="1" x14ac:dyDescent="0.25"/>
    <row r="183" s="30" customFormat="1" x14ac:dyDescent="0.25"/>
    <row r="184" s="30" customFormat="1" x14ac:dyDescent="0.25"/>
    <row r="185" s="30" customFormat="1" x14ac:dyDescent="0.25"/>
    <row r="186" s="30" customFormat="1" x14ac:dyDescent="0.25"/>
    <row r="187" s="30" customFormat="1" x14ac:dyDescent="0.25"/>
    <row r="188" s="30" customFormat="1" x14ac:dyDescent="0.25"/>
    <row r="189" s="30" customFormat="1" x14ac:dyDescent="0.25"/>
    <row r="190" s="30" customFormat="1" x14ac:dyDescent="0.25"/>
    <row r="191" s="30" customFormat="1" x14ac:dyDescent="0.25"/>
    <row r="192" s="30" customFormat="1" x14ac:dyDescent="0.25"/>
    <row r="193" s="30" customFormat="1" x14ac:dyDescent="0.25"/>
    <row r="194" s="30" customFormat="1" x14ac:dyDescent="0.25"/>
    <row r="195" s="30" customFormat="1" x14ac:dyDescent="0.25"/>
    <row r="196" s="30" customFormat="1" x14ac:dyDescent="0.25"/>
    <row r="197" s="30" customFormat="1" x14ac:dyDescent="0.25"/>
    <row r="198" s="30" customFormat="1" x14ac:dyDescent="0.25"/>
    <row r="199" s="30" customFormat="1" x14ac:dyDescent="0.25"/>
    <row r="200" s="30" customFormat="1" x14ac:dyDescent="0.25"/>
    <row r="201" s="30" customFormat="1" x14ac:dyDescent="0.25"/>
    <row r="202" s="30" customFormat="1" x14ac:dyDescent="0.25"/>
    <row r="203" s="30" customFormat="1" x14ac:dyDescent="0.25"/>
    <row r="204" s="30" customFormat="1" x14ac:dyDescent="0.25"/>
    <row r="205" s="30" customFormat="1" x14ac:dyDescent="0.25"/>
    <row r="206" s="30" customFormat="1" x14ac:dyDescent="0.25"/>
    <row r="207" s="30" customFormat="1" x14ac:dyDescent="0.25"/>
    <row r="208" s="30" customFormat="1" x14ac:dyDescent="0.25"/>
    <row r="209" s="30" customFormat="1" x14ac:dyDescent="0.25"/>
    <row r="210" s="30" customFormat="1" x14ac:dyDescent="0.25"/>
    <row r="211" s="30" customFormat="1" x14ac:dyDescent="0.25"/>
    <row r="212" s="30" customFormat="1" x14ac:dyDescent="0.25"/>
    <row r="213" s="30" customFormat="1" x14ac:dyDescent="0.25"/>
    <row r="214" s="30" customFormat="1" x14ac:dyDescent="0.25"/>
    <row r="215" s="30" customFormat="1" x14ac:dyDescent="0.25"/>
    <row r="216" s="30" customFormat="1" x14ac:dyDescent="0.25"/>
    <row r="217" s="30" customFormat="1" x14ac:dyDescent="0.25"/>
    <row r="218" s="30" customFormat="1" x14ac:dyDescent="0.25"/>
    <row r="219" s="30" customFormat="1" x14ac:dyDescent="0.25"/>
    <row r="220" s="30" customFormat="1" x14ac:dyDescent="0.25"/>
    <row r="221" s="30" customFormat="1" x14ac:dyDescent="0.25"/>
    <row r="222" s="30" customFormat="1" x14ac:dyDescent="0.25"/>
    <row r="223" s="30" customFormat="1" x14ac:dyDescent="0.25"/>
    <row r="224" s="30" customFormat="1" x14ac:dyDescent="0.25"/>
    <row r="225" s="30" customFormat="1" x14ac:dyDescent="0.25"/>
    <row r="226" s="30" customFormat="1" x14ac:dyDescent="0.25"/>
    <row r="227" s="30" customFormat="1" x14ac:dyDescent="0.25"/>
    <row r="228" s="30" customFormat="1" x14ac:dyDescent="0.25"/>
    <row r="229" s="30" customFormat="1" x14ac:dyDescent="0.25"/>
    <row r="230" s="30" customFormat="1" x14ac:dyDescent="0.25"/>
    <row r="231" s="30" customFormat="1" x14ac:dyDescent="0.25"/>
    <row r="232" s="30" customFormat="1" x14ac:dyDescent="0.25"/>
    <row r="233" s="30" customFormat="1" x14ac:dyDescent="0.25"/>
    <row r="234" s="30" customFormat="1" x14ac:dyDescent="0.25"/>
    <row r="235" s="30" customFormat="1" x14ac:dyDescent="0.25"/>
    <row r="236" s="30" customFormat="1" x14ac:dyDescent="0.25"/>
    <row r="237" s="30" customFormat="1" x14ac:dyDescent="0.25"/>
    <row r="238" s="30" customFormat="1" x14ac:dyDescent="0.25"/>
    <row r="239" s="30" customFormat="1" x14ac:dyDescent="0.25"/>
    <row r="240" s="30" customFormat="1" x14ac:dyDescent="0.25"/>
    <row r="241" s="30" customFormat="1" x14ac:dyDescent="0.25"/>
    <row r="242" s="30" customFormat="1" x14ac:dyDescent="0.25"/>
    <row r="243" s="30" customFormat="1" x14ac:dyDescent="0.25"/>
    <row r="244" s="30" customFormat="1" x14ac:dyDescent="0.25"/>
    <row r="245" s="30" customFormat="1" x14ac:dyDescent="0.25"/>
    <row r="246" s="30" customFormat="1" x14ac:dyDescent="0.25"/>
    <row r="247" s="30" customFormat="1" x14ac:dyDescent="0.25"/>
    <row r="248" s="30" customFormat="1" x14ac:dyDescent="0.25"/>
    <row r="249" s="30" customFormat="1" x14ac:dyDescent="0.25"/>
    <row r="250" s="30" customFormat="1" x14ac:dyDescent="0.25"/>
    <row r="251" s="30" customFormat="1" x14ac:dyDescent="0.25"/>
    <row r="252" s="30" customFormat="1" x14ac:dyDescent="0.25"/>
    <row r="253" s="30" customFormat="1" x14ac:dyDescent="0.25"/>
    <row r="254" s="30" customFormat="1" x14ac:dyDescent="0.25"/>
    <row r="255" s="30" customFormat="1" x14ac:dyDescent="0.25"/>
    <row r="256" s="30" customFormat="1" x14ac:dyDescent="0.25"/>
    <row r="257" s="30" customFormat="1" x14ac:dyDescent="0.25"/>
    <row r="258" s="30" customFormat="1" x14ac:dyDescent="0.25"/>
    <row r="259" s="30" customFormat="1" x14ac:dyDescent="0.25"/>
    <row r="260" s="30" customFormat="1" x14ac:dyDescent="0.25"/>
    <row r="261" s="30" customFormat="1" x14ac:dyDescent="0.25"/>
    <row r="262" s="30" customFormat="1" x14ac:dyDescent="0.25"/>
    <row r="263" s="30" customFormat="1" x14ac:dyDescent="0.25"/>
    <row r="264" s="30" customFormat="1" x14ac:dyDescent="0.25"/>
    <row r="265" s="30" customFormat="1" x14ac:dyDescent="0.25"/>
    <row r="266" s="30" customFormat="1" x14ac:dyDescent="0.25"/>
    <row r="267" s="30" customFormat="1" x14ac:dyDescent="0.25"/>
    <row r="268" s="30" customFormat="1" x14ac:dyDescent="0.25"/>
    <row r="269" s="30" customFormat="1" x14ac:dyDescent="0.25"/>
    <row r="270" s="30" customFormat="1" x14ac:dyDescent="0.25"/>
    <row r="271" s="30" customFormat="1" x14ac:dyDescent="0.25"/>
    <row r="272" s="30" customFormat="1" x14ac:dyDescent="0.25"/>
    <row r="273" s="30" customFormat="1" x14ac:dyDescent="0.25"/>
    <row r="274" s="30" customFormat="1" x14ac:dyDescent="0.25"/>
    <row r="275" s="30" customFormat="1" x14ac:dyDescent="0.25"/>
    <row r="276" s="30" customFormat="1" x14ac:dyDescent="0.25"/>
    <row r="277" s="30" customFormat="1" x14ac:dyDescent="0.25"/>
    <row r="278" s="30" customFormat="1" x14ac:dyDescent="0.25"/>
    <row r="279" s="30" customFormat="1" x14ac:dyDescent="0.25"/>
    <row r="280" s="30" customFormat="1" x14ac:dyDescent="0.25"/>
    <row r="281" s="30" customFormat="1" x14ac:dyDescent="0.25"/>
    <row r="282" s="30" customFormat="1" x14ac:dyDescent="0.25"/>
    <row r="283" s="30" customFormat="1" x14ac:dyDescent="0.25"/>
    <row r="284" s="30" customFormat="1" x14ac:dyDescent="0.25"/>
    <row r="285" s="30" customFormat="1" x14ac:dyDescent="0.25"/>
    <row r="286" s="30" customFormat="1" x14ac:dyDescent="0.25"/>
    <row r="287" s="30" customFormat="1" x14ac:dyDescent="0.25"/>
    <row r="288" s="30" customFormat="1" x14ac:dyDescent="0.25"/>
    <row r="289" s="30" customFormat="1" x14ac:dyDescent="0.25"/>
    <row r="290" s="30" customFormat="1" x14ac:dyDescent="0.25"/>
    <row r="291" s="30" customFormat="1" x14ac:dyDescent="0.25"/>
    <row r="292" s="30" customFormat="1" x14ac:dyDescent="0.25"/>
    <row r="293" s="30" customFormat="1" x14ac:dyDescent="0.25"/>
    <row r="294" s="30" customFormat="1" x14ac:dyDescent="0.25"/>
    <row r="295" s="30" customFormat="1" x14ac:dyDescent="0.25"/>
    <row r="296" s="30" customFormat="1" x14ac:dyDescent="0.25"/>
    <row r="297" s="30" customFormat="1" x14ac:dyDescent="0.25"/>
    <row r="298" s="30" customFormat="1" x14ac:dyDescent="0.25"/>
    <row r="299" s="30" customFormat="1" x14ac:dyDescent="0.25"/>
    <row r="300" s="30" customFormat="1" x14ac:dyDescent="0.25"/>
    <row r="301" s="30" customFormat="1" x14ac:dyDescent="0.25"/>
    <row r="302" s="30" customFormat="1" x14ac:dyDescent="0.25"/>
    <row r="303" s="30" customFormat="1" x14ac:dyDescent="0.25"/>
    <row r="304" s="30" customFormat="1" x14ac:dyDescent="0.25"/>
    <row r="305" s="30" customFormat="1" x14ac:dyDescent="0.25"/>
    <row r="306" s="30" customFormat="1" x14ac:dyDescent="0.25"/>
    <row r="307" s="30" customFormat="1" x14ac:dyDescent="0.25"/>
    <row r="308" s="30" customFormat="1" x14ac:dyDescent="0.25"/>
    <row r="309" s="30" customFormat="1" x14ac:dyDescent="0.25"/>
    <row r="310" s="30" customFormat="1" x14ac:dyDescent="0.25"/>
    <row r="311" s="30" customFormat="1" x14ac:dyDescent="0.25"/>
    <row r="312" s="30" customFormat="1" x14ac:dyDescent="0.25"/>
    <row r="313" s="30" customFormat="1" x14ac:dyDescent="0.25"/>
    <row r="314" s="30" customFormat="1" x14ac:dyDescent="0.25"/>
    <row r="315" s="30" customFormat="1" x14ac:dyDescent="0.25"/>
    <row r="316" s="30" customFormat="1" x14ac:dyDescent="0.25"/>
    <row r="317" s="30" customFormat="1" x14ac:dyDescent="0.25"/>
    <row r="318" s="30" customFormat="1" x14ac:dyDescent="0.25"/>
    <row r="319" s="30" customFormat="1" x14ac:dyDescent="0.25"/>
    <row r="320" s="30" customFormat="1" x14ac:dyDescent="0.25"/>
    <row r="321" s="30" customFormat="1" x14ac:dyDescent="0.25"/>
    <row r="322" s="30" customFormat="1" x14ac:dyDescent="0.25"/>
    <row r="323" s="30" customFormat="1" x14ac:dyDescent="0.25"/>
    <row r="324" s="30" customFormat="1" x14ac:dyDescent="0.25"/>
    <row r="325" s="30" customFormat="1" x14ac:dyDescent="0.25"/>
    <row r="326" s="30" customFormat="1" x14ac:dyDescent="0.25"/>
    <row r="327" s="30" customFormat="1" x14ac:dyDescent="0.25"/>
    <row r="328" s="30" customFormat="1" x14ac:dyDescent="0.25"/>
    <row r="329" s="30" customFormat="1" x14ac:dyDescent="0.25"/>
    <row r="330" s="30" customFormat="1" x14ac:dyDescent="0.25"/>
    <row r="331" s="30" customFormat="1" x14ac:dyDescent="0.25"/>
  </sheetData>
  <mergeCells count="3">
    <mergeCell ref="D3:E3"/>
    <mergeCell ref="B2:E2"/>
    <mergeCell ref="R8:T8"/>
  </mergeCells>
  <pageMargins left="0.7" right="0.7" top="0.75" bottom="0.75" header="0.3" footer="0.3"/>
  <pageSetup scale="4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Z329"/>
  <sheetViews>
    <sheetView zoomScale="70" zoomScaleNormal="70" workbookViewId="0">
      <selection activeCell="F8" sqref="F8:H8"/>
    </sheetView>
  </sheetViews>
  <sheetFormatPr defaultColWidth="9.140625" defaultRowHeight="15.75" x14ac:dyDescent="0.25"/>
  <cols>
    <col min="1" max="1" width="9.140625" style="29"/>
    <col min="2" max="2" width="19" style="29" customWidth="1"/>
    <col min="3" max="3" width="42.5703125" style="30" bestFit="1" customWidth="1"/>
    <col min="4" max="4" width="28.7109375" style="30" customWidth="1"/>
    <col min="5" max="5" width="15.5703125" style="29" bestFit="1" customWidth="1"/>
    <col min="6" max="6" width="14.140625" style="29" bestFit="1" customWidth="1"/>
    <col min="7" max="7" width="12.7109375" style="29" customWidth="1"/>
    <col min="8" max="8" width="16.140625" style="29" customWidth="1"/>
    <col min="9" max="9" width="12" style="29" customWidth="1"/>
    <col min="10" max="16384" width="9.140625" style="29"/>
  </cols>
  <sheetData>
    <row r="1" spans="2:26" ht="31.5" customHeight="1" x14ac:dyDescent="0.25">
      <c r="B1" s="310" t="s">
        <v>140</v>
      </c>
      <c r="C1" s="310"/>
      <c r="D1" s="310"/>
      <c r="E1" s="19" t="s">
        <v>1</v>
      </c>
      <c r="F1" s="294" t="s">
        <v>71</v>
      </c>
      <c r="G1" s="294" t="s">
        <v>31</v>
      </c>
    </row>
    <row r="2" spans="2:26" ht="45.75" customHeight="1" x14ac:dyDescent="0.25">
      <c r="B2" s="73" t="s">
        <v>26</v>
      </c>
      <c r="C2" s="73" t="s">
        <v>25</v>
      </c>
      <c r="D2" s="73" t="s">
        <v>258</v>
      </c>
      <c r="E2" s="73">
        <v>81.209999999999994</v>
      </c>
      <c r="F2" s="73">
        <v>25.92</v>
      </c>
      <c r="G2" s="141">
        <f>E2 * ((2.9875 * EXP(-0.129 * 25) + 0.67) * F2 + 0.2635 * 25 - 4.843) / 100</f>
        <v>18.020035049004868</v>
      </c>
    </row>
    <row r="3" spans="2:26" ht="47.25" x14ac:dyDescent="0.25">
      <c r="B3" s="73" t="s">
        <v>271</v>
      </c>
      <c r="C3" s="73" t="s">
        <v>269</v>
      </c>
      <c r="D3" s="73" t="s">
        <v>273</v>
      </c>
      <c r="E3" s="73"/>
      <c r="F3" s="73">
        <v>24.07</v>
      </c>
      <c r="G3" s="141">
        <f>(2.9875 * EXP(-0.129 * 20) + 0.67) * F3 + 0.2635 * 20 - 4.843</f>
        <v>22.002742327029299</v>
      </c>
    </row>
    <row r="4" spans="2:26" ht="47.25" x14ac:dyDescent="0.25">
      <c r="B4" s="73" t="s">
        <v>272</v>
      </c>
      <c r="C4" s="73" t="s">
        <v>270</v>
      </c>
      <c r="D4" s="73" t="s">
        <v>274</v>
      </c>
      <c r="E4" s="73"/>
      <c r="F4" s="73">
        <v>24.07</v>
      </c>
      <c r="G4" s="141">
        <f>-5.33798 * F4 + 0.11149 * (F4^2) + 0.09795 * 20 + 85.24521</f>
        <v>23.312424101000005</v>
      </c>
    </row>
    <row r="5" spans="2:26" x14ac:dyDescent="0.25">
      <c r="B5" s="142"/>
      <c r="C5" s="142"/>
      <c r="D5" s="142"/>
      <c r="E5" s="143"/>
    </row>
    <row r="6" spans="2:26" x14ac:dyDescent="0.25">
      <c r="E6" s="30"/>
    </row>
    <row r="7" spans="2:26" ht="42.75" x14ac:dyDescent="0.25">
      <c r="B7" s="317" t="s">
        <v>15</v>
      </c>
      <c r="C7" s="318" t="s">
        <v>72</v>
      </c>
      <c r="D7" s="312" t="s">
        <v>23</v>
      </c>
      <c r="E7" s="312" t="s">
        <v>29</v>
      </c>
      <c r="F7" s="314" t="s">
        <v>142</v>
      </c>
      <c r="G7" s="319" t="s">
        <v>67</v>
      </c>
      <c r="H7" s="320" t="s">
        <v>267</v>
      </c>
      <c r="I7" s="321" t="s">
        <v>221</v>
      </c>
      <c r="J7" s="321" t="s">
        <v>221</v>
      </c>
    </row>
    <row r="8" spans="2:26" x14ac:dyDescent="0.25">
      <c r="B8" s="234">
        <v>0.01</v>
      </c>
      <c r="C8" s="170"/>
      <c r="D8" s="31">
        <v>4.8377925320663246</v>
      </c>
      <c r="E8" s="31">
        <v>11.551710294512796</v>
      </c>
      <c r="F8" s="60">
        <f xml:space="preserve"> D8 * ((2.9875 * EXP(-0.129 * B8) + 0.67) * E8 + 0.2635 * B8 - 4.843) / 100</f>
        <v>1.8076665904496609</v>
      </c>
      <c r="G8" s="37">
        <f>F8/D8</f>
        <v>0.37365525256982607</v>
      </c>
      <c r="H8" s="146">
        <f>G8*100</f>
        <v>37.365525256982608</v>
      </c>
      <c r="I8" s="178"/>
      <c r="J8" s="178"/>
    </row>
    <row r="9" spans="2:26" ht="47.25" x14ac:dyDescent="0.25">
      <c r="B9" s="167">
        <v>0.5</v>
      </c>
      <c r="C9" s="173" t="s">
        <v>259</v>
      </c>
      <c r="D9" s="107">
        <v>7.0759454883143711</v>
      </c>
      <c r="E9" s="107">
        <v>12.297139280803382</v>
      </c>
      <c r="F9" s="104">
        <f xml:space="preserve"> D9 * ((2.9875 * EXP(-0.129 * B9) + 0.67) * E9 + 0.2635 * B9 - 4.843) / 100</f>
        <v>2.6867900809372367</v>
      </c>
      <c r="G9" s="109">
        <f>F9/D9</f>
        <v>0.37970757199505828</v>
      </c>
      <c r="H9" s="147">
        <f>G9*100</f>
        <v>37.970757199505826</v>
      </c>
      <c r="I9" s="154"/>
      <c r="J9" s="106"/>
    </row>
    <row r="10" spans="2:26" x14ac:dyDescent="0.25">
      <c r="B10" s="167">
        <v>1</v>
      </c>
      <c r="C10" s="168"/>
      <c r="D10" s="107">
        <v>9.0775771843511723</v>
      </c>
      <c r="E10" s="107">
        <v>13.363350188896998</v>
      </c>
      <c r="F10" s="104">
        <f t="shared" ref="F10:F31" si="0" xml:space="preserve"> D10 * ((2.9875 * EXP(-0.129 * B10) + 0.67) * E10 + 0.2635 * B10 - 4.843) / 100</f>
        <v>3.5824867043128239</v>
      </c>
      <c r="G10" s="109">
        <f>F10/D10</f>
        <v>0.39465229890731962</v>
      </c>
      <c r="H10" s="147">
        <f t="shared" ref="H10:H37" si="1">G10*100</f>
        <v>39.465229890731962</v>
      </c>
      <c r="I10" s="154"/>
      <c r="J10" s="106"/>
    </row>
    <row r="11" spans="2:26" x14ac:dyDescent="0.25">
      <c r="B11" s="75">
        <v>1.5</v>
      </c>
      <c r="C11" s="33"/>
      <c r="D11" s="48">
        <v>10.85867141433374</v>
      </c>
      <c r="E11" s="48">
        <v>14.441426235012466</v>
      </c>
      <c r="F11" s="60">
        <f t="shared" si="0"/>
        <v>4.4283266435761623</v>
      </c>
      <c r="G11" s="37">
        <f>F11/D11</f>
        <v>0.40781477536290961</v>
      </c>
      <c r="H11" s="146">
        <f t="shared" si="1"/>
        <v>40.781477536290964</v>
      </c>
      <c r="I11" s="94"/>
      <c r="J11" s="31"/>
    </row>
    <row r="12" spans="2:26" x14ac:dyDescent="0.25">
      <c r="B12" s="75">
        <v>2</v>
      </c>
      <c r="C12" s="171"/>
      <c r="D12" s="48">
        <v>12.469385771384614</v>
      </c>
      <c r="E12" s="48">
        <v>15.477670764639823</v>
      </c>
      <c r="F12" s="60">
        <f t="shared" si="0"/>
        <v>5.2095209179747268</v>
      </c>
      <c r="G12" s="37">
        <f t="shared" ref="G12:G37" si="2">F12/D12</f>
        <v>0.41778488639992217</v>
      </c>
      <c r="H12" s="146">
        <f t="shared" si="1"/>
        <v>41.778488639992219</v>
      </c>
      <c r="I12" s="94"/>
      <c r="J12" s="31"/>
    </row>
    <row r="13" spans="2:26" x14ac:dyDescent="0.25">
      <c r="B13" s="75">
        <v>3</v>
      </c>
      <c r="C13" s="171"/>
      <c r="D13" s="48">
        <v>15.33180604994063</v>
      </c>
      <c r="E13" s="48">
        <v>17.421931861218585</v>
      </c>
      <c r="F13" s="60">
        <f t="shared" si="0"/>
        <v>6.5873936003014713</v>
      </c>
      <c r="G13" s="37">
        <f t="shared" si="2"/>
        <v>0.42965542212340863</v>
      </c>
      <c r="H13" s="146">
        <f t="shared" si="1"/>
        <v>42.965542212340864</v>
      </c>
      <c r="I13" s="94"/>
      <c r="J13" s="31"/>
      <c r="W13" s="169" t="s">
        <v>204</v>
      </c>
      <c r="X13" s="169"/>
      <c r="Y13" s="169"/>
      <c r="Z13" s="169"/>
    </row>
    <row r="14" spans="2:26" x14ac:dyDescent="0.25">
      <c r="B14" s="75">
        <v>4</v>
      </c>
      <c r="C14" s="171"/>
      <c r="D14" s="48">
        <v>17.908606982755128</v>
      </c>
      <c r="E14" s="48">
        <v>16.457517868584596</v>
      </c>
      <c r="F14" s="60">
        <f t="shared" si="0"/>
        <v>6.5519332374067245</v>
      </c>
      <c r="G14" s="37">
        <f t="shared" si="2"/>
        <v>0.36585387371088257</v>
      </c>
      <c r="H14" s="146">
        <f t="shared" si="1"/>
        <v>36.58538737108826</v>
      </c>
      <c r="I14" s="94"/>
      <c r="J14" s="31"/>
      <c r="W14" s="169" t="s">
        <v>15</v>
      </c>
      <c r="X14" s="169" t="s">
        <v>205</v>
      </c>
      <c r="Y14" s="169" t="s">
        <v>266</v>
      </c>
      <c r="Z14" s="169" t="s">
        <v>268</v>
      </c>
    </row>
    <row r="15" spans="2:26" x14ac:dyDescent="0.25">
      <c r="B15" s="75">
        <v>4.5</v>
      </c>
      <c r="C15" s="171"/>
      <c r="D15" s="48">
        <v>19.148095016301134</v>
      </c>
      <c r="E15" s="48">
        <v>16.098904135055353</v>
      </c>
      <c r="F15" s="60">
        <f t="shared" si="0"/>
        <v>6.5188030025341366</v>
      </c>
      <c r="G15" s="37">
        <f t="shared" si="2"/>
        <v>0.34044133356266287</v>
      </c>
      <c r="H15" s="146">
        <f t="shared" si="1"/>
        <v>34.044133356266286</v>
      </c>
      <c r="I15" s="94"/>
      <c r="J15" s="31"/>
      <c r="W15" s="169"/>
      <c r="X15" s="169"/>
      <c r="Y15" s="169"/>
      <c r="Z15" s="169"/>
    </row>
    <row r="16" spans="2:26" x14ac:dyDescent="0.25">
      <c r="B16" s="167">
        <v>5</v>
      </c>
      <c r="C16" s="172"/>
      <c r="D16" s="107">
        <v>20.38127759653889</v>
      </c>
      <c r="E16" s="107">
        <v>15.822759261132157</v>
      </c>
      <c r="F16" s="104">
        <f t="shared" si="0"/>
        <v>6.4969002958229121</v>
      </c>
      <c r="G16" s="109">
        <f t="shared" si="2"/>
        <v>0.31876805882503673</v>
      </c>
      <c r="H16" s="147">
        <f t="shared" si="1"/>
        <v>31.876805882503671</v>
      </c>
      <c r="I16" s="154"/>
      <c r="J16" s="106"/>
      <c r="W16" s="169" t="s">
        <v>201</v>
      </c>
      <c r="X16" s="169">
        <v>0.93</v>
      </c>
      <c r="Y16" s="169">
        <v>3.5</v>
      </c>
      <c r="Z16" s="169">
        <f>(X16/Y16)*100</f>
        <v>26.571428571428573</v>
      </c>
    </row>
    <row r="17" spans="2:26" x14ac:dyDescent="0.25">
      <c r="B17" s="75">
        <v>6</v>
      </c>
      <c r="C17" s="171"/>
      <c r="D17" s="48">
        <v>22.899044891228044</v>
      </c>
      <c r="E17" s="48">
        <v>15.508212785610276</v>
      </c>
      <c r="F17" s="60">
        <f t="shared" si="0"/>
        <v>6.5249972354425863</v>
      </c>
      <c r="G17" s="37">
        <f t="shared" si="2"/>
        <v>0.28494626157714215</v>
      </c>
      <c r="H17" s="146">
        <f t="shared" si="1"/>
        <v>28.494626157714215</v>
      </c>
      <c r="I17" s="94"/>
      <c r="J17" s="31"/>
      <c r="W17" s="169">
        <v>1</v>
      </c>
      <c r="X17" s="169">
        <v>3.8</v>
      </c>
      <c r="Y17" s="169">
        <v>10</v>
      </c>
      <c r="Z17" s="169">
        <f t="shared" ref="Z17:Z21" si="3">(X17/Y17)*100</f>
        <v>38</v>
      </c>
    </row>
    <row r="18" spans="2:26" x14ac:dyDescent="0.25">
      <c r="B18" s="75">
        <v>7</v>
      </c>
      <c r="C18" s="171"/>
      <c r="D18" s="48">
        <v>25.592430754887268</v>
      </c>
      <c r="E18" s="48">
        <v>15.493711725002255</v>
      </c>
      <c r="F18" s="60">
        <f t="shared" si="0"/>
        <v>6.6911391322573452</v>
      </c>
      <c r="G18" s="37">
        <f t="shared" si="2"/>
        <v>0.2614499262044333</v>
      </c>
      <c r="H18" s="146">
        <f t="shared" si="1"/>
        <v>26.144992620443329</v>
      </c>
      <c r="I18" s="94"/>
      <c r="J18" s="31"/>
      <c r="W18" s="169">
        <v>5</v>
      </c>
      <c r="X18" s="169">
        <v>5.5</v>
      </c>
      <c r="Y18" s="169">
        <v>19</v>
      </c>
      <c r="Z18" s="169">
        <f t="shared" si="3"/>
        <v>28.947368421052634</v>
      </c>
    </row>
    <row r="19" spans="2:26" x14ac:dyDescent="0.25">
      <c r="B19" s="75">
        <v>8</v>
      </c>
      <c r="C19" s="171"/>
      <c r="D19" s="48">
        <v>28.575820928596343</v>
      </c>
      <c r="E19" s="48">
        <v>15.761809978220203</v>
      </c>
      <c r="F19" s="60">
        <f t="shared" si="0"/>
        <v>7.0304274042577655</v>
      </c>
      <c r="G19" s="37">
        <f t="shared" si="2"/>
        <v>0.24602713678200192</v>
      </c>
      <c r="H19" s="146">
        <f t="shared" si="1"/>
        <v>24.602713678200193</v>
      </c>
      <c r="I19" s="94">
        <v>25</v>
      </c>
      <c r="J19" s="31">
        <f t="shared" ref="J19:J51" si="4">I19/100*D19</f>
        <v>7.1439552321490858</v>
      </c>
      <c r="W19" s="169">
        <v>10</v>
      </c>
      <c r="X19" s="169">
        <v>8.6</v>
      </c>
      <c r="Y19" s="169">
        <v>32</v>
      </c>
      <c r="Z19" s="169">
        <f t="shared" si="3"/>
        <v>26.875</v>
      </c>
    </row>
    <row r="20" spans="2:26" x14ac:dyDescent="0.25">
      <c r="B20" s="75">
        <v>9</v>
      </c>
      <c r="C20" s="171"/>
      <c r="D20" s="48">
        <v>31.940959644573518</v>
      </c>
      <c r="E20" s="48">
        <v>16.295293348516807</v>
      </c>
      <c r="F20" s="60">
        <f t="shared" si="0"/>
        <v>7.5675436528104765</v>
      </c>
      <c r="G20" s="37">
        <f t="shared" si="2"/>
        <v>0.23692286446678926</v>
      </c>
      <c r="H20" s="146">
        <f t="shared" si="1"/>
        <v>23.692286446678924</v>
      </c>
      <c r="I20" s="94">
        <v>27.2</v>
      </c>
      <c r="J20" s="31">
        <f t="shared" si="4"/>
        <v>8.6879410233239973</v>
      </c>
      <c r="W20" s="169">
        <v>15</v>
      </c>
      <c r="X20" s="169">
        <v>12</v>
      </c>
      <c r="Y20" s="169">
        <v>56</v>
      </c>
      <c r="Z20" s="169">
        <f t="shared" si="3"/>
        <v>21.428571428571427</v>
      </c>
    </row>
    <row r="21" spans="2:26" x14ac:dyDescent="0.25">
      <c r="B21" s="167">
        <v>10</v>
      </c>
      <c r="C21" s="172"/>
      <c r="D21" s="107">
        <v>35.742930987515741</v>
      </c>
      <c r="E21" s="107">
        <v>17.068708133727831</v>
      </c>
      <c r="F21" s="104">
        <f t="shared" si="0"/>
        <v>8.3155403358110203</v>
      </c>
      <c r="G21" s="109">
        <f t="shared" si="2"/>
        <v>0.23264852954323934</v>
      </c>
      <c r="H21" s="147">
        <f t="shared" si="1"/>
        <v>23.264852954323935</v>
      </c>
      <c r="I21" s="154">
        <v>28.2</v>
      </c>
      <c r="J21" s="106">
        <f t="shared" si="4"/>
        <v>10.079506538479437</v>
      </c>
      <c r="W21" s="169">
        <v>25</v>
      </c>
      <c r="X21" s="169">
        <v>18.2</v>
      </c>
      <c r="Y21" s="169">
        <v>73</v>
      </c>
      <c r="Z21" s="169">
        <f t="shared" si="3"/>
        <v>24.93150684931507</v>
      </c>
    </row>
    <row r="22" spans="2:26" x14ac:dyDescent="0.25">
      <c r="B22" s="75">
        <v>10.5</v>
      </c>
      <c r="C22" s="171"/>
      <c r="D22" s="48">
        <v>37.81048562869546</v>
      </c>
      <c r="E22" s="48">
        <v>17.531956383724435</v>
      </c>
      <c r="F22" s="60">
        <f t="shared" si="0"/>
        <v>8.7672499497329532</v>
      </c>
      <c r="G22" s="37">
        <f t="shared" si="2"/>
        <v>0.23187350820692015</v>
      </c>
      <c r="H22" s="146">
        <f t="shared" si="1"/>
        <v>23.187350820692014</v>
      </c>
      <c r="I22" s="94"/>
      <c r="J22" s="31"/>
      <c r="W22" s="237"/>
      <c r="X22" s="237"/>
      <c r="Y22" s="237"/>
      <c r="Z22" s="237"/>
    </row>
    <row r="23" spans="2:26" x14ac:dyDescent="0.25">
      <c r="B23" s="75">
        <v>11</v>
      </c>
      <c r="C23" s="171"/>
      <c r="D23" s="48">
        <v>39.982278220873482</v>
      </c>
      <c r="E23" s="48">
        <v>18.034462282820357</v>
      </c>
      <c r="F23" s="60">
        <f t="shared" si="0"/>
        <v>9.2657636287149732</v>
      </c>
      <c r="G23" s="37">
        <f t="shared" si="2"/>
        <v>0.23174676484236986</v>
      </c>
      <c r="H23" s="146">
        <f t="shared" si="1"/>
        <v>23.174676484236986</v>
      </c>
      <c r="I23" s="94">
        <v>27.5</v>
      </c>
      <c r="J23" s="31">
        <f t="shared" si="4"/>
        <v>10.995126510740208</v>
      </c>
    </row>
    <row r="24" spans="2:26" x14ac:dyDescent="0.25">
      <c r="B24" s="75">
        <v>12</v>
      </c>
      <c r="C24" s="171"/>
      <c r="D24" s="48">
        <v>44.590410457317788</v>
      </c>
      <c r="E24" s="48">
        <v>19.095533204924077</v>
      </c>
      <c r="F24" s="60">
        <f t="shared" si="0"/>
        <v>10.365286348686164</v>
      </c>
      <c r="G24" s="37">
        <f t="shared" si="2"/>
        <v>0.2324555042750252</v>
      </c>
      <c r="H24" s="146">
        <f t="shared" si="1"/>
        <v>23.245550427502522</v>
      </c>
      <c r="I24" s="94">
        <v>25.9</v>
      </c>
      <c r="J24" s="31">
        <f t="shared" si="4"/>
        <v>11.548916308445307</v>
      </c>
    </row>
    <row r="25" spans="2:26" x14ac:dyDescent="0.25">
      <c r="B25" s="75">
        <v>13</v>
      </c>
      <c r="C25" s="171"/>
      <c r="D25" s="48">
        <v>49.42771554129417</v>
      </c>
      <c r="E25" s="48">
        <v>20.044460338742169</v>
      </c>
      <c r="F25" s="60">
        <f t="shared" si="0"/>
        <v>11.470403631271822</v>
      </c>
      <c r="G25" s="37">
        <f t="shared" si="2"/>
        <v>0.23206420741191089</v>
      </c>
      <c r="H25" s="146">
        <f t="shared" si="1"/>
        <v>23.206420741191089</v>
      </c>
      <c r="I25" s="94">
        <v>24.7</v>
      </c>
      <c r="J25" s="31">
        <f t="shared" si="4"/>
        <v>12.20864573869966</v>
      </c>
    </row>
    <row r="26" spans="2:26" x14ac:dyDescent="0.25">
      <c r="B26" s="75">
        <v>14</v>
      </c>
      <c r="C26" s="171"/>
      <c r="D26" s="48">
        <v>54.301228570926213</v>
      </c>
      <c r="E26" s="48">
        <v>20.524975895899484</v>
      </c>
      <c r="F26" s="60">
        <f t="shared" si="0"/>
        <v>12.311694979988527</v>
      </c>
      <c r="G26" s="37">
        <f t="shared" si="2"/>
        <v>0.22672958428385201</v>
      </c>
      <c r="H26" s="146">
        <f t="shared" si="1"/>
        <v>22.672958428385201</v>
      </c>
      <c r="I26" s="94">
        <v>22.2</v>
      </c>
      <c r="J26" s="31">
        <f t="shared" si="4"/>
        <v>12.054872742745619</v>
      </c>
    </row>
    <row r="27" spans="2:26" x14ac:dyDescent="0.25">
      <c r="B27" s="75">
        <v>15</v>
      </c>
      <c r="C27" s="171"/>
      <c r="D27" s="48">
        <v>59.000130386011627</v>
      </c>
      <c r="E27" s="48">
        <v>20.509706308333676</v>
      </c>
      <c r="F27" s="60">
        <f t="shared" si="0"/>
        <v>12.803190542333322</v>
      </c>
      <c r="G27" s="37">
        <f t="shared" si="2"/>
        <v>0.21700274996966512</v>
      </c>
      <c r="H27" s="146">
        <f t="shared" si="1"/>
        <v>21.700274996966513</v>
      </c>
      <c r="I27" s="94">
        <v>21.35</v>
      </c>
      <c r="J27" s="31">
        <f t="shared" si="4"/>
        <v>12.596527837413484</v>
      </c>
    </row>
    <row r="28" spans="2:26" x14ac:dyDescent="0.25">
      <c r="B28" s="75">
        <v>16</v>
      </c>
      <c r="C28" s="171"/>
      <c r="D28" s="48">
        <v>63.337294009498862</v>
      </c>
      <c r="E28" s="48">
        <v>20.794939878529743</v>
      </c>
      <c r="F28" s="60">
        <f t="shared" si="0"/>
        <v>13.422479679772673</v>
      </c>
      <c r="G28" s="37">
        <f t="shared" si="2"/>
        <v>0.21192063680143436</v>
      </c>
      <c r="H28" s="146">
        <f t="shared" si="1"/>
        <v>21.192063680143434</v>
      </c>
      <c r="I28" s="94">
        <v>21.2</v>
      </c>
      <c r="J28" s="31">
        <f t="shared" si="4"/>
        <v>13.427506330013758</v>
      </c>
    </row>
    <row r="29" spans="2:26" x14ac:dyDescent="0.25">
      <c r="B29" s="75">
        <v>17</v>
      </c>
      <c r="C29" s="171"/>
      <c r="D29" s="48">
        <v>67.181288947144452</v>
      </c>
      <c r="E29" s="48">
        <v>21.598299285605815</v>
      </c>
      <c r="F29" s="60">
        <f t="shared" si="0"/>
        <v>14.314416583687683</v>
      </c>
      <c r="G29" s="37">
        <f t="shared" si="2"/>
        <v>0.21307147880043939</v>
      </c>
      <c r="H29" s="146">
        <f t="shared" si="1"/>
        <v>21.307147880043939</v>
      </c>
      <c r="I29" s="94">
        <v>20.100000000000001</v>
      </c>
      <c r="J29" s="31">
        <f t="shared" si="4"/>
        <v>13.503439078376037</v>
      </c>
    </row>
    <row r="30" spans="2:26" x14ac:dyDescent="0.25">
      <c r="B30" s="75">
        <v>18</v>
      </c>
      <c r="C30" s="171"/>
      <c r="D30" s="48">
        <v>70.468950673819393</v>
      </c>
      <c r="E30" s="48">
        <v>22.530617861242398</v>
      </c>
      <c r="F30" s="60">
        <f t="shared" si="0"/>
        <v>15.219259827352367</v>
      </c>
      <c r="G30" s="37">
        <f t="shared" si="2"/>
        <v>0.21597114306126064</v>
      </c>
      <c r="H30" s="146">
        <f t="shared" si="1"/>
        <v>21.597114306126063</v>
      </c>
      <c r="I30" s="94">
        <v>21.7</v>
      </c>
      <c r="J30" s="31">
        <f t="shared" si="4"/>
        <v>15.291762296218808</v>
      </c>
    </row>
    <row r="31" spans="2:26" x14ac:dyDescent="0.25">
      <c r="B31" s="75">
        <v>19</v>
      </c>
      <c r="C31" s="171"/>
      <c r="D31" s="48">
        <v>73.198958370421622</v>
      </c>
      <c r="E31" s="48">
        <v>23.373352024780143</v>
      </c>
      <c r="F31" s="60">
        <f t="shared" si="0"/>
        <v>15.989084297515131</v>
      </c>
      <c r="G31" s="37">
        <f t="shared" si="2"/>
        <v>0.21843322163961326</v>
      </c>
      <c r="H31" s="146">
        <f t="shared" si="1"/>
        <v>21.843322163961325</v>
      </c>
      <c r="I31" s="94">
        <v>20.8</v>
      </c>
      <c r="J31" s="31">
        <f t="shared" si="4"/>
        <v>15.225383341047699</v>
      </c>
    </row>
    <row r="32" spans="2:26" ht="63" x14ac:dyDescent="0.25">
      <c r="B32" s="75">
        <v>20</v>
      </c>
      <c r="C32" s="33" t="s">
        <v>260</v>
      </c>
      <c r="D32" s="174">
        <v>75.414214512323156</v>
      </c>
      <c r="E32" s="174">
        <v>24.073711863750432</v>
      </c>
      <c r="F32" s="174">
        <f xml:space="preserve"> D32 * (-5.32 * E32+ 0.11149 * (E32^2) + 0.09795 * B32 + 85.24521) * (22 / 23.31) / 100</f>
        <v>16.901012701953192</v>
      </c>
      <c r="G32" s="175">
        <f t="shared" si="2"/>
        <v>0.22410911273486062</v>
      </c>
      <c r="H32" s="176">
        <f t="shared" si="1"/>
        <v>22.410911273486061</v>
      </c>
      <c r="I32" s="177">
        <v>22.9</v>
      </c>
      <c r="J32" s="179">
        <f t="shared" si="4"/>
        <v>17.269855123322003</v>
      </c>
    </row>
    <row r="33" spans="2:10" x14ac:dyDescent="0.25">
      <c r="B33" s="75">
        <v>21</v>
      </c>
      <c r="C33" s="171"/>
      <c r="D33" s="48">
        <v>77.181939133707928</v>
      </c>
      <c r="E33" s="48">
        <v>24.636401626116061</v>
      </c>
      <c r="F33" s="174">
        <f xml:space="preserve"> D33 * (-5.3 * E33+ 0.11149 * (E33^2) + 0.09795 * B33 + 85.24521) * (22 / 23.31) / 100</f>
        <v>17.772822409548208</v>
      </c>
      <c r="G33" s="37">
        <f t="shared" si="2"/>
        <v>0.23027177872220916</v>
      </c>
      <c r="H33" s="146">
        <f t="shared" si="1"/>
        <v>23.027177872220918</v>
      </c>
      <c r="I33" s="94">
        <v>25.25</v>
      </c>
      <c r="J33" s="31">
        <f t="shared" si="4"/>
        <v>19.488439631261251</v>
      </c>
    </row>
    <row r="34" spans="2:10" x14ac:dyDescent="0.25">
      <c r="B34" s="75">
        <v>22</v>
      </c>
      <c r="C34" s="171"/>
      <c r="D34" s="48">
        <v>78.577305924346987</v>
      </c>
      <c r="E34" s="48">
        <v>25.081436972797931</v>
      </c>
      <c r="F34" s="174">
        <f t="shared" ref="F34:F72" si="5" xml:space="preserve"> D34 * (-5.3 * E34+ 0.11149 * (E34^2) + 0.09795 * B34 + 85.24521) * (22 / 23.31) / 100</f>
        <v>18.246991564773133</v>
      </c>
      <c r="G34" s="37">
        <f t="shared" si="2"/>
        <v>0.23221706763961916</v>
      </c>
      <c r="H34" s="146">
        <f t="shared" si="1"/>
        <v>23.221706763961915</v>
      </c>
      <c r="I34" s="94">
        <v>22.4</v>
      </c>
      <c r="J34" s="31">
        <f t="shared" si="4"/>
        <v>17.601316527053722</v>
      </c>
    </row>
    <row r="35" spans="2:10" x14ac:dyDescent="0.25">
      <c r="B35" s="75">
        <v>23</v>
      </c>
      <c r="C35" s="171"/>
      <c r="D35" s="48">
        <v>79.672650885769443</v>
      </c>
      <c r="E35" s="48">
        <v>25.430982504507636</v>
      </c>
      <c r="F35" s="174">
        <f t="shared" si="5"/>
        <v>18.66216891499036</v>
      </c>
      <c r="G35" s="37">
        <f t="shared" si="2"/>
        <v>0.23423557152312177</v>
      </c>
      <c r="H35" s="146">
        <f t="shared" si="1"/>
        <v>23.423557152312178</v>
      </c>
      <c r="I35" s="94">
        <v>22.4</v>
      </c>
      <c r="J35" s="31">
        <f t="shared" si="4"/>
        <v>17.846673798412354</v>
      </c>
    </row>
    <row r="36" spans="2:10" x14ac:dyDescent="0.25">
      <c r="B36" s="75">
        <v>24</v>
      </c>
      <c r="C36" s="171"/>
      <c r="D36" s="48">
        <v>80.531777651930497</v>
      </c>
      <c r="E36" s="48">
        <v>25.705191479932186</v>
      </c>
      <c r="F36" s="174">
        <f t="shared" si="5"/>
        <v>19.021465154081717</v>
      </c>
      <c r="G36" s="37">
        <f t="shared" si="2"/>
        <v>0.23619825252455157</v>
      </c>
      <c r="H36" s="146">
        <f t="shared" si="1"/>
        <v>23.619825252455158</v>
      </c>
      <c r="I36" s="94">
        <v>26</v>
      </c>
      <c r="J36" s="31">
        <f t="shared" si="4"/>
        <v>20.938262189501931</v>
      </c>
    </row>
    <row r="37" spans="2:10" x14ac:dyDescent="0.25">
      <c r="B37" s="167">
        <v>25</v>
      </c>
      <c r="C37" s="172"/>
      <c r="D37" s="107">
        <v>81.207903119037354</v>
      </c>
      <c r="E37" s="107">
        <v>25.921001910244403</v>
      </c>
      <c r="F37" s="221">
        <f t="shared" si="5"/>
        <v>19.331630444138099</v>
      </c>
      <c r="G37" s="109">
        <f t="shared" si="2"/>
        <v>0.2380510972657566</v>
      </c>
      <c r="H37" s="147">
        <f t="shared" si="1"/>
        <v>23.805109726575662</v>
      </c>
      <c r="I37" s="154">
        <v>25.1</v>
      </c>
      <c r="J37" s="106">
        <f t="shared" si="4"/>
        <v>20.383183682878375</v>
      </c>
    </row>
    <row r="38" spans="2:10" s="30" customFormat="1" x14ac:dyDescent="0.25">
      <c r="B38" s="75">
        <v>26</v>
      </c>
      <c r="C38" s="171"/>
      <c r="D38" s="48">
        <v>81.795109593252207</v>
      </c>
      <c r="E38" s="48">
        <v>26.108433221468907</v>
      </c>
      <c r="F38" s="174">
        <f t="shared" si="5"/>
        <v>19.619488437154917</v>
      </c>
      <c r="G38" s="37">
        <f>F38/D38</f>
        <v>0.23986138700367304</v>
      </c>
      <c r="H38" s="146">
        <f t="shared" ref="H38:H72" si="6">G38*100</f>
        <v>23.986138700367306</v>
      </c>
      <c r="I38" s="94">
        <v>25.4</v>
      </c>
      <c r="J38" s="31">
        <f t="shared" si="4"/>
        <v>20.775957836686061</v>
      </c>
    </row>
    <row r="39" spans="2:10" x14ac:dyDescent="0.25">
      <c r="B39" s="75">
        <v>27</v>
      </c>
      <c r="C39" s="171"/>
      <c r="D39" s="48">
        <v>82.419966322202043</v>
      </c>
      <c r="E39" s="48">
        <v>26.307882955880157</v>
      </c>
      <c r="F39" s="174">
        <f t="shared" si="5"/>
        <v>19.929945084984261</v>
      </c>
      <c r="G39" s="37">
        <f t="shared" ref="G39:G72" si="7">F39/D39</f>
        <v>0.24180967275663146</v>
      </c>
      <c r="H39" s="146">
        <f t="shared" si="6"/>
        <v>24.180967275663146</v>
      </c>
      <c r="I39" s="94">
        <v>25</v>
      </c>
      <c r="J39" s="31">
        <f t="shared" si="4"/>
        <v>20.604991580550511</v>
      </c>
    </row>
    <row r="40" spans="2:10" x14ac:dyDescent="0.25">
      <c r="B40" s="75">
        <v>28</v>
      </c>
      <c r="C40" s="171"/>
      <c r="D40" s="48">
        <v>83.014032621830779</v>
      </c>
      <c r="E40" s="48">
        <v>26.497504760634829</v>
      </c>
      <c r="F40" s="174">
        <f t="shared" si="5"/>
        <v>20.237587541934758</v>
      </c>
      <c r="G40" s="37">
        <f t="shared" si="7"/>
        <v>0.24378513972603638</v>
      </c>
      <c r="H40" s="146">
        <f t="shared" si="6"/>
        <v>24.378513972603638</v>
      </c>
      <c r="I40" s="94">
        <v>24.5</v>
      </c>
      <c r="J40" s="31">
        <f t="shared" si="4"/>
        <v>20.338437992348542</v>
      </c>
    </row>
    <row r="41" spans="2:10" x14ac:dyDescent="0.25">
      <c r="B41" s="75">
        <v>29</v>
      </c>
      <c r="C41" s="171"/>
      <c r="D41" s="48">
        <v>83.57754952483802</v>
      </c>
      <c r="E41" s="48">
        <v>26.67737544589496</v>
      </c>
      <c r="F41" s="174">
        <f t="shared" si="5"/>
        <v>20.541396960438096</v>
      </c>
      <c r="G41" s="37">
        <f t="shared" si="7"/>
        <v>0.24577649233821453</v>
      </c>
      <c r="H41" s="146">
        <f t="shared" si="6"/>
        <v>24.577649233821454</v>
      </c>
      <c r="I41" s="94">
        <v>26.6</v>
      </c>
      <c r="J41" s="31">
        <f t="shared" si="4"/>
        <v>22.231628173606914</v>
      </c>
    </row>
    <row r="42" spans="2:10" x14ac:dyDescent="0.25">
      <c r="B42" s="75">
        <v>30</v>
      </c>
      <c r="C42" s="171"/>
      <c r="D42" s="48">
        <v>84.110758063923285</v>
      </c>
      <c r="E42" s="48">
        <v>26.847571919333657</v>
      </c>
      <c r="F42" s="174">
        <f t="shared" si="5"/>
        <v>20.840387931020924</v>
      </c>
      <c r="G42" s="37">
        <f t="shared" si="7"/>
        <v>0.24777315542896963</v>
      </c>
      <c r="H42" s="146">
        <f t="shared" si="6"/>
        <v>24.777315542896964</v>
      </c>
      <c r="I42" s="94">
        <v>25.3</v>
      </c>
      <c r="J42" s="31">
        <f t="shared" si="4"/>
        <v>21.28002179017259</v>
      </c>
    </row>
    <row r="43" spans="2:10" x14ac:dyDescent="0.25">
      <c r="B43" s="75">
        <v>31</v>
      </c>
      <c r="C43" s="171"/>
      <c r="D43" s="48">
        <v>84.613899271786181</v>
      </c>
      <c r="E43" s="48">
        <v>27.008171110559029</v>
      </c>
      <c r="F43" s="174">
        <f t="shared" si="5"/>
        <v>21.133612398330193</v>
      </c>
      <c r="G43" s="37">
        <f t="shared" si="7"/>
        <v>0.249765258192953</v>
      </c>
      <c r="H43" s="146">
        <f t="shared" si="6"/>
        <v>24.976525819295301</v>
      </c>
      <c r="I43" s="94">
        <v>27.6</v>
      </c>
      <c r="J43" s="31">
        <f t="shared" si="4"/>
        <v>23.35343619901299</v>
      </c>
    </row>
    <row r="44" spans="2:10" x14ac:dyDescent="0.25">
      <c r="B44" s="75">
        <v>32</v>
      </c>
      <c r="C44" s="171"/>
      <c r="D44" s="48">
        <v>85.0872141811262</v>
      </c>
      <c r="E44" s="48">
        <v>27.159249954111157</v>
      </c>
      <c r="F44" s="174">
        <f t="shared" si="5"/>
        <v>21.420163186179792</v>
      </c>
      <c r="G44" s="37">
        <f t="shared" si="7"/>
        <v>0.25174361850162852</v>
      </c>
      <c r="H44" s="146">
        <f t="shared" si="6"/>
        <v>25.174361850162853</v>
      </c>
      <c r="I44" s="94">
        <v>28.3</v>
      </c>
      <c r="J44" s="31">
        <f t="shared" si="4"/>
        <v>24.079681613258717</v>
      </c>
    </row>
    <row r="45" spans="2:10" x14ac:dyDescent="0.25">
      <c r="B45" s="75">
        <v>33</v>
      </c>
      <c r="C45" s="171"/>
      <c r="D45" s="48">
        <v>85.530943824642932</v>
      </c>
      <c r="E45" s="48">
        <v>27.300885385638637</v>
      </c>
      <c r="F45" s="174">
        <f t="shared" si="5"/>
        <v>21.699177133152116</v>
      </c>
      <c r="G45" s="37">
        <f t="shared" si="7"/>
        <v>0.25369972740672847</v>
      </c>
      <c r="H45" s="146">
        <f t="shared" si="6"/>
        <v>25.369972740672846</v>
      </c>
      <c r="I45" s="94">
        <v>26.8</v>
      </c>
      <c r="J45" s="31">
        <f t="shared" si="4"/>
        <v>22.922292945004308</v>
      </c>
    </row>
    <row r="46" spans="2:10" x14ac:dyDescent="0.25">
      <c r="B46" s="75">
        <v>34</v>
      </c>
      <c r="C46" s="171"/>
      <c r="D46" s="48">
        <v>85.945329235035928</v>
      </c>
      <c r="E46" s="48">
        <v>27.433154341039103</v>
      </c>
      <c r="F46" s="174">
        <f t="shared" si="5"/>
        <v>21.969837850950501</v>
      </c>
      <c r="G46" s="37">
        <f t="shared" si="7"/>
        <v>0.2556257337832667</v>
      </c>
      <c r="H46" s="146">
        <f t="shared" si="6"/>
        <v>25.562573378326668</v>
      </c>
      <c r="I46" s="94">
        <v>26.85</v>
      </c>
      <c r="J46" s="31">
        <f t="shared" si="4"/>
        <v>23.076320899607147</v>
      </c>
    </row>
    <row r="47" spans="2:10" x14ac:dyDescent="0.25">
      <c r="B47" s="75">
        <v>35</v>
      </c>
      <c r="C47" s="171"/>
      <c r="D47" s="48">
        <v>86.330611445004706</v>
      </c>
      <c r="E47" s="48">
        <v>27.556133756266053</v>
      </c>
      <c r="F47" s="174">
        <f t="shared" si="5"/>
        <v>22.23137812018059</v>
      </c>
      <c r="G47" s="37">
        <f t="shared" si="7"/>
        <v>0.25751442910076772</v>
      </c>
      <c r="H47" s="146">
        <f t="shared" si="6"/>
        <v>25.751442910076772</v>
      </c>
      <c r="I47" s="94">
        <v>28.7</v>
      </c>
      <c r="J47" s="31">
        <f t="shared" si="4"/>
        <v>24.776885484716349</v>
      </c>
    </row>
    <row r="48" spans="2:10" x14ac:dyDescent="0.25">
      <c r="B48" s="75">
        <v>36</v>
      </c>
      <c r="C48" s="171"/>
      <c r="D48" s="48">
        <v>86.687031487248888</v>
      </c>
      <c r="E48" s="48">
        <v>27.669900567285634</v>
      </c>
      <c r="F48" s="174">
        <f t="shared" si="5"/>
        <v>22.483081938627635</v>
      </c>
      <c r="G48" s="37">
        <f t="shared" si="7"/>
        <v>0.2593592323199434</v>
      </c>
      <c r="H48" s="146">
        <f t="shared" si="6"/>
        <v>25.935923231994341</v>
      </c>
      <c r="I48" s="94">
        <v>28.5</v>
      </c>
      <c r="J48" s="31">
        <f t="shared" si="4"/>
        <v>24.70580397386593</v>
      </c>
    </row>
    <row r="49" spans="2:10" x14ac:dyDescent="0.25">
      <c r="B49" s="75">
        <v>37</v>
      </c>
      <c r="C49" s="171"/>
      <c r="D49" s="48">
        <v>87.014830394467978</v>
      </c>
      <c r="E49" s="48">
        <v>27.774531710066725</v>
      </c>
      <c r="F49" s="174">
        <f t="shared" si="5"/>
        <v>22.724286236961245</v>
      </c>
      <c r="G49" s="37">
        <f t="shared" si="7"/>
        <v>0.2611541749141415</v>
      </c>
      <c r="H49" s="146">
        <f t="shared" si="6"/>
        <v>26.115417491414149</v>
      </c>
      <c r="I49" s="94">
        <v>29.9</v>
      </c>
      <c r="J49" s="31">
        <f t="shared" si="4"/>
        <v>26.017434287945925</v>
      </c>
    </row>
    <row r="50" spans="2:10" x14ac:dyDescent="0.25">
      <c r="B50" s="75">
        <v>38</v>
      </c>
      <c r="C50" s="171"/>
      <c r="D50" s="48">
        <v>87.314249199361527</v>
      </c>
      <c r="E50" s="48">
        <v>27.870104120578862</v>
      </c>
      <c r="F50" s="174">
        <f t="shared" si="5"/>
        <v>22.954382276538777</v>
      </c>
      <c r="G50" s="37">
        <f t="shared" si="7"/>
        <v>0.2628938860154183</v>
      </c>
      <c r="H50" s="146">
        <f t="shared" si="6"/>
        <v>26.28938860154183</v>
      </c>
      <c r="I50" s="94">
        <v>26.55</v>
      </c>
      <c r="J50" s="31">
        <f t="shared" si="4"/>
        <v>23.181933162430486</v>
      </c>
    </row>
    <row r="51" spans="2:10" x14ac:dyDescent="0.25">
      <c r="B51" s="75">
        <v>39</v>
      </c>
      <c r="C51" s="171"/>
      <c r="D51" s="48">
        <v>87.58552893462911</v>
      </c>
      <c r="E51" s="48">
        <v>27.95669473479176</v>
      </c>
      <c r="F51" s="174">
        <f t="shared" si="5"/>
        <v>23.172816743684315</v>
      </c>
      <c r="G51" s="37">
        <f t="shared" si="7"/>
        <v>0.2645735776851873</v>
      </c>
      <c r="H51" s="146">
        <f t="shared" si="6"/>
        <v>26.45735776851873</v>
      </c>
      <c r="I51" s="94">
        <v>26.2</v>
      </c>
      <c r="J51" s="31">
        <f t="shared" si="4"/>
        <v>22.947408580872828</v>
      </c>
    </row>
    <row r="52" spans="2:10" x14ac:dyDescent="0.25">
      <c r="B52" s="75">
        <v>40</v>
      </c>
      <c r="C52" s="171"/>
      <c r="D52" s="48">
        <v>87.828910632970278</v>
      </c>
      <c r="E52" s="48">
        <v>28.034380488675115</v>
      </c>
      <c r="F52" s="174">
        <f t="shared" si="5"/>
        <v>23.379092554524572</v>
      </c>
      <c r="G52" s="37">
        <f t="shared" si="7"/>
        <v>0.26618903030943714</v>
      </c>
      <c r="H52" s="146">
        <f t="shared" si="6"/>
        <v>26.618903030943713</v>
      </c>
      <c r="I52" s="94">
        <v>27.3</v>
      </c>
      <c r="J52" s="31">
        <f t="shared" ref="J52:J72" si="8">I52/100*D52</f>
        <v>23.977292602800887</v>
      </c>
    </row>
    <row r="53" spans="2:10" x14ac:dyDescent="0.25">
      <c r="B53" s="75">
        <v>41</v>
      </c>
      <c r="C53" s="171"/>
      <c r="D53" s="48">
        <v>88.044635327084606</v>
      </c>
      <c r="E53" s="48">
        <v>28.103238318198667</v>
      </c>
      <c r="F53" s="174">
        <f t="shared" si="5"/>
        <v>23.572769384166669</v>
      </c>
      <c r="G53" s="37">
        <f t="shared" si="7"/>
        <v>0.26773657811852086</v>
      </c>
      <c r="H53" s="146">
        <f t="shared" si="6"/>
        <v>26.773657811852086</v>
      </c>
      <c r="I53" s="94">
        <v>28.3</v>
      </c>
      <c r="J53" s="31">
        <f t="shared" si="8"/>
        <v>24.916631797564946</v>
      </c>
    </row>
    <row r="54" spans="2:10" x14ac:dyDescent="0.25">
      <c r="B54" s="75">
        <v>42</v>
      </c>
      <c r="C54" s="171"/>
      <c r="D54" s="48">
        <v>88.232944049671602</v>
      </c>
      <c r="E54" s="48">
        <v>28.16334515933212</v>
      </c>
      <c r="F54" s="174">
        <f t="shared" si="5"/>
        <v>23.753463933707497</v>
      </c>
      <c r="G54" s="37">
        <f t="shared" si="7"/>
        <v>0.26921309483150935</v>
      </c>
      <c r="H54" s="146">
        <f t="shared" si="6"/>
        <v>26.921309483150935</v>
      </c>
      <c r="I54" s="94">
        <v>27.3</v>
      </c>
      <c r="J54" s="31">
        <f t="shared" si="8"/>
        <v>24.08759372556035</v>
      </c>
    </row>
    <row r="55" spans="2:10" x14ac:dyDescent="0.25">
      <c r="B55" s="75">
        <v>43</v>
      </c>
      <c r="C55" s="171"/>
      <c r="D55" s="48">
        <v>88.394077833430842</v>
      </c>
      <c r="E55" s="48">
        <v>28.21477794804521</v>
      </c>
      <c r="F55" s="174">
        <f t="shared" si="5"/>
        <v>23.920849948273897</v>
      </c>
      <c r="G55" s="37">
        <f t="shared" si="7"/>
        <v>0.27061597942511684</v>
      </c>
      <c r="H55" s="146">
        <f t="shared" si="6"/>
        <v>27.061597942511682</v>
      </c>
      <c r="I55" s="94">
        <v>29.9</v>
      </c>
      <c r="J55" s="31">
        <f t="shared" si="8"/>
        <v>26.429829272195821</v>
      </c>
    </row>
    <row r="56" spans="2:10" x14ac:dyDescent="0.25">
      <c r="B56" s="75">
        <v>44</v>
      </c>
      <c r="C56" s="171"/>
      <c r="D56" s="48">
        <v>88.528277711061889</v>
      </c>
      <c r="E56" s="48">
        <v>28.257613620307666</v>
      </c>
      <c r="F56" s="174">
        <f t="shared" si="5"/>
        <v>24.07465799900185</v>
      </c>
      <c r="G56" s="37">
        <f t="shared" si="7"/>
        <v>0.27194314202719033</v>
      </c>
      <c r="H56" s="146">
        <f t="shared" si="6"/>
        <v>27.194314202719035</v>
      </c>
      <c r="I56" s="94">
        <v>28.6</v>
      </c>
      <c r="J56" s="31">
        <f t="shared" si="8"/>
        <v>25.319087425363705</v>
      </c>
    </row>
    <row r="57" spans="2:10" x14ac:dyDescent="0.25">
      <c r="B57" s="75">
        <v>45</v>
      </c>
      <c r="C57" s="171"/>
      <c r="D57" s="48">
        <v>88.635784715264279</v>
      </c>
      <c r="E57" s="48">
        <v>28.291929112089207</v>
      </c>
      <c r="F57" s="174">
        <f t="shared" si="5"/>
        <v>24.214675041577408</v>
      </c>
      <c r="G57" s="37">
        <f t="shared" si="7"/>
        <v>0.27319298993476743</v>
      </c>
      <c r="H57" s="146">
        <f t="shared" si="6"/>
        <v>27.319298993476743</v>
      </c>
      <c r="I57" s="94">
        <v>29.1</v>
      </c>
      <c r="J57" s="31">
        <f t="shared" si="8"/>
        <v>25.793013352141909</v>
      </c>
    </row>
    <row r="58" spans="2:10" x14ac:dyDescent="0.25">
      <c r="B58" s="75">
        <v>46</v>
      </c>
      <c r="C58" s="171"/>
      <c r="D58" s="48">
        <v>88.716839878737574</v>
      </c>
      <c r="E58" s="48">
        <v>28.31780135935956</v>
      </c>
      <c r="F58" s="174">
        <f t="shared" si="5"/>
        <v>24.34074376367716</v>
      </c>
      <c r="G58" s="37">
        <f t="shared" si="7"/>
        <v>0.2743644137567034</v>
      </c>
      <c r="H58" s="146">
        <f t="shared" si="6"/>
        <v>27.436441375670341</v>
      </c>
      <c r="I58" s="94">
        <v>29.2</v>
      </c>
      <c r="J58" s="31">
        <f t="shared" si="8"/>
        <v>25.90531724459137</v>
      </c>
    </row>
    <row r="59" spans="2:10" x14ac:dyDescent="0.25">
      <c r="B59" s="75">
        <v>47</v>
      </c>
      <c r="C59" s="171"/>
      <c r="D59" s="48">
        <v>88.771684234181336</v>
      </c>
      <c r="E59" s="48">
        <v>28.335307298088459</v>
      </c>
      <c r="F59" s="174">
        <f t="shared" si="5"/>
        <v>24.452761733364081</v>
      </c>
      <c r="G59" s="37">
        <f t="shared" si="7"/>
        <v>0.2754567736808648</v>
      </c>
      <c r="H59" s="146">
        <f t="shared" si="6"/>
        <v>27.54567736808648</v>
      </c>
      <c r="I59" s="94">
        <v>28</v>
      </c>
      <c r="J59" s="31">
        <f t="shared" si="8"/>
        <v>24.856071585570778</v>
      </c>
    </row>
    <row r="60" spans="2:10" x14ac:dyDescent="0.25">
      <c r="B60" s="75">
        <v>48</v>
      </c>
      <c r="C60" s="171"/>
      <c r="D60" s="48">
        <v>88.80055881429513</v>
      </c>
      <c r="E60" s="48">
        <v>28.344523864245627</v>
      </c>
      <c r="F60" s="174">
        <f t="shared" si="5"/>
        <v>24.550680360215335</v>
      </c>
      <c r="G60" s="37">
        <f t="shared" si="7"/>
        <v>0.27646988586588894</v>
      </c>
      <c r="H60" s="146">
        <f t="shared" si="6"/>
        <v>27.646988586588893</v>
      </c>
      <c r="I60" s="94">
        <v>27.2</v>
      </c>
      <c r="J60" s="31">
        <f t="shared" si="8"/>
        <v>24.153751997488278</v>
      </c>
    </row>
    <row r="61" spans="2:10" x14ac:dyDescent="0.25">
      <c r="B61" s="75">
        <v>49</v>
      </c>
      <c r="C61" s="171"/>
      <c r="D61" s="48">
        <v>88.803704651778489</v>
      </c>
      <c r="E61" s="48">
        <v>28.345527993800786</v>
      </c>
      <c r="F61" s="174">
        <f t="shared" si="5"/>
        <v>24.634503680682545</v>
      </c>
      <c r="G61" s="37">
        <f t="shared" si="7"/>
        <v>0.27740400895751577</v>
      </c>
      <c r="H61" s="146">
        <f t="shared" si="6"/>
        <v>27.740400895751577</v>
      </c>
      <c r="I61" s="94">
        <v>27</v>
      </c>
      <c r="J61" s="31">
        <f t="shared" si="8"/>
        <v>23.977000255980194</v>
      </c>
    </row>
    <row r="62" spans="2:10" x14ac:dyDescent="0.25">
      <c r="B62" s="75">
        <v>50</v>
      </c>
      <c r="C62" s="171"/>
      <c r="D62" s="48">
        <v>88.781362779330948</v>
      </c>
      <c r="E62" s="48">
        <v>28.338396622723657</v>
      </c>
      <c r="F62" s="174">
        <f t="shared" si="5"/>
        <v>24.704286978909231</v>
      </c>
      <c r="G62" s="37">
        <f t="shared" si="7"/>
        <v>0.27825983072948052</v>
      </c>
      <c r="H62" s="146">
        <f t="shared" si="6"/>
        <v>27.825983072948052</v>
      </c>
      <c r="I62" s="94">
        <v>27.6</v>
      </c>
      <c r="J62" s="31">
        <f t="shared" si="8"/>
        <v>24.503656127095343</v>
      </c>
    </row>
    <row r="63" spans="2:10" x14ac:dyDescent="0.25">
      <c r="B63" s="75">
        <v>51</v>
      </c>
      <c r="C63" s="171"/>
      <c r="D63" s="48">
        <v>88.733774229652099</v>
      </c>
      <c r="E63" s="48">
        <v>28.323206686983973</v>
      </c>
      <c r="F63" s="174">
        <f t="shared" si="5"/>
        <v>24.760135253960499</v>
      </c>
      <c r="G63" s="37">
        <f t="shared" si="7"/>
        <v>0.27903845484898154</v>
      </c>
      <c r="H63" s="146">
        <f t="shared" si="6"/>
        <v>27.903845484898156</v>
      </c>
      <c r="I63" s="94">
        <v>29.4</v>
      </c>
      <c r="J63" s="31">
        <f t="shared" si="8"/>
        <v>26.087729623517717</v>
      </c>
    </row>
    <row r="64" spans="2:10" x14ac:dyDescent="0.25">
      <c r="B64" s="75">
        <v>52</v>
      </c>
      <c r="C64" s="171"/>
      <c r="D64" s="48">
        <v>88.661180035441461</v>
      </c>
      <c r="E64" s="48">
        <v>28.300035122551456</v>
      </c>
      <c r="F64" s="174">
        <f t="shared" si="5"/>
        <v>24.802201544148478</v>
      </c>
      <c r="G64" s="37">
        <f t="shared" si="7"/>
        <v>0.27974138776670954</v>
      </c>
      <c r="H64" s="146">
        <f t="shared" si="6"/>
        <v>27.974138776670955</v>
      </c>
      <c r="I64" s="94">
        <v>27.95</v>
      </c>
      <c r="J64" s="31">
        <f t="shared" si="8"/>
        <v>24.780799819905887</v>
      </c>
    </row>
    <row r="65" spans="2:10" x14ac:dyDescent="0.25">
      <c r="B65" s="75">
        <v>53</v>
      </c>
      <c r="C65" s="171"/>
      <c r="D65" s="48">
        <v>88.563821229398641</v>
      </c>
      <c r="E65" s="48">
        <v>28.268958865395842</v>
      </c>
      <c r="F65" s="174">
        <f t="shared" si="5"/>
        <v>24.830685118872466</v>
      </c>
      <c r="G65" s="37">
        <f t="shared" si="7"/>
        <v>0.28037052573144794</v>
      </c>
      <c r="H65" s="146">
        <f t="shared" si="6"/>
        <v>28.037052573144795</v>
      </c>
      <c r="I65" s="94">
        <v>27.6</v>
      </c>
      <c r="J65" s="31">
        <f t="shared" si="8"/>
        <v>24.443614659314026</v>
      </c>
    </row>
    <row r="66" spans="2:10" x14ac:dyDescent="0.25">
      <c r="B66" s="75">
        <v>54</v>
      </c>
      <c r="C66" s="171"/>
      <c r="D66" s="48">
        <v>88.441938844223145</v>
      </c>
      <c r="E66" s="48">
        <v>28.230054851486845</v>
      </c>
      <c r="F66" s="174">
        <f t="shared" si="5"/>
        <v>24.845829548127071</v>
      </c>
      <c r="G66" s="37">
        <f t="shared" si="7"/>
        <v>0.28092814192923987</v>
      </c>
      <c r="H66" s="146">
        <f t="shared" si="6"/>
        <v>28.092814192923989</v>
      </c>
      <c r="I66" s="94">
        <v>28.6</v>
      </c>
      <c r="J66" s="31">
        <f t="shared" si="8"/>
        <v>25.294394509447823</v>
      </c>
    </row>
    <row r="67" spans="2:10" x14ac:dyDescent="0.25">
      <c r="B67" s="75">
        <v>55</v>
      </c>
      <c r="C67" s="171"/>
      <c r="D67" s="48">
        <v>88.295773912614564</v>
      </c>
      <c r="E67" s="48">
        <v>28.183400016794202</v>
      </c>
      <c r="F67" s="174">
        <f t="shared" si="5"/>
        <v>24.84792065957069</v>
      </c>
      <c r="G67" s="37">
        <f t="shared" si="7"/>
        <v>0.2814168737471221</v>
      </c>
      <c r="H67" s="146">
        <f t="shared" si="6"/>
        <v>28.141687374712209</v>
      </c>
      <c r="I67" s="94">
        <v>29</v>
      </c>
      <c r="J67" s="31">
        <f t="shared" si="8"/>
        <v>25.605774434658223</v>
      </c>
    </row>
    <row r="68" spans="2:10" x14ac:dyDescent="0.25">
      <c r="B68" s="75">
        <v>56</v>
      </c>
      <c r="C68" s="171"/>
      <c r="D68" s="48">
        <v>88.12556746727239</v>
      </c>
      <c r="E68" s="48">
        <v>28.12907129728762</v>
      </c>
      <c r="F68" s="174">
        <f t="shared" si="5"/>
        <v>24.837284392787382</v>
      </c>
      <c r="G68" s="37">
        <f t="shared" si="7"/>
        <v>0.28183971016142756</v>
      </c>
      <c r="H68" s="146">
        <f t="shared" si="6"/>
        <v>28.183971016142756</v>
      </c>
      <c r="I68" s="94">
        <v>27.4</v>
      </c>
      <c r="J68" s="31">
        <f t="shared" si="8"/>
        <v>24.146405486032631</v>
      </c>
    </row>
    <row r="69" spans="2:10" x14ac:dyDescent="0.25">
      <c r="B69" s="75">
        <v>57</v>
      </c>
      <c r="C69" s="171"/>
      <c r="D69" s="48">
        <v>87.931560540896228</v>
      </c>
      <c r="E69" s="48">
        <v>28.067145628936839</v>
      </c>
      <c r="F69" s="174">
        <f t="shared" si="5"/>
        <v>24.814284560118743</v>
      </c>
      <c r="G69" s="37">
        <f t="shared" si="7"/>
        <v>0.28219997925065632</v>
      </c>
      <c r="H69" s="146">
        <f t="shared" si="6"/>
        <v>28.219997925065631</v>
      </c>
      <c r="I69" s="94">
        <v>29.1</v>
      </c>
      <c r="J69" s="31">
        <f t="shared" si="8"/>
        <v>25.588084117400804</v>
      </c>
    </row>
    <row r="70" spans="2:10" x14ac:dyDescent="0.25">
      <c r="B70" s="75">
        <v>58</v>
      </c>
      <c r="C70" s="171"/>
      <c r="D70" s="48">
        <v>87.713994166185643</v>
      </c>
      <c r="E70" s="48">
        <v>27.997699947711588</v>
      </c>
      <c r="F70" s="174">
        <f t="shared" si="5"/>
        <v>24.779320523187565</v>
      </c>
      <c r="G70" s="37">
        <f t="shared" si="7"/>
        <v>0.28250133583291054</v>
      </c>
      <c r="H70" s="146">
        <f t="shared" si="6"/>
        <v>28.250133583291053</v>
      </c>
      <c r="I70" s="94">
        <v>31.7</v>
      </c>
      <c r="J70" s="31">
        <f t="shared" si="8"/>
        <v>27.805336150680848</v>
      </c>
    </row>
    <row r="71" spans="2:10" x14ac:dyDescent="0.25">
      <c r="B71" s="75">
        <v>59</v>
      </c>
      <c r="C71" s="171"/>
      <c r="D71" s="48">
        <v>87.473109375840153</v>
      </c>
      <c r="E71" s="48">
        <v>27.920811189581585</v>
      </c>
      <c r="F71" s="174">
        <f t="shared" si="5"/>
        <v>24.732824793984935</v>
      </c>
      <c r="G71" s="37">
        <f t="shared" si="7"/>
        <v>0.28274774922790247</v>
      </c>
      <c r="H71" s="146">
        <f t="shared" si="6"/>
        <v>28.274774922790247</v>
      </c>
      <c r="I71" s="94">
        <v>29.1</v>
      </c>
      <c r="J71" s="31">
        <f t="shared" si="8"/>
        <v>25.454674828369487</v>
      </c>
    </row>
    <row r="72" spans="2:10" x14ac:dyDescent="0.25">
      <c r="B72" s="75">
        <v>60</v>
      </c>
      <c r="C72" s="171"/>
      <c r="D72" s="48">
        <v>87.209147202559322</v>
      </c>
      <c r="E72" s="48">
        <v>27.836556290516555</v>
      </c>
      <c r="F72" s="174">
        <f t="shared" si="5"/>
        <v>24.675260569141724</v>
      </c>
      <c r="G72" s="37">
        <f t="shared" si="7"/>
        <v>0.28294349114352513</v>
      </c>
      <c r="H72" s="146">
        <f t="shared" si="6"/>
        <v>28.294349114352514</v>
      </c>
      <c r="I72" s="94">
        <v>27.5</v>
      </c>
      <c r="J72" s="31">
        <f t="shared" si="8"/>
        <v>23.982515480703814</v>
      </c>
    </row>
    <row r="73" spans="2:10" x14ac:dyDescent="0.25">
      <c r="C73" s="29"/>
      <c r="D73" s="29"/>
    </row>
    <row r="74" spans="2:10" s="30" customFormat="1" x14ac:dyDescent="0.25"/>
    <row r="75" spans="2:10" s="30" customFormat="1" x14ac:dyDescent="0.25"/>
    <row r="76" spans="2:10" s="30" customFormat="1" x14ac:dyDescent="0.25"/>
    <row r="77" spans="2:10" s="30" customFormat="1" x14ac:dyDescent="0.25"/>
    <row r="78" spans="2:10" s="30" customFormat="1" x14ac:dyDescent="0.25"/>
    <row r="79" spans="2:10" s="30" customFormat="1" x14ac:dyDescent="0.25"/>
    <row r="80" spans="2:10" s="30" customFormat="1" x14ac:dyDescent="0.25"/>
    <row r="81" spans="4:9" s="30" customFormat="1" ht="47.25" customHeight="1" x14ac:dyDescent="0.25">
      <c r="D81" s="271"/>
      <c r="E81" s="271"/>
      <c r="F81" s="271"/>
      <c r="G81" s="271"/>
      <c r="H81" s="271"/>
      <c r="I81" s="271"/>
    </row>
    <row r="82" spans="4:9" s="30" customFormat="1" ht="14.25" customHeight="1" x14ac:dyDescent="0.25"/>
    <row r="83" spans="4:9" s="30" customFormat="1" ht="91.5" customHeight="1" x14ac:dyDescent="0.25">
      <c r="D83" s="144" t="s">
        <v>265</v>
      </c>
      <c r="E83" s="1" t="s">
        <v>261</v>
      </c>
      <c r="F83" s="1" t="s">
        <v>262</v>
      </c>
      <c r="G83" s="1" t="s">
        <v>263</v>
      </c>
      <c r="H83" s="1" t="s">
        <v>264</v>
      </c>
    </row>
    <row r="84" spans="4:9" s="30" customFormat="1" x14ac:dyDescent="0.25">
      <c r="D84" s="30" t="e">
        <f>#REF!*12</f>
        <v>#REF!</v>
      </c>
      <c r="E84" s="145">
        <v>21.47</v>
      </c>
      <c r="F84" s="145">
        <v>35.313899999999997</v>
      </c>
      <c r="G84" s="145">
        <v>30.624409999999997</v>
      </c>
      <c r="H84" s="30">
        <v>21.46</v>
      </c>
    </row>
    <row r="85" spans="4:9" s="30" customFormat="1" x14ac:dyDescent="0.25">
      <c r="D85" s="30" t="e">
        <f>#REF!*12</f>
        <v>#REF!</v>
      </c>
      <c r="E85" s="145">
        <v>21.47</v>
      </c>
      <c r="F85" s="145">
        <v>35.313899999999997</v>
      </c>
      <c r="G85" s="145">
        <v>30.624409999999997</v>
      </c>
      <c r="H85" s="30" t="e">
        <f t="shared" ref="H85:H87" si="9">12.205+5.912*D85-0.641*D85^2</f>
        <v>#REF!</v>
      </c>
    </row>
    <row r="86" spans="4:9" s="30" customFormat="1" x14ac:dyDescent="0.25">
      <c r="D86" s="30" t="e">
        <f>#REF!*12</f>
        <v>#REF!</v>
      </c>
      <c r="E86" s="145">
        <v>25.650000000000002</v>
      </c>
      <c r="F86" s="145">
        <v>39.493900000000004</v>
      </c>
      <c r="G86" s="145">
        <v>34.804410000000004</v>
      </c>
      <c r="H86" s="30" t="e">
        <f t="shared" si="9"/>
        <v>#REF!</v>
      </c>
    </row>
    <row r="87" spans="4:9" s="30" customFormat="1" x14ac:dyDescent="0.25">
      <c r="D87" s="30" t="e">
        <f>#REF!*12</f>
        <v>#REF!</v>
      </c>
      <c r="E87" s="145">
        <v>25.83</v>
      </c>
      <c r="F87" s="145">
        <v>39.673899999999996</v>
      </c>
      <c r="G87" s="145">
        <v>34.984409999999997</v>
      </c>
      <c r="H87" s="30" t="e">
        <f t="shared" si="9"/>
        <v>#REF!</v>
      </c>
    </row>
    <row r="88" spans="4:9" s="30" customFormat="1" x14ac:dyDescent="0.25">
      <c r="D88" s="30" t="e">
        <f>#REF!*12</f>
        <v>#REF!</v>
      </c>
      <c r="E88" s="145">
        <v>25.25</v>
      </c>
      <c r="F88" s="145">
        <v>39.093899999999998</v>
      </c>
      <c r="G88" s="145">
        <v>34.404409999999999</v>
      </c>
    </row>
    <row r="89" spans="4:9" s="30" customFormat="1" x14ac:dyDescent="0.25">
      <c r="D89" s="30" t="e">
        <f>#REF!*12</f>
        <v>#REF!</v>
      </c>
      <c r="E89" s="145">
        <v>24.7</v>
      </c>
      <c r="F89" s="145">
        <v>38.543900000000001</v>
      </c>
      <c r="G89" s="145">
        <v>33.854410000000001</v>
      </c>
    </row>
    <row r="90" spans="4:9" s="30" customFormat="1" x14ac:dyDescent="0.25">
      <c r="D90" s="30" t="e">
        <f>#REF!*12</f>
        <v>#REF!</v>
      </c>
      <c r="E90" s="145">
        <v>24.16</v>
      </c>
      <c r="F90" s="145">
        <v>38.003900000000002</v>
      </c>
      <c r="G90" s="145">
        <v>33.314410000000002</v>
      </c>
    </row>
    <row r="91" spans="4:9" s="30" customFormat="1" x14ac:dyDescent="0.25">
      <c r="D91" s="30" t="e">
        <f>#REF!*12</f>
        <v>#REF!</v>
      </c>
      <c r="E91" s="145">
        <v>22.650000000000002</v>
      </c>
      <c r="F91" s="145">
        <v>36.493900000000004</v>
      </c>
      <c r="G91" s="145">
        <v>31.804410000000004</v>
      </c>
    </row>
    <row r="92" spans="4:9" s="30" customFormat="1" x14ac:dyDescent="0.25">
      <c r="D92" s="30" t="e">
        <f>#REF!*12</f>
        <v>#REF!</v>
      </c>
      <c r="E92" s="145">
        <v>21.26</v>
      </c>
      <c r="F92" s="145">
        <v>35.103900000000003</v>
      </c>
      <c r="G92" s="145">
        <v>30.414410000000004</v>
      </c>
    </row>
    <row r="93" spans="4:9" s="30" customFormat="1" x14ac:dyDescent="0.25">
      <c r="D93" s="30" t="e">
        <f>#REF!*12</f>
        <v>#REF!</v>
      </c>
      <c r="E93" s="145">
        <v>17.119999999999997</v>
      </c>
      <c r="F93" s="145">
        <v>30.963899999999995</v>
      </c>
      <c r="G93" s="145">
        <v>26.274409999999996</v>
      </c>
    </row>
    <row r="94" spans="4:9" s="30" customFormat="1" x14ac:dyDescent="0.25">
      <c r="D94" s="30" t="e">
        <f>#REF!*12</f>
        <v>#REF!</v>
      </c>
      <c r="E94" s="145">
        <v>15.85</v>
      </c>
      <c r="F94" s="145">
        <v>29.693899999999999</v>
      </c>
      <c r="G94" s="145">
        <v>25.00441</v>
      </c>
    </row>
    <row r="95" spans="4:9" s="30" customFormat="1" x14ac:dyDescent="0.25">
      <c r="D95" s="30" t="e">
        <f>#REF!*12</f>
        <v>#REF!</v>
      </c>
      <c r="E95" s="145">
        <v>15.15</v>
      </c>
      <c r="F95" s="145">
        <v>28.9939</v>
      </c>
      <c r="G95" s="145">
        <v>24.304410000000001</v>
      </c>
    </row>
    <row r="96" spans="4:9" s="30" customFormat="1" x14ac:dyDescent="0.25">
      <c r="D96" s="30" t="e">
        <f>#REF!*12</f>
        <v>#REF!</v>
      </c>
      <c r="E96" s="145">
        <v>15.160000000000002</v>
      </c>
      <c r="F96" s="145">
        <v>29.003900000000002</v>
      </c>
      <c r="G96" s="145">
        <v>24.314410000000002</v>
      </c>
    </row>
    <row r="97" spans="4:7" s="30" customFormat="1" x14ac:dyDescent="0.25">
      <c r="D97" s="30" t="e">
        <f>#REF!*12</f>
        <v>#REF!</v>
      </c>
      <c r="E97" s="145">
        <v>15.97</v>
      </c>
      <c r="F97" s="145">
        <v>29.8139</v>
      </c>
      <c r="G97" s="145">
        <v>25.124410000000001</v>
      </c>
    </row>
    <row r="98" spans="4:7" s="30" customFormat="1" x14ac:dyDescent="0.25">
      <c r="D98" s="30" t="e">
        <f>#REF!*12</f>
        <v>#REF!</v>
      </c>
      <c r="E98" s="145">
        <v>19.52</v>
      </c>
      <c r="F98" s="145">
        <v>33.363900000000001</v>
      </c>
      <c r="G98" s="145">
        <v>28.674410000000002</v>
      </c>
    </row>
    <row r="99" spans="4:7" s="30" customFormat="1" x14ac:dyDescent="0.25">
      <c r="D99" s="30" t="e">
        <f>#REF!*12</f>
        <v>#REF!</v>
      </c>
      <c r="E99" s="145">
        <v>21.279999999999998</v>
      </c>
      <c r="F99" s="145">
        <v>35.123899999999999</v>
      </c>
      <c r="G99" s="145">
        <v>30.43441</v>
      </c>
    </row>
    <row r="100" spans="4:7" s="30" customFormat="1" x14ac:dyDescent="0.25">
      <c r="D100" s="30" t="e">
        <f>#REF!*12</f>
        <v>#REF!</v>
      </c>
      <c r="E100" s="145">
        <v>22.78</v>
      </c>
      <c r="F100" s="145">
        <v>36.623899999999999</v>
      </c>
      <c r="G100" s="145">
        <v>31.93441</v>
      </c>
    </row>
    <row r="101" spans="4:7" s="30" customFormat="1" x14ac:dyDescent="0.25">
      <c r="D101" s="30" t="e">
        <f>#REF!*12</f>
        <v>#REF!</v>
      </c>
      <c r="E101" s="145">
        <v>24.099999999999998</v>
      </c>
      <c r="F101" s="145">
        <v>37.943899999999999</v>
      </c>
      <c r="G101" s="145">
        <v>33.25441</v>
      </c>
    </row>
    <row r="102" spans="4:7" s="30" customFormat="1" x14ac:dyDescent="0.25">
      <c r="D102" s="30" t="e">
        <f>#REF!*12</f>
        <v>#REF!</v>
      </c>
      <c r="E102" s="145">
        <v>25.240000000000002</v>
      </c>
      <c r="F102" s="145">
        <v>39.0839</v>
      </c>
      <c r="G102" s="145">
        <v>34.394410000000001</v>
      </c>
    </row>
    <row r="103" spans="4:7" s="30" customFormat="1" x14ac:dyDescent="0.25">
      <c r="D103" s="30" t="e">
        <f>#REF!*12</f>
        <v>#REF!</v>
      </c>
      <c r="E103" s="145">
        <v>26.25</v>
      </c>
      <c r="F103" s="145">
        <v>40.093899999999998</v>
      </c>
      <c r="G103" s="145">
        <v>35.404409999999999</v>
      </c>
    </row>
    <row r="104" spans="4:7" s="30" customFormat="1" x14ac:dyDescent="0.25">
      <c r="D104" s="30" t="e">
        <f>#REF!*12</f>
        <v>#REF!</v>
      </c>
      <c r="E104" s="145">
        <v>28.74</v>
      </c>
      <c r="F104" s="145">
        <v>42.5839</v>
      </c>
      <c r="G104" s="145">
        <v>37.894410000000001</v>
      </c>
    </row>
    <row r="105" spans="4:7" s="30" customFormat="1" x14ac:dyDescent="0.25">
      <c r="D105" s="30" t="e">
        <f>#REF!*12</f>
        <v>#REF!</v>
      </c>
      <c r="E105" s="145">
        <v>35.33</v>
      </c>
      <c r="F105" s="145">
        <v>49.173899999999996</v>
      </c>
      <c r="G105" s="145">
        <v>44.484409999999997</v>
      </c>
    </row>
    <row r="106" spans="4:7" s="30" customFormat="1" x14ac:dyDescent="0.25">
      <c r="D106" s="30" t="e">
        <f>#REF!*12</f>
        <v>#REF!</v>
      </c>
      <c r="E106" s="145">
        <v>41.88</v>
      </c>
      <c r="F106" s="145">
        <v>55.7239</v>
      </c>
      <c r="G106" s="145">
        <v>51.034410000000001</v>
      </c>
    </row>
    <row r="107" spans="4:7" s="30" customFormat="1" x14ac:dyDescent="0.25">
      <c r="D107" s="30" t="e">
        <f>#REF!*12</f>
        <v>#REF!</v>
      </c>
      <c r="E107" s="145">
        <v>44.56</v>
      </c>
      <c r="F107" s="145">
        <v>58.4039</v>
      </c>
      <c r="G107" s="145">
        <v>53.714410000000001</v>
      </c>
    </row>
    <row r="108" spans="4:7" s="30" customFormat="1" x14ac:dyDescent="0.25">
      <c r="D108" s="30" t="e">
        <f>#REF!*12</f>
        <v>#REF!</v>
      </c>
      <c r="E108" s="145">
        <v>44.56</v>
      </c>
      <c r="F108" s="145">
        <v>58.4039</v>
      </c>
      <c r="G108" s="145">
        <v>53.714410000000001</v>
      </c>
    </row>
    <row r="109" spans="4:7" s="30" customFormat="1" x14ac:dyDescent="0.25"/>
    <row r="110" spans="4:7" s="30" customFormat="1" x14ac:dyDescent="0.25"/>
    <row r="111" spans="4:7" s="30" customFormat="1" x14ac:dyDescent="0.25"/>
    <row r="112" spans="4:7" s="30" customFormat="1" x14ac:dyDescent="0.25"/>
    <row r="113" s="30" customFormat="1" x14ac:dyDescent="0.25"/>
    <row r="114" s="30" customFormat="1" x14ac:dyDescent="0.25"/>
    <row r="115" s="30" customFormat="1" x14ac:dyDescent="0.25"/>
    <row r="116" s="30" customFormat="1" x14ac:dyDescent="0.25"/>
    <row r="117" s="30" customFormat="1" x14ac:dyDescent="0.25"/>
    <row r="118" s="30" customFormat="1" x14ac:dyDescent="0.25"/>
    <row r="119" s="30" customFormat="1" x14ac:dyDescent="0.25"/>
    <row r="120" s="30" customFormat="1" x14ac:dyDescent="0.25"/>
    <row r="121" s="30" customFormat="1" x14ac:dyDescent="0.25"/>
    <row r="122" s="30" customFormat="1" x14ac:dyDescent="0.25"/>
    <row r="123" s="30" customFormat="1" x14ac:dyDescent="0.25"/>
    <row r="124" s="30" customFormat="1" x14ac:dyDescent="0.25"/>
    <row r="125" s="30" customFormat="1" x14ac:dyDescent="0.25"/>
    <row r="126" s="30" customFormat="1" x14ac:dyDescent="0.25"/>
    <row r="127" s="30" customFormat="1" x14ac:dyDescent="0.25"/>
    <row r="128" s="30" customFormat="1" x14ac:dyDescent="0.25"/>
    <row r="129" s="30" customFormat="1" x14ac:dyDescent="0.25"/>
    <row r="130" s="30" customFormat="1" x14ac:dyDescent="0.25"/>
    <row r="131" s="30" customFormat="1" x14ac:dyDescent="0.25"/>
    <row r="132" s="30" customFormat="1" x14ac:dyDescent="0.25"/>
    <row r="133" s="30" customFormat="1" x14ac:dyDescent="0.25"/>
    <row r="134" s="30" customFormat="1" x14ac:dyDescent="0.25"/>
    <row r="135" s="30" customFormat="1" x14ac:dyDescent="0.25"/>
    <row r="136" s="30" customFormat="1" x14ac:dyDescent="0.25"/>
    <row r="137" s="30" customFormat="1" x14ac:dyDescent="0.25"/>
    <row r="138" s="30" customFormat="1" x14ac:dyDescent="0.25"/>
    <row r="139" s="30" customFormat="1" x14ac:dyDescent="0.25"/>
    <row r="140" s="30" customFormat="1" x14ac:dyDescent="0.25"/>
    <row r="141" s="30" customFormat="1" x14ac:dyDescent="0.25"/>
    <row r="142" s="30" customFormat="1" x14ac:dyDescent="0.25"/>
    <row r="143" s="30" customFormat="1" x14ac:dyDescent="0.25"/>
    <row r="144" s="30" customFormat="1" x14ac:dyDescent="0.25"/>
    <row r="145" s="30" customFormat="1" x14ac:dyDescent="0.25"/>
    <row r="146" s="30" customFormat="1" x14ac:dyDescent="0.25"/>
    <row r="147" s="30" customFormat="1" x14ac:dyDescent="0.25"/>
    <row r="148" s="30" customFormat="1" x14ac:dyDescent="0.25"/>
    <row r="149" s="30" customFormat="1" x14ac:dyDescent="0.25"/>
    <row r="150" s="30" customFormat="1" x14ac:dyDescent="0.25"/>
    <row r="151" s="30" customFormat="1" x14ac:dyDescent="0.25"/>
    <row r="152" s="30" customFormat="1" x14ac:dyDescent="0.25"/>
    <row r="153" s="30" customFormat="1" x14ac:dyDescent="0.25"/>
    <row r="154" s="30" customFormat="1" x14ac:dyDescent="0.25"/>
    <row r="155" s="30" customFormat="1" x14ac:dyDescent="0.25"/>
    <row r="156" s="30" customFormat="1" x14ac:dyDescent="0.25"/>
    <row r="157" s="30" customFormat="1" x14ac:dyDescent="0.25"/>
    <row r="158" s="30" customFormat="1" x14ac:dyDescent="0.25"/>
    <row r="159" s="30" customFormat="1" x14ac:dyDescent="0.25"/>
    <row r="160" s="30" customFormat="1" x14ac:dyDescent="0.25"/>
    <row r="161" s="30" customFormat="1" x14ac:dyDescent="0.25"/>
    <row r="162" s="30" customFormat="1" x14ac:dyDescent="0.25"/>
    <row r="163" s="30" customFormat="1" x14ac:dyDescent="0.25"/>
    <row r="164" s="30" customFormat="1" x14ac:dyDescent="0.25"/>
    <row r="165" s="30" customFormat="1" x14ac:dyDescent="0.25"/>
    <row r="166" s="30" customFormat="1" x14ac:dyDescent="0.25"/>
    <row r="167" s="30" customFormat="1" x14ac:dyDescent="0.25"/>
    <row r="168" s="30" customFormat="1" x14ac:dyDescent="0.25"/>
    <row r="169" s="30" customFormat="1" x14ac:dyDescent="0.25"/>
    <row r="170" s="30" customFormat="1" x14ac:dyDescent="0.25"/>
    <row r="171" s="30" customFormat="1" x14ac:dyDescent="0.25"/>
    <row r="172" s="30" customFormat="1" x14ac:dyDescent="0.25"/>
    <row r="173" s="30" customFormat="1" x14ac:dyDescent="0.25"/>
    <row r="174" s="30" customFormat="1" x14ac:dyDescent="0.25"/>
    <row r="175" s="30" customFormat="1" x14ac:dyDescent="0.25"/>
    <row r="176" s="30" customFormat="1" x14ac:dyDescent="0.25"/>
    <row r="177" s="30" customFormat="1" x14ac:dyDescent="0.25"/>
    <row r="178" s="30" customFormat="1" x14ac:dyDescent="0.25"/>
    <row r="179" s="30" customFormat="1" x14ac:dyDescent="0.25"/>
    <row r="180" s="30" customFormat="1" x14ac:dyDescent="0.25"/>
    <row r="181" s="30" customFormat="1" x14ac:dyDescent="0.25"/>
    <row r="182" s="30" customFormat="1" x14ac:dyDescent="0.25"/>
    <row r="183" s="30" customFormat="1" x14ac:dyDescent="0.25"/>
    <row r="184" s="30" customFormat="1" x14ac:dyDescent="0.25"/>
    <row r="185" s="30" customFormat="1" x14ac:dyDescent="0.25"/>
    <row r="186" s="30" customFormat="1" x14ac:dyDescent="0.25"/>
    <row r="187" s="30" customFormat="1" x14ac:dyDescent="0.25"/>
    <row r="188" s="30" customFormat="1" x14ac:dyDescent="0.25"/>
    <row r="189" s="30" customFormat="1" x14ac:dyDescent="0.25"/>
    <row r="190" s="30" customFormat="1" x14ac:dyDescent="0.25"/>
    <row r="191" s="30" customFormat="1" x14ac:dyDescent="0.25"/>
    <row r="192" s="30" customFormat="1" x14ac:dyDescent="0.25"/>
    <row r="193" s="30" customFormat="1" x14ac:dyDescent="0.25"/>
    <row r="194" s="30" customFormat="1" x14ac:dyDescent="0.25"/>
    <row r="195" s="30" customFormat="1" x14ac:dyDescent="0.25"/>
    <row r="196" s="30" customFormat="1" x14ac:dyDescent="0.25"/>
    <row r="197" s="30" customFormat="1" x14ac:dyDescent="0.25"/>
    <row r="198" s="30" customFormat="1" x14ac:dyDescent="0.25"/>
    <row r="199" s="30" customFormat="1" x14ac:dyDescent="0.25"/>
    <row r="200" s="30" customFormat="1" x14ac:dyDescent="0.25"/>
    <row r="201" s="30" customFormat="1" x14ac:dyDescent="0.25"/>
    <row r="202" s="30" customFormat="1" x14ac:dyDescent="0.25"/>
    <row r="203" s="30" customFormat="1" x14ac:dyDescent="0.25"/>
    <row r="204" s="30" customFormat="1" x14ac:dyDescent="0.25"/>
    <row r="205" s="30" customFormat="1" x14ac:dyDescent="0.25"/>
    <row r="206" s="30" customFormat="1" x14ac:dyDescent="0.25"/>
    <row r="207" s="30" customFormat="1" x14ac:dyDescent="0.25"/>
    <row r="208" s="30" customFormat="1" x14ac:dyDescent="0.25"/>
    <row r="209" s="30" customFormat="1" x14ac:dyDescent="0.25"/>
    <row r="210" s="30" customFormat="1" x14ac:dyDescent="0.25"/>
    <row r="211" s="30" customFormat="1" x14ac:dyDescent="0.25"/>
    <row r="212" s="30" customFormat="1" x14ac:dyDescent="0.25"/>
    <row r="213" s="30" customFormat="1" x14ac:dyDescent="0.25"/>
    <row r="214" s="30" customFormat="1" x14ac:dyDescent="0.25"/>
    <row r="215" s="30" customFormat="1" x14ac:dyDescent="0.25"/>
    <row r="216" s="30" customFormat="1" x14ac:dyDescent="0.25"/>
    <row r="217" s="30" customFormat="1" x14ac:dyDescent="0.25"/>
    <row r="218" s="30" customFormat="1" x14ac:dyDescent="0.25"/>
    <row r="219" s="30" customFormat="1" x14ac:dyDescent="0.25"/>
    <row r="220" s="30" customFormat="1" x14ac:dyDescent="0.25"/>
    <row r="221" s="30" customFormat="1" x14ac:dyDescent="0.25"/>
    <row r="222" s="30" customFormat="1" x14ac:dyDescent="0.25"/>
    <row r="223" s="30" customFormat="1" x14ac:dyDescent="0.25"/>
    <row r="224" s="30" customFormat="1" x14ac:dyDescent="0.25"/>
    <row r="225" s="30" customFormat="1" x14ac:dyDescent="0.25"/>
    <row r="226" s="30" customFormat="1" x14ac:dyDescent="0.25"/>
    <row r="227" s="30" customFormat="1" x14ac:dyDescent="0.25"/>
    <row r="228" s="30" customFormat="1" x14ac:dyDescent="0.25"/>
    <row r="229" s="30" customFormat="1" x14ac:dyDescent="0.25"/>
    <row r="230" s="30" customFormat="1" x14ac:dyDescent="0.25"/>
    <row r="231" s="30" customFormat="1" x14ac:dyDescent="0.25"/>
    <row r="232" s="30" customFormat="1" x14ac:dyDescent="0.25"/>
    <row r="233" s="30" customFormat="1" x14ac:dyDescent="0.25"/>
    <row r="234" s="30" customFormat="1" x14ac:dyDescent="0.25"/>
    <row r="235" s="30" customFormat="1" x14ac:dyDescent="0.25"/>
    <row r="236" s="30" customFormat="1" x14ac:dyDescent="0.25"/>
    <row r="237" s="30" customFormat="1" x14ac:dyDescent="0.25"/>
    <row r="238" s="30" customFormat="1" x14ac:dyDescent="0.25"/>
    <row r="239" s="30" customFormat="1" x14ac:dyDescent="0.25"/>
    <row r="240" s="30" customFormat="1" x14ac:dyDescent="0.25"/>
    <row r="241" s="30" customFormat="1" x14ac:dyDescent="0.25"/>
    <row r="242" s="30" customFormat="1" x14ac:dyDescent="0.25"/>
    <row r="243" s="30" customFormat="1" x14ac:dyDescent="0.25"/>
    <row r="244" s="30" customFormat="1" x14ac:dyDescent="0.25"/>
    <row r="245" s="30" customFormat="1" x14ac:dyDescent="0.25"/>
    <row r="246" s="30" customFormat="1" x14ac:dyDescent="0.25"/>
    <row r="247" s="30" customFormat="1" x14ac:dyDescent="0.25"/>
    <row r="248" s="30" customFormat="1" x14ac:dyDescent="0.25"/>
    <row r="249" s="30" customFormat="1" x14ac:dyDescent="0.25"/>
    <row r="250" s="30" customFormat="1" x14ac:dyDescent="0.25"/>
    <row r="251" s="30" customFormat="1" x14ac:dyDescent="0.25"/>
    <row r="252" s="30" customFormat="1" x14ac:dyDescent="0.25"/>
    <row r="253" s="30" customFormat="1" x14ac:dyDescent="0.25"/>
    <row r="254" s="30" customFormat="1" x14ac:dyDescent="0.25"/>
    <row r="255" s="30" customFormat="1" x14ac:dyDescent="0.25"/>
    <row r="256" s="30" customFormat="1" x14ac:dyDescent="0.25"/>
    <row r="257" s="30" customFormat="1" x14ac:dyDescent="0.25"/>
    <row r="258" s="30" customFormat="1" x14ac:dyDescent="0.25"/>
    <row r="259" s="30" customFormat="1" x14ac:dyDescent="0.25"/>
    <row r="260" s="30" customFormat="1" x14ac:dyDescent="0.25"/>
    <row r="261" s="30" customFormat="1" x14ac:dyDescent="0.25"/>
    <row r="262" s="30" customFormat="1" x14ac:dyDescent="0.25"/>
    <row r="263" s="30" customFormat="1" x14ac:dyDescent="0.25"/>
    <row r="264" s="30" customFormat="1" x14ac:dyDescent="0.25"/>
    <row r="265" s="30" customFormat="1" x14ac:dyDescent="0.25"/>
    <row r="266" s="30" customFormat="1" x14ac:dyDescent="0.25"/>
    <row r="267" s="30" customFormat="1" x14ac:dyDescent="0.25"/>
    <row r="268" s="30" customFormat="1" x14ac:dyDescent="0.25"/>
    <row r="269" s="30" customFormat="1" x14ac:dyDescent="0.25"/>
    <row r="270" s="30" customFormat="1" x14ac:dyDescent="0.25"/>
    <row r="271" s="30" customFormat="1" x14ac:dyDescent="0.25"/>
    <row r="272" s="30" customFormat="1" x14ac:dyDescent="0.25"/>
    <row r="273" s="30" customFormat="1" x14ac:dyDescent="0.25"/>
    <row r="274" s="30" customFormat="1" x14ac:dyDescent="0.25"/>
    <row r="275" s="30" customFormat="1" x14ac:dyDescent="0.25"/>
    <row r="276" s="30" customFormat="1" x14ac:dyDescent="0.25"/>
    <row r="277" s="30" customFormat="1" x14ac:dyDescent="0.25"/>
    <row r="278" s="30" customFormat="1" x14ac:dyDescent="0.25"/>
    <row r="279" s="30" customFormat="1" x14ac:dyDescent="0.25"/>
    <row r="280" s="30" customFormat="1" x14ac:dyDescent="0.25"/>
    <row r="281" s="30" customFormat="1" x14ac:dyDescent="0.25"/>
    <row r="282" s="30" customFormat="1" x14ac:dyDescent="0.25"/>
    <row r="283" s="30" customFormat="1" x14ac:dyDescent="0.25"/>
    <row r="284" s="30" customFormat="1" x14ac:dyDescent="0.25"/>
    <row r="285" s="30" customFormat="1" x14ac:dyDescent="0.25"/>
    <row r="286" s="30" customFormat="1" x14ac:dyDescent="0.25"/>
    <row r="287" s="30" customFormat="1" x14ac:dyDescent="0.25"/>
    <row r="288" s="30" customFormat="1" x14ac:dyDescent="0.25"/>
    <row r="289" s="30" customFormat="1" x14ac:dyDescent="0.25"/>
    <row r="290" s="30" customFormat="1" x14ac:dyDescent="0.25"/>
    <row r="291" s="30" customFormat="1" x14ac:dyDescent="0.25"/>
    <row r="292" s="30" customFormat="1" x14ac:dyDescent="0.25"/>
    <row r="293" s="30" customFormat="1" x14ac:dyDescent="0.25"/>
    <row r="294" s="30" customFormat="1" x14ac:dyDescent="0.25"/>
    <row r="295" s="30" customFormat="1" x14ac:dyDescent="0.25"/>
    <row r="296" s="30" customFormat="1" x14ac:dyDescent="0.25"/>
    <row r="297" s="30" customFormat="1" x14ac:dyDescent="0.25"/>
    <row r="298" s="30" customFormat="1" x14ac:dyDescent="0.25"/>
    <row r="299" s="30" customFormat="1" x14ac:dyDescent="0.25"/>
    <row r="300" s="30" customFormat="1" x14ac:dyDescent="0.25"/>
    <row r="301" s="30" customFormat="1" x14ac:dyDescent="0.25"/>
    <row r="302" s="30" customFormat="1" x14ac:dyDescent="0.25"/>
    <row r="303" s="30" customFormat="1" x14ac:dyDescent="0.25"/>
    <row r="304" s="30" customFormat="1" x14ac:dyDescent="0.25"/>
    <row r="305" s="30" customFormat="1" x14ac:dyDescent="0.25"/>
    <row r="306" s="30" customFormat="1" x14ac:dyDescent="0.25"/>
    <row r="307" s="30" customFormat="1" x14ac:dyDescent="0.25"/>
    <row r="308" s="30" customFormat="1" x14ac:dyDescent="0.25"/>
    <row r="309" s="30" customFormat="1" x14ac:dyDescent="0.25"/>
    <row r="310" s="30" customFormat="1" x14ac:dyDescent="0.25"/>
    <row r="311" s="30" customFormat="1" x14ac:dyDescent="0.25"/>
    <row r="312" s="30" customFormat="1" x14ac:dyDescent="0.25"/>
    <row r="313" s="30" customFormat="1" x14ac:dyDescent="0.25"/>
    <row r="314" s="30" customFormat="1" x14ac:dyDescent="0.25"/>
    <row r="315" s="30" customFormat="1" x14ac:dyDescent="0.25"/>
    <row r="316" s="30" customFormat="1" x14ac:dyDescent="0.25"/>
    <row r="317" s="30" customFormat="1" x14ac:dyDescent="0.25"/>
    <row r="318" s="30" customFormat="1" x14ac:dyDescent="0.25"/>
    <row r="319" s="30" customFormat="1" x14ac:dyDescent="0.25"/>
    <row r="320" s="30" customFormat="1" x14ac:dyDescent="0.25"/>
    <row r="321" s="30" customFormat="1" x14ac:dyDescent="0.25"/>
    <row r="322" s="30" customFormat="1" x14ac:dyDescent="0.25"/>
    <row r="323" s="30" customFormat="1" x14ac:dyDescent="0.25"/>
    <row r="324" s="30" customFormat="1" x14ac:dyDescent="0.25"/>
    <row r="325" s="30" customFormat="1" x14ac:dyDescent="0.25"/>
    <row r="326" s="30" customFormat="1" x14ac:dyDescent="0.25"/>
    <row r="327" s="30" customFormat="1" x14ac:dyDescent="0.25"/>
    <row r="328" s="30" customFormat="1" x14ac:dyDescent="0.25"/>
    <row r="329" s="30" customFormat="1" x14ac:dyDescent="0.25"/>
  </sheetData>
  <mergeCells count="2">
    <mergeCell ref="B1:D1"/>
    <mergeCell ref="D81:I81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095326BAEF13489E46B5D57A1537E0" ma:contentTypeVersion="4" ma:contentTypeDescription="Create a new document." ma:contentTypeScope="" ma:versionID="893e936f232ea56af5237727ce13769d">
  <xsd:schema xmlns:xsd="http://www.w3.org/2001/XMLSchema" xmlns:xs="http://www.w3.org/2001/XMLSchema" xmlns:p="http://schemas.microsoft.com/office/2006/metadata/properties" xmlns:ns2="c4715ecd-bd88-4d1d-a8be-982733e2a50d" targetNamespace="http://schemas.microsoft.com/office/2006/metadata/properties" ma:root="true" ma:fieldsID="de962ebd360b46dfd741093f5507c41f" ns2:_="">
    <xsd:import namespace="c4715ecd-bd88-4d1d-a8be-982733e2a50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715ecd-bd88-4d1d-a8be-982733e2a50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0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1" nillable="true" ma:displayName="Last Shared By Time" ma:description="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BDFF0F1-F953-408D-9C25-A82BCB443E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715ecd-bd88-4d1d-a8be-982733e2a5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DEF8573-FB2F-4F48-97F5-423C504F36B7}">
  <ds:schemaRefs>
    <ds:schemaRef ds:uri="http://purl.org/dc/dcmitype/"/>
    <ds:schemaRef ds:uri="http://purl.org/dc/terms/"/>
    <ds:schemaRef ds:uri="http://purl.org/dc/elements/1.1/"/>
    <ds:schemaRef ds:uri="http://www.w3.org/XML/1998/namespace"/>
    <ds:schemaRef ds:uri="http://schemas.microsoft.com/office/2006/documentManagement/types"/>
    <ds:schemaRef ds:uri="c4715ecd-bd88-4d1d-a8be-982733e2a50d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8406D7F7-9D87-4456-970E-CED420D63EF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1</vt:i4>
      </vt:variant>
    </vt:vector>
  </HeadingPairs>
  <TitlesOfParts>
    <vt:vector size="21" baseType="lpstr">
      <vt:lpstr>BW</vt:lpstr>
      <vt:lpstr>BH</vt:lpstr>
      <vt:lpstr>BSA</vt:lpstr>
      <vt:lpstr>BMI</vt:lpstr>
      <vt:lpstr>HCT</vt:lpstr>
      <vt:lpstr>Pulmonary parameters</vt:lpstr>
      <vt:lpstr>Drinking Water</vt:lpstr>
      <vt:lpstr>Brain Vol</vt:lpstr>
      <vt:lpstr>Fat Vol </vt:lpstr>
      <vt:lpstr>Liver Vol</vt:lpstr>
      <vt:lpstr>Gut vol</vt:lpstr>
      <vt:lpstr>Rap perf tissue Vol</vt:lpstr>
      <vt:lpstr>Plasma Vol</vt:lpstr>
      <vt:lpstr>QC</vt:lpstr>
      <vt:lpstr>Brain flow</vt:lpstr>
      <vt:lpstr>Fat flow</vt:lpstr>
      <vt:lpstr>GUT flow </vt:lpstr>
      <vt:lpstr>Rap perf tissues flow</vt:lpstr>
      <vt:lpstr>Liver flow</vt:lpstr>
      <vt:lpstr>Mean liver weight-need update</vt:lpstr>
      <vt:lpstr>'Brain Vol'!Print_Area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Pankajini Mallick</dc:creator>
  <cp:lastModifiedBy>Marjory Moreau</cp:lastModifiedBy>
  <cp:lastPrinted>2017-01-19T15:34:14Z</cp:lastPrinted>
  <dcterms:created xsi:type="dcterms:W3CDTF">2016-10-17T13:29:27Z</dcterms:created>
  <dcterms:modified xsi:type="dcterms:W3CDTF">2017-04-11T15:28:54Z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0x010100B3095326BAEF13489E46B5D57A1537E0</vt:lpwstr>
  </property>
</Properties>
</file>