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3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4.xml" ContentType="application/vnd.openxmlformats-officedocument.themeOverrid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5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6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5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7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7.xml" ContentType="application/vnd.openxmlformats-officedocument.themeOverride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srvr\users\mmoreau\My Documents\CAPHRA\CAPHRA_EPA_last submission\CAPHRA model supproting materials\"/>
    </mc:Choice>
  </mc:AlternateContent>
  <bookViews>
    <workbookView xWindow="0" yWindow="0" windowWidth="28800" windowHeight="12210" tabRatio="669" firstSheet="8" activeTab="19"/>
  </bookViews>
  <sheets>
    <sheet name="BW" sheetId="88" r:id="rId1"/>
    <sheet name="BH" sheetId="73" r:id="rId2"/>
    <sheet name="BSA" sheetId="19" r:id="rId3"/>
    <sheet name="BMI " sheetId="59" r:id="rId4"/>
    <sheet name="HCT" sheetId="17" r:id="rId5"/>
    <sheet name="Pulmonary parameters" sheetId="83" r:id="rId6"/>
    <sheet name="Drinking Water" sheetId="84" r:id="rId7"/>
    <sheet name="Brain Vol" sheetId="18" r:id="rId8"/>
    <sheet name="Fat Vol" sheetId="43" r:id="rId9"/>
    <sheet name="Liver Vol" sheetId="42" r:id="rId10"/>
    <sheet name="Gut vol" sheetId="80" r:id="rId11"/>
    <sheet name="Rap perf tissue Vol" sheetId="85" r:id="rId12"/>
    <sheet name="Plasma Vol" sheetId="60" r:id="rId13"/>
    <sheet name="QC" sheetId="22" r:id="rId14"/>
    <sheet name="Brain flow" sheetId="78" r:id="rId15"/>
    <sheet name="Fat flow" sheetId="77" r:id="rId16"/>
    <sheet name="GUT flow " sheetId="81" r:id="rId17"/>
    <sheet name="Rap perf tissues flow" sheetId="86" r:id="rId18"/>
    <sheet name="Liver flow" sheetId="76" r:id="rId19"/>
    <sheet name="Mean liver weight" sheetId="94" r:id="rId20"/>
  </sheets>
  <definedNames>
    <definedName name="_xlnm.Print_Area" localSheetId="7">'Brain Vol'!$B$1:$O$36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76" l="1"/>
  <c r="D11" i="76"/>
  <c r="D12" i="76"/>
  <c r="D13" i="76"/>
  <c r="D14" i="76"/>
  <c r="D15" i="76"/>
  <c r="D16" i="76"/>
  <c r="D17" i="76"/>
  <c r="D18" i="76"/>
  <c r="D19" i="76"/>
  <c r="D20" i="76"/>
  <c r="D21" i="76"/>
  <c r="D22" i="76"/>
  <c r="D23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45" i="76"/>
  <c r="D46" i="76"/>
  <c r="D47" i="76"/>
  <c r="D48" i="76"/>
  <c r="D49" i="76"/>
  <c r="D50" i="76"/>
  <c r="D51" i="76"/>
  <c r="D52" i="76"/>
  <c r="D53" i="76"/>
  <c r="D54" i="76"/>
  <c r="D55" i="76"/>
  <c r="D56" i="76"/>
  <c r="D57" i="76"/>
  <c r="D58" i="76"/>
  <c r="D59" i="76"/>
  <c r="D60" i="76"/>
  <c r="D61" i="76"/>
  <c r="D62" i="76"/>
  <c r="D63" i="76"/>
  <c r="D64" i="76"/>
  <c r="D65" i="76"/>
  <c r="D66" i="76"/>
  <c r="D67" i="76"/>
  <c r="D68" i="76"/>
  <c r="D69" i="76"/>
  <c r="D9" i="76"/>
  <c r="D10" i="81"/>
  <c r="D11" i="81"/>
  <c r="D12" i="81"/>
  <c r="D13" i="81"/>
  <c r="D14" i="81"/>
  <c r="D15" i="81"/>
  <c r="D16" i="81"/>
  <c r="D17" i="81"/>
  <c r="D18" i="81"/>
  <c r="D19" i="81"/>
  <c r="D20" i="81"/>
  <c r="D21" i="81"/>
  <c r="D22" i="81"/>
  <c r="D23" i="81"/>
  <c r="D24" i="81"/>
  <c r="D25" i="81"/>
  <c r="D26" i="81"/>
  <c r="D27" i="81"/>
  <c r="D28" i="81"/>
  <c r="D29" i="81"/>
  <c r="D30" i="81"/>
  <c r="D31" i="81"/>
  <c r="D32" i="81"/>
  <c r="D33" i="81"/>
  <c r="D34" i="81"/>
  <c r="D35" i="81"/>
  <c r="D36" i="81"/>
  <c r="D37" i="81"/>
  <c r="D38" i="81"/>
  <c r="D39" i="81"/>
  <c r="D40" i="81"/>
  <c r="D41" i="81"/>
  <c r="D42" i="81"/>
  <c r="D43" i="81"/>
  <c r="D44" i="81"/>
  <c r="D45" i="81"/>
  <c r="D46" i="81"/>
  <c r="D47" i="81"/>
  <c r="D48" i="81"/>
  <c r="D49" i="81"/>
  <c r="D50" i="81"/>
  <c r="D51" i="81"/>
  <c r="D52" i="81"/>
  <c r="D53" i="81"/>
  <c r="D54" i="81"/>
  <c r="D55" i="81"/>
  <c r="D56" i="81"/>
  <c r="D57" i="81"/>
  <c r="D58" i="81"/>
  <c r="D59" i="81"/>
  <c r="D60" i="81"/>
  <c r="D61" i="81"/>
  <c r="D62" i="81"/>
  <c r="D63" i="81"/>
  <c r="D64" i="81"/>
  <c r="D65" i="81"/>
  <c r="D66" i="81"/>
  <c r="D67" i="81"/>
  <c r="D68" i="81"/>
  <c r="D69" i="81"/>
  <c r="D9" i="81"/>
  <c r="D12" i="77"/>
  <c r="D13" i="77"/>
  <c r="D14" i="77"/>
  <c r="D15" i="77"/>
  <c r="D16" i="77"/>
  <c r="D17" i="77"/>
  <c r="D18" i="77"/>
  <c r="D19" i="77"/>
  <c r="D20" i="77"/>
  <c r="D21" i="77"/>
  <c r="D22" i="77"/>
  <c r="D23" i="77"/>
  <c r="D24" i="77"/>
  <c r="D25" i="77"/>
  <c r="D26" i="77"/>
  <c r="D27" i="77"/>
  <c r="D28" i="77"/>
  <c r="D29" i="77"/>
  <c r="D30" i="77"/>
  <c r="D31" i="77"/>
  <c r="D32" i="77"/>
  <c r="D33" i="77"/>
  <c r="D34" i="77"/>
  <c r="D35" i="77"/>
  <c r="D36" i="77"/>
  <c r="D37" i="77"/>
  <c r="D38" i="77"/>
  <c r="D39" i="77"/>
  <c r="D40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D59" i="77"/>
  <c r="D60" i="77"/>
  <c r="D61" i="77"/>
  <c r="D62" i="77"/>
  <c r="D63" i="77"/>
  <c r="D64" i="77"/>
  <c r="D65" i="77"/>
  <c r="D66" i="77"/>
  <c r="D67" i="77"/>
  <c r="D68" i="77"/>
  <c r="D69" i="77"/>
  <c r="D70" i="77"/>
  <c r="D71" i="77"/>
  <c r="D11" i="77"/>
  <c r="E36" i="42"/>
  <c r="E37" i="42"/>
  <c r="E38" i="42"/>
  <c r="E39" i="42"/>
  <c r="E40" i="42"/>
  <c r="E41" i="42"/>
  <c r="E42" i="42"/>
  <c r="E43" i="42"/>
  <c r="E44" i="42"/>
  <c r="E45" i="42"/>
  <c r="E46" i="42"/>
  <c r="E47" i="42"/>
  <c r="E48" i="42"/>
  <c r="E49" i="42"/>
  <c r="E50" i="42"/>
  <c r="E51" i="42"/>
  <c r="E52" i="42"/>
  <c r="E53" i="42"/>
  <c r="E54" i="42"/>
  <c r="E55" i="42"/>
  <c r="E56" i="42"/>
  <c r="E57" i="42"/>
  <c r="E58" i="42"/>
  <c r="E59" i="42"/>
  <c r="E60" i="42"/>
  <c r="E61" i="42"/>
  <c r="E62" i="42"/>
  <c r="E63" i="42"/>
  <c r="E64" i="42"/>
  <c r="E65" i="42"/>
  <c r="E66" i="42"/>
  <c r="E67" i="42"/>
  <c r="E68" i="42"/>
  <c r="E69" i="42"/>
  <c r="E70" i="42"/>
  <c r="E71" i="42"/>
  <c r="E72" i="42"/>
  <c r="E35" i="42"/>
  <c r="F6" i="88"/>
  <c r="I139" i="83" l="1"/>
  <c r="I140" i="83"/>
  <c r="I141" i="83"/>
  <c r="I142" i="83"/>
  <c r="I143" i="83"/>
  <c r="I144" i="83"/>
  <c r="I145" i="83"/>
  <c r="I146" i="83"/>
  <c r="I147" i="83"/>
  <c r="I148" i="83"/>
  <c r="I149" i="83"/>
  <c r="I150" i="83"/>
  <c r="I151" i="83"/>
  <c r="I152" i="83"/>
  <c r="I153" i="83"/>
  <c r="I154" i="83"/>
  <c r="I155" i="83"/>
  <c r="I156" i="83"/>
  <c r="I157" i="83"/>
  <c r="I158" i="83"/>
  <c r="I159" i="83"/>
  <c r="I160" i="83"/>
  <c r="I161" i="83"/>
  <c r="I162" i="83"/>
  <c r="I163" i="83"/>
  <c r="I164" i="83"/>
  <c r="I165" i="83"/>
  <c r="I166" i="83"/>
  <c r="I167" i="83"/>
  <c r="I168" i="83"/>
  <c r="I169" i="83"/>
  <c r="I170" i="83"/>
  <c r="I171" i="83"/>
  <c r="I172" i="83"/>
  <c r="I173" i="83"/>
  <c r="I174" i="83"/>
  <c r="I175" i="83"/>
  <c r="I176" i="83"/>
  <c r="I177" i="83"/>
  <c r="I178" i="83"/>
  <c r="I179" i="83"/>
  <c r="I180" i="83"/>
  <c r="I181" i="83"/>
  <c r="I182" i="83"/>
  <c r="I183" i="83"/>
  <c r="I184" i="83"/>
  <c r="I185" i="83"/>
  <c r="I186" i="83"/>
  <c r="I187" i="83"/>
  <c r="I188" i="83"/>
  <c r="I189" i="83"/>
  <c r="I190" i="83"/>
  <c r="I191" i="83"/>
  <c r="I192" i="83"/>
  <c r="I193" i="83"/>
  <c r="I194" i="83"/>
  <c r="I195" i="83"/>
  <c r="I196" i="83"/>
  <c r="I197" i="83"/>
  <c r="I198" i="83"/>
  <c r="I199" i="83"/>
  <c r="I138" i="83"/>
  <c r="D9" i="86" l="1"/>
  <c r="D10" i="86"/>
  <c r="D11" i="86"/>
  <c r="D12" i="86"/>
  <c r="D13" i="86"/>
  <c r="D14" i="86"/>
  <c r="D15" i="86"/>
  <c r="D16" i="86"/>
  <c r="D17" i="86"/>
  <c r="D18" i="86"/>
  <c r="D19" i="86"/>
  <c r="D20" i="86"/>
  <c r="D21" i="86"/>
  <c r="D22" i="86"/>
  <c r="D23" i="86"/>
  <c r="D24" i="86"/>
  <c r="D25" i="86"/>
  <c r="D26" i="86"/>
  <c r="D27" i="86"/>
  <c r="D28" i="86"/>
  <c r="D29" i="86"/>
  <c r="D30" i="86"/>
  <c r="D31" i="86"/>
  <c r="D32" i="86"/>
  <c r="D33" i="86"/>
  <c r="D34" i="86"/>
  <c r="D35" i="86"/>
  <c r="D36" i="86"/>
  <c r="D37" i="86"/>
  <c r="D38" i="86"/>
  <c r="D39" i="86"/>
  <c r="D40" i="86"/>
  <c r="D41" i="86"/>
  <c r="D42" i="86"/>
  <c r="D43" i="86"/>
  <c r="D44" i="86"/>
  <c r="D45" i="86"/>
  <c r="D46" i="86"/>
  <c r="D47" i="86"/>
  <c r="D48" i="86"/>
  <c r="D49" i="86"/>
  <c r="D50" i="86"/>
  <c r="D51" i="86"/>
  <c r="D52" i="86"/>
  <c r="D53" i="86"/>
  <c r="D54" i="86"/>
  <c r="D55" i="86"/>
  <c r="D56" i="86"/>
  <c r="D57" i="86"/>
  <c r="D58" i="86"/>
  <c r="D59" i="86"/>
  <c r="D60" i="86"/>
  <c r="D61" i="86"/>
  <c r="D62" i="86"/>
  <c r="D63" i="86"/>
  <c r="D64" i="86"/>
  <c r="D65" i="86"/>
  <c r="D66" i="86"/>
  <c r="D67" i="86"/>
  <c r="D68" i="86"/>
  <c r="D8" i="86"/>
  <c r="F11" i="43"/>
  <c r="F12" i="43"/>
  <c r="F13" i="43"/>
  <c r="F14" i="43"/>
  <c r="F15" i="43"/>
  <c r="F16" i="43"/>
  <c r="F17" i="43"/>
  <c r="F18" i="43"/>
  <c r="F19" i="43"/>
  <c r="F20" i="43"/>
  <c r="F21" i="43"/>
  <c r="F22" i="43"/>
  <c r="F23" i="43"/>
  <c r="F24" i="43"/>
  <c r="F25" i="43"/>
  <c r="F26" i="43"/>
  <c r="F27" i="43"/>
  <c r="F28" i="43"/>
  <c r="F29" i="43"/>
  <c r="F30" i="43"/>
  <c r="F31" i="43"/>
  <c r="F32" i="43"/>
  <c r="F33" i="43"/>
  <c r="F34" i="43"/>
  <c r="F35" i="43"/>
  <c r="F10" i="43"/>
  <c r="G10" i="43" s="1"/>
  <c r="D64" i="17" l="1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5" i="17"/>
  <c r="D17" i="73"/>
  <c r="D20" i="73"/>
  <c r="D21" i="73"/>
  <c r="D22" i="73"/>
  <c r="D23" i="73"/>
  <c r="D24" i="73"/>
  <c r="D25" i="73"/>
  <c r="D26" i="73"/>
  <c r="D27" i="73"/>
  <c r="D28" i="73"/>
  <c r="D29" i="73"/>
  <c r="D30" i="73"/>
  <c r="D31" i="73"/>
  <c r="D32" i="73"/>
  <c r="D33" i="73"/>
  <c r="D34" i="73"/>
  <c r="D35" i="73"/>
  <c r="D36" i="73"/>
  <c r="D37" i="73"/>
  <c r="D38" i="73"/>
  <c r="D39" i="73"/>
  <c r="D40" i="73"/>
  <c r="D41" i="73"/>
  <c r="D42" i="73"/>
  <c r="D43" i="73"/>
  <c r="D44" i="73"/>
  <c r="D45" i="73"/>
  <c r="D46" i="73"/>
  <c r="D47" i="73"/>
  <c r="D48" i="73"/>
  <c r="D49" i="73"/>
  <c r="D50" i="73"/>
  <c r="D51" i="73"/>
  <c r="D52" i="73"/>
  <c r="D53" i="73"/>
  <c r="D54" i="73"/>
  <c r="D55" i="73"/>
  <c r="D56" i="73"/>
  <c r="D57" i="73"/>
  <c r="D58" i="73"/>
  <c r="D59" i="73"/>
  <c r="D60" i="73"/>
  <c r="D61" i="73"/>
  <c r="D62" i="73"/>
  <c r="D63" i="73"/>
  <c r="D64" i="73"/>
  <c r="D65" i="73"/>
  <c r="D66" i="73"/>
  <c r="D67" i="73"/>
  <c r="D68" i="73"/>
  <c r="D69" i="73"/>
  <c r="D70" i="73"/>
  <c r="D71" i="73"/>
  <c r="D72" i="73"/>
  <c r="D73" i="73"/>
  <c r="D19" i="73"/>
  <c r="D18" i="73"/>
  <c r="D14" i="73"/>
  <c r="D16" i="73"/>
  <c r="D15" i="73"/>
  <c r="D13" i="73"/>
  <c r="E9" i="73"/>
  <c r="E8" i="73"/>
  <c r="E15" i="88"/>
  <c r="E16" i="88"/>
  <c r="E17" i="88"/>
  <c r="E18" i="88"/>
  <c r="E19" i="88"/>
  <c r="E20" i="88"/>
  <c r="E21" i="88"/>
  <c r="E22" i="88"/>
  <c r="E23" i="88"/>
  <c r="E24" i="88"/>
  <c r="E25" i="88"/>
  <c r="E26" i="88"/>
  <c r="E27" i="88"/>
  <c r="E28" i="88"/>
  <c r="E29" i="88"/>
  <c r="E30" i="88"/>
  <c r="E31" i="88"/>
  <c r="E32" i="88"/>
  <c r="E33" i="88"/>
  <c r="E34" i="88"/>
  <c r="E35" i="88"/>
  <c r="D41" i="88"/>
  <c r="E41" i="88" s="1"/>
  <c r="D42" i="88"/>
  <c r="E42" i="88" s="1"/>
  <c r="D43" i="88"/>
  <c r="E43" i="88" s="1"/>
  <c r="D44" i="88"/>
  <c r="E44" i="88" s="1"/>
  <c r="D45" i="88"/>
  <c r="E45" i="88" s="1"/>
  <c r="D46" i="88"/>
  <c r="E46" i="88" s="1"/>
  <c r="D47" i="88"/>
  <c r="E47" i="88" s="1"/>
  <c r="D48" i="88"/>
  <c r="E48" i="88" s="1"/>
  <c r="D49" i="88"/>
  <c r="E49" i="88" s="1"/>
  <c r="D50" i="88"/>
  <c r="E50" i="88" s="1"/>
  <c r="D51" i="88"/>
  <c r="E51" i="88" s="1"/>
  <c r="D52" i="88"/>
  <c r="E52" i="88" s="1"/>
  <c r="D53" i="88"/>
  <c r="E53" i="88" s="1"/>
  <c r="D54" i="88"/>
  <c r="E54" i="88" s="1"/>
  <c r="D55" i="88"/>
  <c r="E55" i="88" s="1"/>
  <c r="D56" i="88"/>
  <c r="E56" i="88" s="1"/>
  <c r="D57" i="88"/>
  <c r="E57" i="88" s="1"/>
  <c r="D58" i="88"/>
  <c r="E58" i="88" s="1"/>
  <c r="D59" i="88"/>
  <c r="E59" i="88" s="1"/>
  <c r="D60" i="88"/>
  <c r="E60" i="88" s="1"/>
  <c r="D61" i="88"/>
  <c r="E61" i="88" s="1"/>
  <c r="D62" i="88"/>
  <c r="E62" i="88" s="1"/>
  <c r="D63" i="88"/>
  <c r="E63" i="88" s="1"/>
  <c r="D64" i="88"/>
  <c r="E64" i="88" s="1"/>
  <c r="D65" i="88"/>
  <c r="E65" i="88" s="1"/>
  <c r="D66" i="88"/>
  <c r="E66" i="88" s="1"/>
  <c r="D67" i="88"/>
  <c r="E67" i="88" s="1"/>
  <c r="D68" i="88"/>
  <c r="E68" i="88" s="1"/>
  <c r="D69" i="88"/>
  <c r="E69" i="88" s="1"/>
  <c r="D70" i="88"/>
  <c r="E70" i="88" s="1"/>
  <c r="D71" i="88"/>
  <c r="E71" i="88" s="1"/>
  <c r="D72" i="88"/>
  <c r="E72" i="88" s="1"/>
  <c r="D73" i="88"/>
  <c r="E73" i="88" s="1"/>
  <c r="D74" i="88"/>
  <c r="E74" i="88" s="1"/>
  <c r="D38" i="88"/>
  <c r="E38" i="88" s="1"/>
  <c r="D39" i="88"/>
  <c r="E39" i="88" s="1"/>
  <c r="D40" i="88"/>
  <c r="E40" i="88" s="1"/>
  <c r="D37" i="88"/>
  <c r="E37" i="88" s="1"/>
  <c r="F4" i="88"/>
  <c r="F8" i="88" s="1"/>
  <c r="E36" i="88"/>
  <c r="E14" i="88"/>
  <c r="C139" i="83" l="1"/>
  <c r="C140" i="83"/>
  <c r="C141" i="83"/>
  <c r="C142" i="83"/>
  <c r="C143" i="83"/>
  <c r="C144" i="83"/>
  <c r="C145" i="83"/>
  <c r="C146" i="83"/>
  <c r="C147" i="83"/>
  <c r="C148" i="83"/>
  <c r="C149" i="83"/>
  <c r="C150" i="83"/>
  <c r="C151" i="83"/>
  <c r="C152" i="83"/>
  <c r="C153" i="83"/>
  <c r="C154" i="83"/>
  <c r="C155" i="83"/>
  <c r="C156" i="83"/>
  <c r="C157" i="83"/>
  <c r="C158" i="83"/>
  <c r="C159" i="83"/>
  <c r="C160" i="83"/>
  <c r="C161" i="83"/>
  <c r="C162" i="83"/>
  <c r="C163" i="83"/>
  <c r="C164" i="83"/>
  <c r="C165" i="83"/>
  <c r="C166" i="83"/>
  <c r="C167" i="83"/>
  <c r="C168" i="83"/>
  <c r="C169" i="83"/>
  <c r="C170" i="83"/>
  <c r="C171" i="83"/>
  <c r="C172" i="83"/>
  <c r="C173" i="83"/>
  <c r="C174" i="83"/>
  <c r="C175" i="83"/>
  <c r="C176" i="83"/>
  <c r="C177" i="83"/>
  <c r="C178" i="83"/>
  <c r="C179" i="83"/>
  <c r="C180" i="83"/>
  <c r="C181" i="83"/>
  <c r="C182" i="83"/>
  <c r="C183" i="83"/>
  <c r="C184" i="83"/>
  <c r="C185" i="83"/>
  <c r="C186" i="83"/>
  <c r="C187" i="83"/>
  <c r="C188" i="83"/>
  <c r="C189" i="83"/>
  <c r="C190" i="83"/>
  <c r="C191" i="83"/>
  <c r="C192" i="83"/>
  <c r="C193" i="83"/>
  <c r="C194" i="83"/>
  <c r="C195" i="83"/>
  <c r="C196" i="83"/>
  <c r="C197" i="83"/>
  <c r="C198" i="83"/>
  <c r="C199" i="83"/>
  <c r="C138" i="83"/>
  <c r="E5" i="83" l="1"/>
  <c r="E4" i="83"/>
  <c r="J37" i="43" l="1"/>
  <c r="J38" i="43"/>
  <c r="J39" i="43"/>
  <c r="J40" i="43"/>
  <c r="J41" i="43"/>
  <c r="J42" i="43"/>
  <c r="J43" i="43"/>
  <c r="J44" i="43"/>
  <c r="J45" i="43"/>
  <c r="J46" i="43"/>
  <c r="J47" i="43"/>
  <c r="J48" i="43"/>
  <c r="J49" i="43"/>
  <c r="J50" i="43"/>
  <c r="J51" i="43"/>
  <c r="J52" i="43"/>
  <c r="J53" i="43"/>
  <c r="J54" i="43"/>
  <c r="J55" i="43"/>
  <c r="J56" i="43"/>
  <c r="J57" i="43"/>
  <c r="J58" i="43"/>
  <c r="J59" i="43"/>
  <c r="J60" i="43"/>
  <c r="J61" i="43"/>
  <c r="J62" i="43"/>
  <c r="J63" i="43"/>
  <c r="J64" i="43"/>
  <c r="J65" i="43"/>
  <c r="J66" i="43"/>
  <c r="J67" i="43"/>
  <c r="J68" i="43"/>
  <c r="J69" i="43"/>
  <c r="J70" i="43"/>
  <c r="J36" i="43"/>
  <c r="J19" i="43"/>
  <c r="J20" i="43"/>
  <c r="J21" i="43"/>
  <c r="J22" i="43"/>
  <c r="J23" i="43"/>
  <c r="J24" i="43"/>
  <c r="J25" i="43"/>
  <c r="J26" i="43"/>
  <c r="J27" i="43"/>
  <c r="J28" i="43"/>
  <c r="J29" i="43"/>
  <c r="J30" i="43"/>
  <c r="J31" i="43"/>
  <c r="J32" i="43"/>
  <c r="J33" i="43"/>
  <c r="J34" i="43"/>
  <c r="J35" i="43"/>
  <c r="J18" i="43"/>
  <c r="E67" i="94" l="1"/>
  <c r="E66" i="94"/>
  <c r="E65" i="94"/>
  <c r="E64" i="94"/>
  <c r="E63" i="94"/>
  <c r="E62" i="94"/>
  <c r="E61" i="94"/>
  <c r="E60" i="94"/>
  <c r="E59" i="94"/>
  <c r="E58" i="94"/>
  <c r="E57" i="94"/>
  <c r="E56" i="94"/>
  <c r="E55" i="94"/>
  <c r="E54" i="94"/>
  <c r="E53" i="94"/>
  <c r="E52" i="94"/>
  <c r="E51" i="94"/>
  <c r="E50" i="94"/>
  <c r="E49" i="94"/>
  <c r="E48" i="94"/>
  <c r="E47" i="94"/>
  <c r="E46" i="94"/>
  <c r="E45" i="94"/>
  <c r="E44" i="94"/>
  <c r="E43" i="94"/>
  <c r="E42" i="94"/>
  <c r="E41" i="94"/>
  <c r="E40" i="94"/>
  <c r="E39" i="94"/>
  <c r="E38" i="94"/>
  <c r="E37" i="94"/>
  <c r="E36" i="94"/>
  <c r="E35" i="94"/>
  <c r="E34" i="94"/>
  <c r="E33" i="94"/>
  <c r="E32" i="94"/>
  <c r="E31" i="94"/>
  <c r="E30" i="94"/>
  <c r="E29" i="94"/>
  <c r="E28" i="94"/>
  <c r="E27" i="94"/>
  <c r="E26" i="94"/>
  <c r="E25" i="94"/>
  <c r="E24" i="94"/>
  <c r="E23" i="94"/>
  <c r="E22" i="94"/>
  <c r="E21" i="94"/>
  <c r="E20" i="94"/>
  <c r="E19" i="94"/>
  <c r="E18" i="94"/>
  <c r="E17" i="94"/>
  <c r="E16" i="94"/>
  <c r="E15" i="94"/>
  <c r="E14" i="94"/>
  <c r="E13" i="94"/>
  <c r="E12" i="94"/>
  <c r="E11" i="94"/>
  <c r="E10" i="94"/>
  <c r="E9" i="94"/>
  <c r="E8" i="94"/>
  <c r="E7" i="94"/>
  <c r="C13" i="78" l="1"/>
  <c r="C14" i="78"/>
  <c r="C15" i="78"/>
  <c r="C16" i="78"/>
  <c r="C17" i="78"/>
  <c r="C18" i="78"/>
  <c r="C19" i="78"/>
  <c r="C20" i="78"/>
  <c r="C21" i="78"/>
  <c r="C22" i="78"/>
  <c r="C23" i="78"/>
  <c r="C24" i="78"/>
  <c r="C25" i="78"/>
  <c r="C26" i="78"/>
  <c r="C27" i="78"/>
  <c r="C28" i="78"/>
  <c r="C29" i="78"/>
  <c r="C30" i="78"/>
  <c r="C31" i="78"/>
  <c r="C32" i="78"/>
  <c r="C33" i="78"/>
  <c r="C34" i="78"/>
  <c r="C35" i="78"/>
  <c r="C36" i="78"/>
  <c r="C37" i="78"/>
  <c r="C12" i="78"/>
  <c r="E23" i="78" l="1"/>
  <c r="E25" i="78"/>
  <c r="E31" i="78"/>
  <c r="E32" i="78"/>
  <c r="E38" i="78"/>
  <c r="E39" i="78"/>
  <c r="E40" i="78"/>
  <c r="E41" i="78"/>
  <c r="E42" i="78"/>
  <c r="E43" i="78"/>
  <c r="E46" i="78"/>
  <c r="E47" i="78"/>
  <c r="E48" i="78"/>
  <c r="E49" i="78"/>
  <c r="E50" i="78"/>
  <c r="E51" i="78"/>
  <c r="E54" i="78"/>
  <c r="E55" i="78"/>
  <c r="E56" i="78"/>
  <c r="E57" i="78"/>
  <c r="E58" i="78"/>
  <c r="E59" i="78"/>
  <c r="E62" i="78"/>
  <c r="E63" i="78"/>
  <c r="E64" i="78"/>
  <c r="E65" i="78"/>
  <c r="E66" i="78"/>
  <c r="E67" i="78"/>
  <c r="E70" i="78"/>
  <c r="E71" i="78"/>
  <c r="E72" i="78"/>
  <c r="E13" i="78"/>
  <c r="E14" i="78"/>
  <c r="E15" i="78"/>
  <c r="E16" i="78"/>
  <c r="E17" i="78"/>
  <c r="E18" i="78"/>
  <c r="E19" i="78"/>
  <c r="E20" i="78"/>
  <c r="E21" i="78"/>
  <c r="E22" i="78"/>
  <c r="E24" i="78"/>
  <c r="E26" i="78"/>
  <c r="E27" i="78"/>
  <c r="E28" i="78"/>
  <c r="E29" i="78"/>
  <c r="E30" i="78"/>
  <c r="E33" i="78"/>
  <c r="E34" i="78"/>
  <c r="E35" i="78"/>
  <c r="E36" i="78"/>
  <c r="E37" i="78"/>
  <c r="E44" i="78"/>
  <c r="E45" i="78"/>
  <c r="E52" i="78"/>
  <c r="E53" i="78"/>
  <c r="E60" i="78"/>
  <c r="E61" i="78"/>
  <c r="E68" i="78"/>
  <c r="E69" i="78"/>
  <c r="E12" i="78"/>
  <c r="J18" i="22" l="1"/>
  <c r="J17" i="22"/>
  <c r="J16" i="22"/>
  <c r="J15" i="22"/>
  <c r="J14" i="22"/>
  <c r="J13" i="22"/>
  <c r="M32" i="60"/>
  <c r="M31" i="60"/>
  <c r="M30" i="60"/>
  <c r="M29" i="60"/>
  <c r="M28" i="60"/>
  <c r="L39" i="80"/>
  <c r="L38" i="80"/>
  <c r="L37" i="80"/>
  <c r="L36" i="80"/>
  <c r="L35" i="80"/>
  <c r="U13" i="42"/>
  <c r="U12" i="42"/>
  <c r="U11" i="42"/>
  <c r="U10" i="42"/>
  <c r="U9" i="42"/>
  <c r="O35" i="43"/>
  <c r="O34" i="43"/>
  <c r="O33" i="43"/>
  <c r="O32" i="43"/>
  <c r="O31" i="43"/>
  <c r="I34" i="18" l="1"/>
  <c r="I33" i="18"/>
  <c r="I32" i="18"/>
  <c r="I31" i="18"/>
  <c r="I30" i="18"/>
  <c r="I29" i="18"/>
  <c r="I75" i="83" l="1"/>
  <c r="I76" i="83"/>
  <c r="I77" i="83"/>
  <c r="I78" i="83"/>
  <c r="I79" i="83"/>
  <c r="I80" i="83"/>
  <c r="I81" i="83"/>
  <c r="I82" i="83"/>
  <c r="I83" i="83"/>
  <c r="I84" i="83"/>
  <c r="I85" i="83"/>
  <c r="I86" i="83"/>
  <c r="I87" i="83"/>
  <c r="I88" i="83"/>
  <c r="I89" i="83"/>
  <c r="I90" i="83"/>
  <c r="I91" i="83"/>
  <c r="I92" i="83"/>
  <c r="I93" i="83"/>
  <c r="I94" i="83"/>
  <c r="I95" i="83"/>
  <c r="I96" i="83"/>
  <c r="I97" i="83"/>
  <c r="I98" i="83"/>
  <c r="I99" i="83"/>
  <c r="I100" i="83"/>
  <c r="I101" i="83"/>
  <c r="I102" i="83"/>
  <c r="I103" i="83"/>
  <c r="I104" i="83"/>
  <c r="I105" i="83"/>
  <c r="I106" i="83"/>
  <c r="I107" i="83"/>
  <c r="I108" i="83"/>
  <c r="I109" i="83"/>
  <c r="I110" i="83"/>
  <c r="I111" i="83"/>
  <c r="I112" i="83"/>
  <c r="I113" i="83"/>
  <c r="I114" i="83"/>
  <c r="I115" i="83"/>
  <c r="I116" i="83"/>
  <c r="I117" i="83"/>
  <c r="I118" i="83"/>
  <c r="I119" i="83"/>
  <c r="I120" i="83"/>
  <c r="I121" i="83"/>
  <c r="I122" i="83"/>
  <c r="I123" i="83"/>
  <c r="I124" i="83"/>
  <c r="I125" i="83"/>
  <c r="I126" i="83"/>
  <c r="I127" i="83"/>
  <c r="I128" i="83"/>
  <c r="I129" i="83"/>
  <c r="I130" i="83"/>
  <c r="I131" i="83"/>
  <c r="I132" i="83"/>
  <c r="I74" i="83"/>
  <c r="I72" i="83"/>
  <c r="I73" i="83"/>
  <c r="I71" i="83"/>
  <c r="C77" i="83"/>
  <c r="C76" i="83"/>
  <c r="C75" i="83"/>
  <c r="C78" i="83"/>
  <c r="C79" i="83"/>
  <c r="C80" i="83"/>
  <c r="C81" i="83"/>
  <c r="C82" i="83"/>
  <c r="C83" i="83"/>
  <c r="C84" i="83"/>
  <c r="C85" i="83"/>
  <c r="C86" i="83"/>
  <c r="C87" i="83"/>
  <c r="C88" i="83"/>
  <c r="C89" i="83"/>
  <c r="C90" i="83"/>
  <c r="C91" i="83"/>
  <c r="C92" i="83"/>
  <c r="C93" i="83"/>
  <c r="C94" i="83"/>
  <c r="C95" i="83"/>
  <c r="C96" i="83"/>
  <c r="C97" i="83"/>
  <c r="C98" i="83"/>
  <c r="C99" i="83"/>
  <c r="C100" i="83"/>
  <c r="C101" i="83"/>
  <c r="C102" i="83"/>
  <c r="C72" i="83"/>
  <c r="C73" i="83"/>
  <c r="C74" i="83"/>
  <c r="C71" i="83"/>
  <c r="C103" i="83"/>
  <c r="C104" i="83"/>
  <c r="C105" i="83"/>
  <c r="C106" i="83"/>
  <c r="C107" i="83"/>
  <c r="C108" i="83"/>
  <c r="C109" i="83"/>
  <c r="C110" i="83"/>
  <c r="C111" i="83"/>
  <c r="C112" i="83"/>
  <c r="C113" i="83"/>
  <c r="C114" i="83"/>
  <c r="C115" i="83"/>
  <c r="C116" i="83"/>
  <c r="C117" i="83"/>
  <c r="C118" i="83"/>
  <c r="C119" i="83"/>
  <c r="C120" i="83"/>
  <c r="C121" i="83"/>
  <c r="C122" i="83"/>
  <c r="C123" i="83"/>
  <c r="C124" i="83"/>
  <c r="C125" i="83"/>
  <c r="C126" i="83"/>
  <c r="C127" i="83"/>
  <c r="C128" i="83"/>
  <c r="C129" i="83"/>
  <c r="C130" i="83"/>
  <c r="C131" i="83"/>
  <c r="C132" i="83"/>
  <c r="I4" i="83"/>
  <c r="I5" i="83"/>
  <c r="I6" i="83"/>
  <c r="I7" i="83"/>
  <c r="I8" i="83"/>
  <c r="I9" i="83"/>
  <c r="I10" i="83"/>
  <c r="I11" i="83"/>
  <c r="I12" i="83"/>
  <c r="I13" i="83"/>
  <c r="I14" i="83"/>
  <c r="I15" i="83"/>
  <c r="I16" i="83"/>
  <c r="I17" i="83"/>
  <c r="I18" i="83"/>
  <c r="I19" i="83"/>
  <c r="I20" i="83"/>
  <c r="I21" i="83"/>
  <c r="I22" i="83"/>
  <c r="I23" i="83"/>
  <c r="I24" i="83"/>
  <c r="I25" i="83"/>
  <c r="I26" i="83"/>
  <c r="I27" i="83"/>
  <c r="I28" i="83"/>
  <c r="I29" i="83"/>
  <c r="I30" i="83"/>
  <c r="I31" i="83"/>
  <c r="I32" i="83"/>
  <c r="I33" i="83"/>
  <c r="I34" i="83"/>
  <c r="I35" i="83"/>
  <c r="I36" i="83"/>
  <c r="I37" i="83"/>
  <c r="I38" i="83"/>
  <c r="I39" i="83"/>
  <c r="I40" i="83"/>
  <c r="I41" i="83"/>
  <c r="I42" i="83"/>
  <c r="I43" i="83"/>
  <c r="I44" i="83"/>
  <c r="I45" i="83"/>
  <c r="I46" i="83"/>
  <c r="I47" i="83"/>
  <c r="I48" i="83"/>
  <c r="I49" i="83"/>
  <c r="I50" i="83"/>
  <c r="I51" i="83"/>
  <c r="I52" i="83"/>
  <c r="I53" i="83"/>
  <c r="I54" i="83"/>
  <c r="I55" i="83"/>
  <c r="I56" i="83"/>
  <c r="I57" i="83"/>
  <c r="I58" i="83"/>
  <c r="I59" i="83"/>
  <c r="I60" i="83"/>
  <c r="I61" i="83"/>
  <c r="I62" i="83"/>
  <c r="I63" i="83"/>
  <c r="I64" i="83"/>
  <c r="I3" i="83"/>
  <c r="E8" i="85" l="1"/>
  <c r="E9" i="85"/>
  <c r="E10" i="85"/>
  <c r="E11" i="85"/>
  <c r="E12" i="85"/>
  <c r="E13" i="85"/>
  <c r="E14" i="85"/>
  <c r="E15" i="85"/>
  <c r="E16" i="85"/>
  <c r="E17" i="85"/>
  <c r="E18" i="85"/>
  <c r="E19" i="85"/>
  <c r="E20" i="85"/>
  <c r="E21" i="85"/>
  <c r="E22" i="85"/>
  <c r="E23" i="85"/>
  <c r="E24" i="85"/>
  <c r="E25" i="85"/>
  <c r="E26" i="85"/>
  <c r="E27" i="85"/>
  <c r="E28" i="85"/>
  <c r="E29" i="85"/>
  <c r="E30" i="85"/>
  <c r="E31" i="85"/>
  <c r="E32" i="85"/>
  <c r="E33" i="85"/>
  <c r="E34" i="85"/>
  <c r="E35" i="85"/>
  <c r="E36" i="85"/>
  <c r="E37" i="85"/>
  <c r="E38" i="85"/>
  <c r="E39" i="85"/>
  <c r="E40" i="85"/>
  <c r="E41" i="85"/>
  <c r="E42" i="85"/>
  <c r="E43" i="85"/>
  <c r="E44" i="85"/>
  <c r="E45" i="85"/>
  <c r="E46" i="85"/>
  <c r="E47" i="85"/>
  <c r="E48" i="85"/>
  <c r="E49" i="85"/>
  <c r="E50" i="85"/>
  <c r="E51" i="85"/>
  <c r="E52" i="85"/>
  <c r="E53" i="85"/>
  <c r="E54" i="85"/>
  <c r="E55" i="85"/>
  <c r="E56" i="85"/>
  <c r="E57" i="85"/>
  <c r="E58" i="85"/>
  <c r="E59" i="85"/>
  <c r="E60" i="85"/>
  <c r="E61" i="85"/>
  <c r="E62" i="85"/>
  <c r="E63" i="85"/>
  <c r="E64" i="85"/>
  <c r="E65" i="85"/>
  <c r="E66" i="85"/>
  <c r="E67" i="85"/>
  <c r="E7" i="85"/>
  <c r="E5" i="42"/>
  <c r="F9" i="86" l="1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31" i="86"/>
  <c r="F32" i="86"/>
  <c r="F33" i="86"/>
  <c r="F34" i="86"/>
  <c r="F35" i="86"/>
  <c r="F36" i="86"/>
  <c r="F37" i="86"/>
  <c r="F38" i="86"/>
  <c r="F39" i="86"/>
  <c r="F40" i="86"/>
  <c r="F41" i="86"/>
  <c r="F42" i="86"/>
  <c r="F43" i="86"/>
  <c r="F44" i="86"/>
  <c r="F45" i="86"/>
  <c r="F46" i="86"/>
  <c r="F47" i="86"/>
  <c r="F48" i="86"/>
  <c r="F49" i="86"/>
  <c r="F50" i="86"/>
  <c r="F51" i="86"/>
  <c r="F52" i="86"/>
  <c r="F53" i="86"/>
  <c r="F54" i="86"/>
  <c r="F55" i="86"/>
  <c r="F56" i="86"/>
  <c r="F57" i="86"/>
  <c r="F58" i="86"/>
  <c r="F59" i="86"/>
  <c r="F60" i="86"/>
  <c r="F61" i="86"/>
  <c r="F62" i="86"/>
  <c r="F63" i="86"/>
  <c r="F64" i="86"/>
  <c r="F65" i="86"/>
  <c r="F66" i="86"/>
  <c r="F67" i="86"/>
  <c r="F68" i="86"/>
  <c r="F8" i="86"/>
  <c r="F53" i="85" l="1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31" i="85"/>
  <c r="F32" i="85"/>
  <c r="F33" i="85"/>
  <c r="F34" i="85"/>
  <c r="F35" i="85"/>
  <c r="F36" i="85"/>
  <c r="F37" i="85"/>
  <c r="F38" i="85"/>
  <c r="F39" i="85"/>
  <c r="F40" i="85"/>
  <c r="F41" i="85"/>
  <c r="F42" i="85"/>
  <c r="F43" i="85"/>
  <c r="F44" i="85"/>
  <c r="F45" i="85"/>
  <c r="F46" i="85"/>
  <c r="F47" i="85"/>
  <c r="F48" i="85"/>
  <c r="F49" i="85"/>
  <c r="F50" i="85"/>
  <c r="F51" i="85"/>
  <c r="F52" i="85"/>
  <c r="F54" i="85"/>
  <c r="F55" i="85"/>
  <c r="F56" i="85"/>
  <c r="F57" i="85"/>
  <c r="F58" i="85"/>
  <c r="F59" i="85"/>
  <c r="F60" i="85"/>
  <c r="F61" i="85"/>
  <c r="F62" i="85"/>
  <c r="F63" i="85"/>
  <c r="F64" i="85"/>
  <c r="F65" i="85"/>
  <c r="F66" i="85"/>
  <c r="F67" i="85"/>
  <c r="F7" i="85"/>
  <c r="F40" i="83"/>
  <c r="F39" i="83"/>
  <c r="F38" i="83"/>
  <c r="F37" i="83"/>
  <c r="F36" i="83"/>
  <c r="F35" i="83"/>
  <c r="F30" i="83"/>
  <c r="F29" i="83"/>
  <c r="F28" i="83"/>
  <c r="F27" i="83"/>
  <c r="F26" i="83"/>
  <c r="F25" i="83"/>
  <c r="F19" i="83"/>
  <c r="F18" i="83"/>
  <c r="F17" i="83"/>
  <c r="F16" i="83"/>
  <c r="F15" i="83"/>
  <c r="F14" i="83"/>
  <c r="F9" i="83"/>
  <c r="F8" i="83"/>
  <c r="F7" i="83"/>
  <c r="F6" i="83"/>
  <c r="F5" i="83"/>
  <c r="F4" i="83"/>
  <c r="E33" i="60" l="1"/>
  <c r="E34" i="60"/>
  <c r="E35" i="60"/>
  <c r="E36" i="60"/>
  <c r="E37" i="60"/>
  <c r="E38" i="60"/>
  <c r="E39" i="60"/>
  <c r="E40" i="60"/>
  <c r="E41" i="60"/>
  <c r="E42" i="60"/>
  <c r="E43" i="60"/>
  <c r="E44" i="60"/>
  <c r="E45" i="60"/>
  <c r="E46" i="60"/>
  <c r="E47" i="60"/>
  <c r="E48" i="60"/>
  <c r="E49" i="60"/>
  <c r="E50" i="60"/>
  <c r="E51" i="60"/>
  <c r="E52" i="60"/>
  <c r="E53" i="60"/>
  <c r="E54" i="60"/>
  <c r="E55" i="60"/>
  <c r="E56" i="60"/>
  <c r="E57" i="60"/>
  <c r="E58" i="60"/>
  <c r="E59" i="60"/>
  <c r="E60" i="60"/>
  <c r="E61" i="60"/>
  <c r="E62" i="60"/>
  <c r="E63" i="60"/>
  <c r="E64" i="60"/>
  <c r="E65" i="60"/>
  <c r="E66" i="60"/>
  <c r="E67" i="60"/>
  <c r="E8" i="60"/>
  <c r="E9" i="60"/>
  <c r="E10" i="60"/>
  <c r="E11" i="60"/>
  <c r="E12" i="60"/>
  <c r="E13" i="60"/>
  <c r="E14" i="60"/>
  <c r="E15" i="60"/>
  <c r="E16" i="60"/>
  <c r="E17" i="60"/>
  <c r="E18" i="60"/>
  <c r="E19" i="60"/>
  <c r="E20" i="60"/>
  <c r="E21" i="60"/>
  <c r="E22" i="60"/>
  <c r="E23" i="60"/>
  <c r="E24" i="60"/>
  <c r="E25" i="60"/>
  <c r="E26" i="60"/>
  <c r="E27" i="60"/>
  <c r="E28" i="60"/>
  <c r="E29" i="60"/>
  <c r="E30" i="60"/>
  <c r="E31" i="60"/>
  <c r="E32" i="60"/>
  <c r="E7" i="60"/>
  <c r="G7" i="60" s="1"/>
  <c r="E8" i="80" l="1"/>
  <c r="F8" i="80" s="1"/>
  <c r="E9" i="80"/>
  <c r="F9" i="80" s="1"/>
  <c r="E10" i="80"/>
  <c r="F10" i="80" s="1"/>
  <c r="E11" i="80"/>
  <c r="E12" i="80"/>
  <c r="F12" i="80" s="1"/>
  <c r="E13" i="80"/>
  <c r="F13" i="80" s="1"/>
  <c r="E14" i="80"/>
  <c r="F14" i="80" s="1"/>
  <c r="E15" i="80"/>
  <c r="E16" i="80"/>
  <c r="F16" i="80" s="1"/>
  <c r="E17" i="80"/>
  <c r="E18" i="80"/>
  <c r="F18" i="80" s="1"/>
  <c r="E19" i="80"/>
  <c r="E20" i="80"/>
  <c r="F20" i="80" s="1"/>
  <c r="E21" i="80"/>
  <c r="E22" i="80"/>
  <c r="F22" i="80" s="1"/>
  <c r="E23" i="80"/>
  <c r="E24" i="80"/>
  <c r="F24" i="80" s="1"/>
  <c r="E25" i="80"/>
  <c r="E26" i="80"/>
  <c r="F26" i="80" s="1"/>
  <c r="E27" i="80"/>
  <c r="E28" i="80"/>
  <c r="F28" i="80" s="1"/>
  <c r="E29" i="80"/>
  <c r="E30" i="80"/>
  <c r="F30" i="80" s="1"/>
  <c r="E31" i="80"/>
  <c r="E32" i="80"/>
  <c r="F32" i="80" s="1"/>
  <c r="E33" i="80"/>
  <c r="E34" i="80"/>
  <c r="F34" i="80" s="1"/>
  <c r="E35" i="80"/>
  <c r="E36" i="80"/>
  <c r="F36" i="80" s="1"/>
  <c r="E37" i="80"/>
  <c r="E38" i="80"/>
  <c r="F38" i="80" s="1"/>
  <c r="E39" i="80"/>
  <c r="E40" i="80"/>
  <c r="F40" i="80" s="1"/>
  <c r="E41" i="80"/>
  <c r="E42" i="80"/>
  <c r="F42" i="80" s="1"/>
  <c r="E43" i="80"/>
  <c r="E44" i="80"/>
  <c r="F44" i="80" s="1"/>
  <c r="E45" i="80"/>
  <c r="E46" i="80"/>
  <c r="F46" i="80" s="1"/>
  <c r="E47" i="80"/>
  <c r="E48" i="80"/>
  <c r="F48" i="80" s="1"/>
  <c r="E49" i="80"/>
  <c r="E50" i="80"/>
  <c r="F50" i="80" s="1"/>
  <c r="E51" i="80"/>
  <c r="E52" i="80"/>
  <c r="F52" i="80" s="1"/>
  <c r="E53" i="80"/>
  <c r="E54" i="80"/>
  <c r="F54" i="80" s="1"/>
  <c r="E55" i="80"/>
  <c r="E56" i="80"/>
  <c r="F56" i="80" s="1"/>
  <c r="E57" i="80"/>
  <c r="E58" i="80"/>
  <c r="F58" i="80" s="1"/>
  <c r="E59" i="80"/>
  <c r="E60" i="80"/>
  <c r="F60" i="80" s="1"/>
  <c r="E61" i="80"/>
  <c r="E62" i="80"/>
  <c r="F62" i="80" s="1"/>
  <c r="E63" i="80"/>
  <c r="E64" i="80"/>
  <c r="F64" i="80" s="1"/>
  <c r="E65" i="80"/>
  <c r="E66" i="80"/>
  <c r="F66" i="80" s="1"/>
  <c r="E67" i="80"/>
  <c r="E7" i="80"/>
  <c r="F9" i="81"/>
  <c r="F68" i="81"/>
  <c r="F63" i="81"/>
  <c r="F53" i="80" l="1"/>
  <c r="G53" i="80" s="1"/>
  <c r="F29" i="80"/>
  <c r="G29" i="80" s="1"/>
  <c r="F7" i="80"/>
  <c r="G7" i="80" s="1"/>
  <c r="F67" i="80"/>
  <c r="G67" i="80" s="1"/>
  <c r="F51" i="80"/>
  <c r="G51" i="80" s="1"/>
  <c r="F35" i="80"/>
  <c r="G35" i="80" s="1"/>
  <c r="F19" i="80"/>
  <c r="G19" i="80" s="1"/>
  <c r="G57" i="80"/>
  <c r="F57" i="80"/>
  <c r="F41" i="80"/>
  <c r="G41" i="80" s="1"/>
  <c r="F33" i="80"/>
  <c r="G33" i="80" s="1"/>
  <c r="F25" i="80"/>
  <c r="G25" i="80" s="1"/>
  <c r="F17" i="80"/>
  <c r="G17" i="80" s="1"/>
  <c r="F63" i="80"/>
  <c r="G63" i="80" s="1"/>
  <c r="F55" i="80"/>
  <c r="G55" i="80" s="1"/>
  <c r="F47" i="80"/>
  <c r="G47" i="80" s="1"/>
  <c r="F39" i="80"/>
  <c r="G39" i="80" s="1"/>
  <c r="F31" i="80"/>
  <c r="G31" i="80" s="1"/>
  <c r="F23" i="80"/>
  <c r="G23" i="80" s="1"/>
  <c r="F15" i="80"/>
  <c r="G15" i="80" s="1"/>
  <c r="F61" i="80"/>
  <c r="G61" i="80" s="1"/>
  <c r="F45" i="80"/>
  <c r="G45" i="80" s="1"/>
  <c r="F37" i="80"/>
  <c r="G37" i="80" s="1"/>
  <c r="F21" i="80"/>
  <c r="G21" i="80" s="1"/>
  <c r="F59" i="80"/>
  <c r="G59" i="80" s="1"/>
  <c r="F43" i="80"/>
  <c r="G43" i="80" s="1"/>
  <c r="F27" i="80"/>
  <c r="G27" i="80" s="1"/>
  <c r="F11" i="80"/>
  <c r="G11" i="80" s="1"/>
  <c r="F65" i="80"/>
  <c r="G65" i="80" s="1"/>
  <c r="F49" i="80"/>
  <c r="G49" i="80" s="1"/>
  <c r="G58" i="80"/>
  <c r="G38" i="80"/>
  <c r="G22" i="80"/>
  <c r="G9" i="80"/>
  <c r="G13" i="80"/>
  <c r="G62" i="80"/>
  <c r="G46" i="80"/>
  <c r="G34" i="80"/>
  <c r="G14" i="80"/>
  <c r="G64" i="80"/>
  <c r="G60" i="80"/>
  <c r="G56" i="80"/>
  <c r="G48" i="80"/>
  <c r="G44" i="80"/>
  <c r="G40" i="80"/>
  <c r="G36" i="80"/>
  <c r="G32" i="80"/>
  <c r="G24" i="80"/>
  <c r="G20" i="80"/>
  <c r="G16" i="80"/>
  <c r="G12" i="80"/>
  <c r="G8" i="80"/>
  <c r="G54" i="80"/>
  <c r="G30" i="80"/>
  <c r="G52" i="80"/>
  <c r="G10" i="80"/>
  <c r="G28" i="80"/>
  <c r="G42" i="80"/>
  <c r="G26" i="80"/>
  <c r="G66" i="80"/>
  <c r="G50" i="80"/>
  <c r="G18" i="80"/>
  <c r="F32" i="81"/>
  <c r="F35" i="81"/>
  <c r="F38" i="81"/>
  <c r="F41" i="81"/>
  <c r="F50" i="81"/>
  <c r="F14" i="81"/>
  <c r="F17" i="81"/>
  <c r="F20" i="81"/>
  <c r="F23" i="81"/>
  <c r="F59" i="81"/>
  <c r="F11" i="81"/>
  <c r="F56" i="81"/>
  <c r="F26" i="81"/>
  <c r="F62" i="81"/>
  <c r="F44" i="81"/>
  <c r="F47" i="81"/>
  <c r="F53" i="81"/>
  <c r="F29" i="81"/>
  <c r="F65" i="81"/>
  <c r="F18" i="81"/>
  <c r="F45" i="81"/>
  <c r="F10" i="81"/>
  <c r="F13" i="81"/>
  <c r="F16" i="81"/>
  <c r="F19" i="81"/>
  <c r="F22" i="81"/>
  <c r="F25" i="81"/>
  <c r="F28" i="81"/>
  <c r="F31" i="81"/>
  <c r="F34" i="81"/>
  <c r="F37" i="81"/>
  <c r="F40" i="81"/>
  <c r="F43" i="81"/>
  <c r="F46" i="81"/>
  <c r="F49" i="81"/>
  <c r="F52" i="81"/>
  <c r="F55" i="81"/>
  <c r="F58" i="81"/>
  <c r="F61" i="81"/>
  <c r="F64" i="81"/>
  <c r="F67" i="81"/>
  <c r="F15" i="81"/>
  <c r="F27" i="81"/>
  <c r="F36" i="81"/>
  <c r="F48" i="81"/>
  <c r="F57" i="81"/>
  <c r="F66" i="81"/>
  <c r="F21" i="81"/>
  <c r="F33" i="81"/>
  <c r="F42" i="81"/>
  <c r="F54" i="81"/>
  <c r="F60" i="81"/>
  <c r="F69" i="81"/>
  <c r="F12" i="81"/>
  <c r="F24" i="81"/>
  <c r="F30" i="81"/>
  <c r="F39" i="81"/>
  <c r="F51" i="81"/>
  <c r="E6" i="19" l="1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5" i="19"/>
  <c r="D4" i="76" l="1"/>
  <c r="H69" i="76" l="1"/>
  <c r="I69" i="76" s="1"/>
  <c r="F69" i="76"/>
  <c r="H10" i="76"/>
  <c r="I10" i="76" s="1"/>
  <c r="H11" i="76"/>
  <c r="I11" i="76" s="1"/>
  <c r="H15" i="76"/>
  <c r="I15" i="76" s="1"/>
  <c r="H16" i="76"/>
  <c r="I16" i="76" s="1"/>
  <c r="H17" i="76"/>
  <c r="I17" i="76" s="1"/>
  <c r="H21" i="76"/>
  <c r="I21" i="76" s="1"/>
  <c r="H22" i="76"/>
  <c r="I22" i="76" s="1"/>
  <c r="H23" i="76"/>
  <c r="I23" i="76" s="1"/>
  <c r="H27" i="76"/>
  <c r="I27" i="76" s="1"/>
  <c r="H28" i="76"/>
  <c r="I28" i="76" s="1"/>
  <c r="H29" i="76"/>
  <c r="I29" i="76" s="1"/>
  <c r="H33" i="76"/>
  <c r="I33" i="76" s="1"/>
  <c r="H34" i="76"/>
  <c r="I34" i="76" s="1"/>
  <c r="H35" i="76"/>
  <c r="I35" i="76" s="1"/>
  <c r="H39" i="76"/>
  <c r="I39" i="76" s="1"/>
  <c r="H40" i="76"/>
  <c r="I40" i="76" s="1"/>
  <c r="H41" i="76"/>
  <c r="I41" i="76" s="1"/>
  <c r="H45" i="76"/>
  <c r="I45" i="76" s="1"/>
  <c r="H46" i="76"/>
  <c r="I46" i="76" s="1"/>
  <c r="H47" i="76"/>
  <c r="I47" i="76" s="1"/>
  <c r="H51" i="76"/>
  <c r="I51" i="76" s="1"/>
  <c r="H52" i="76"/>
  <c r="I52" i="76" s="1"/>
  <c r="H53" i="76"/>
  <c r="I53" i="76" s="1"/>
  <c r="H57" i="76"/>
  <c r="I57" i="76" s="1"/>
  <c r="H58" i="76"/>
  <c r="I58" i="76" s="1"/>
  <c r="H59" i="76"/>
  <c r="I59" i="76" s="1"/>
  <c r="H63" i="76"/>
  <c r="I63" i="76" s="1"/>
  <c r="H64" i="76"/>
  <c r="I64" i="76" s="1"/>
  <c r="H65" i="76"/>
  <c r="I65" i="76" s="1"/>
  <c r="F13" i="77" l="1"/>
  <c r="F11" i="77"/>
  <c r="H9" i="76"/>
  <c r="I9" i="76" s="1"/>
  <c r="F49" i="76"/>
  <c r="H49" i="76"/>
  <c r="I49" i="76" s="1"/>
  <c r="F68" i="76"/>
  <c r="H68" i="76"/>
  <c r="I68" i="76" s="1"/>
  <c r="F60" i="76"/>
  <c r="H60" i="76"/>
  <c r="I60" i="76" s="1"/>
  <c r="F56" i="76"/>
  <c r="H56" i="76"/>
  <c r="I56" i="76" s="1"/>
  <c r="F48" i="76"/>
  <c r="H48" i="76"/>
  <c r="I48" i="76" s="1"/>
  <c r="F44" i="76"/>
  <c r="H44" i="76"/>
  <c r="I44" i="76" s="1"/>
  <c r="F36" i="76"/>
  <c r="H36" i="76"/>
  <c r="I36" i="76" s="1"/>
  <c r="F32" i="76"/>
  <c r="H32" i="76"/>
  <c r="I32" i="76" s="1"/>
  <c r="F24" i="76"/>
  <c r="H24" i="76"/>
  <c r="I24" i="76" s="1"/>
  <c r="F20" i="76"/>
  <c r="H20" i="76"/>
  <c r="I20" i="76" s="1"/>
  <c r="F12" i="76"/>
  <c r="H12" i="76"/>
  <c r="I12" i="76" s="1"/>
  <c r="F55" i="76"/>
  <c r="H55" i="76"/>
  <c r="I55" i="76" s="1"/>
  <c r="F43" i="76"/>
  <c r="H43" i="76"/>
  <c r="I43" i="76" s="1"/>
  <c r="F31" i="76"/>
  <c r="H31" i="76"/>
  <c r="I31" i="76" s="1"/>
  <c r="F19" i="76"/>
  <c r="H19" i="76"/>
  <c r="I19" i="76" s="1"/>
  <c r="F67" i="76"/>
  <c r="H67" i="76"/>
  <c r="I67" i="76" s="1"/>
  <c r="F66" i="76"/>
  <c r="H66" i="76"/>
  <c r="I66" i="76" s="1"/>
  <c r="F62" i="76"/>
  <c r="H62" i="76"/>
  <c r="I62" i="76" s="1"/>
  <c r="F54" i="76"/>
  <c r="H54" i="76"/>
  <c r="I54" i="76" s="1"/>
  <c r="F50" i="76"/>
  <c r="H50" i="76"/>
  <c r="I50" i="76" s="1"/>
  <c r="F42" i="76"/>
  <c r="H42" i="76"/>
  <c r="I42" i="76" s="1"/>
  <c r="F38" i="76"/>
  <c r="H38" i="76"/>
  <c r="I38" i="76" s="1"/>
  <c r="F30" i="76"/>
  <c r="H30" i="76"/>
  <c r="I30" i="76" s="1"/>
  <c r="F26" i="76"/>
  <c r="H26" i="76"/>
  <c r="I26" i="76" s="1"/>
  <c r="F18" i="76"/>
  <c r="H18" i="76"/>
  <c r="I18" i="76" s="1"/>
  <c r="F14" i="76"/>
  <c r="H14" i="76"/>
  <c r="I14" i="76" s="1"/>
  <c r="F61" i="76"/>
  <c r="H61" i="76"/>
  <c r="I61" i="76" s="1"/>
  <c r="F37" i="76"/>
  <c r="H37" i="76"/>
  <c r="I37" i="76" s="1"/>
  <c r="F25" i="76"/>
  <c r="H25" i="76"/>
  <c r="I25" i="76" s="1"/>
  <c r="F13" i="76"/>
  <c r="H13" i="76"/>
  <c r="I13" i="76" s="1"/>
  <c r="F64" i="77"/>
  <c r="F52" i="77"/>
  <c r="F42" i="77"/>
  <c r="F32" i="77"/>
  <c r="F16" i="77"/>
  <c r="F67" i="77"/>
  <c r="F63" i="77"/>
  <c r="F57" i="77"/>
  <c r="F51" i="77"/>
  <c r="F47" i="77"/>
  <c r="F41" i="77"/>
  <c r="F35" i="77"/>
  <c r="F31" i="77"/>
  <c r="F25" i="77"/>
  <c r="F19" i="77"/>
  <c r="F15" i="77"/>
  <c r="F71" i="77"/>
  <c r="F65" i="77"/>
  <c r="F59" i="77"/>
  <c r="F55" i="77"/>
  <c r="F49" i="77"/>
  <c r="F43" i="77"/>
  <c r="F39" i="77"/>
  <c r="F33" i="77"/>
  <c r="F27" i="77"/>
  <c r="F23" i="77"/>
  <c r="F17" i="77"/>
  <c r="F68" i="77"/>
  <c r="F58" i="77"/>
  <c r="F48" i="77"/>
  <c r="F36" i="77"/>
  <c r="F26" i="77"/>
  <c r="F20" i="77"/>
  <c r="F66" i="77"/>
  <c r="F60" i="77"/>
  <c r="F56" i="77"/>
  <c r="F50" i="77"/>
  <c r="F44" i="77"/>
  <c r="F40" i="77"/>
  <c r="F34" i="77"/>
  <c r="F28" i="77"/>
  <c r="F24" i="77"/>
  <c r="F18" i="77"/>
  <c r="F12" i="77"/>
  <c r="F70" i="77"/>
  <c r="F62" i="77"/>
  <c r="F54" i="77"/>
  <c r="F46" i="77"/>
  <c r="F38" i="77"/>
  <c r="F30" i="77"/>
  <c r="F22" i="77"/>
  <c r="F14" i="77"/>
  <c r="F69" i="77"/>
  <c r="F61" i="77"/>
  <c r="F53" i="77"/>
  <c r="F45" i="77"/>
  <c r="F37" i="77"/>
  <c r="F29" i="77"/>
  <c r="F21" i="77"/>
  <c r="F45" i="76"/>
  <c r="F27" i="76"/>
  <c r="F51" i="76"/>
  <c r="F10" i="76"/>
  <c r="F16" i="76"/>
  <c r="F22" i="76"/>
  <c r="F28" i="76"/>
  <c r="F34" i="76"/>
  <c r="F40" i="76"/>
  <c r="F46" i="76"/>
  <c r="F52" i="76"/>
  <c r="F58" i="76"/>
  <c r="F64" i="76"/>
  <c r="F9" i="76"/>
  <c r="F63" i="76"/>
  <c r="F21" i="76"/>
  <c r="F39" i="76"/>
  <c r="F57" i="76"/>
  <c r="F11" i="76"/>
  <c r="F17" i="76"/>
  <c r="F23" i="76"/>
  <c r="F29" i="76"/>
  <c r="F35" i="76"/>
  <c r="F41" i="76"/>
  <c r="F47" i="76"/>
  <c r="F53" i="76"/>
  <c r="F59" i="76"/>
  <c r="F65" i="76"/>
  <c r="F15" i="76"/>
  <c r="F33" i="76"/>
  <c r="E10" i="22"/>
  <c r="F10" i="22" s="1"/>
  <c r="D76" i="22" l="1"/>
  <c r="G10" i="22"/>
  <c r="E12" i="42"/>
  <c r="G12" i="42" s="1"/>
  <c r="E34" i="42" l="1"/>
  <c r="G34" i="42" s="1"/>
  <c r="E13" i="42"/>
  <c r="D4" i="17"/>
  <c r="D3" i="17"/>
  <c r="G37" i="42" l="1"/>
  <c r="G36" i="42"/>
  <c r="H7" i="60" l="1"/>
  <c r="I7" i="60" s="1"/>
  <c r="E4" i="59"/>
  <c r="C8" i="18"/>
  <c r="E8" i="18" s="1"/>
  <c r="G11" i="43" l="1"/>
  <c r="H11" i="43" s="1"/>
  <c r="G67" i="60" l="1"/>
  <c r="H67" i="60" s="1"/>
  <c r="I67" i="60" s="1"/>
  <c r="G66" i="60"/>
  <c r="H66" i="60" s="1"/>
  <c r="I66" i="60" s="1"/>
  <c r="G65" i="60"/>
  <c r="H65" i="60" s="1"/>
  <c r="I65" i="60" s="1"/>
  <c r="G64" i="60"/>
  <c r="H64" i="60" s="1"/>
  <c r="I64" i="60" s="1"/>
  <c r="G63" i="60"/>
  <c r="H63" i="60" s="1"/>
  <c r="I63" i="60" s="1"/>
  <c r="G62" i="60"/>
  <c r="H62" i="60" s="1"/>
  <c r="I62" i="60" s="1"/>
  <c r="G61" i="60"/>
  <c r="H61" i="60" s="1"/>
  <c r="I61" i="60" s="1"/>
  <c r="G60" i="60"/>
  <c r="H60" i="60" s="1"/>
  <c r="I60" i="60" s="1"/>
  <c r="G59" i="60"/>
  <c r="H59" i="60" s="1"/>
  <c r="I59" i="60" s="1"/>
  <c r="G58" i="60"/>
  <c r="H58" i="60" s="1"/>
  <c r="I58" i="60" s="1"/>
  <c r="G57" i="60"/>
  <c r="H57" i="60" s="1"/>
  <c r="I57" i="60" s="1"/>
  <c r="G56" i="60"/>
  <c r="H56" i="60" s="1"/>
  <c r="I56" i="60" s="1"/>
  <c r="G55" i="60"/>
  <c r="H55" i="60" s="1"/>
  <c r="I55" i="60" s="1"/>
  <c r="G54" i="60"/>
  <c r="H54" i="60" s="1"/>
  <c r="I54" i="60" s="1"/>
  <c r="G53" i="60"/>
  <c r="H53" i="60" s="1"/>
  <c r="I53" i="60" s="1"/>
  <c r="G52" i="60"/>
  <c r="H52" i="60" s="1"/>
  <c r="I52" i="60" s="1"/>
  <c r="G51" i="60"/>
  <c r="H51" i="60" s="1"/>
  <c r="I51" i="60" s="1"/>
  <c r="G50" i="60"/>
  <c r="H50" i="60" s="1"/>
  <c r="I50" i="60" s="1"/>
  <c r="G49" i="60"/>
  <c r="H49" i="60" s="1"/>
  <c r="I49" i="60" s="1"/>
  <c r="G48" i="60"/>
  <c r="H48" i="60" s="1"/>
  <c r="I48" i="60" s="1"/>
  <c r="G47" i="60"/>
  <c r="H47" i="60" s="1"/>
  <c r="I47" i="60" s="1"/>
  <c r="G46" i="60"/>
  <c r="H46" i="60" s="1"/>
  <c r="I46" i="60" s="1"/>
  <c r="G45" i="60"/>
  <c r="H45" i="60" s="1"/>
  <c r="I45" i="60" s="1"/>
  <c r="G44" i="60"/>
  <c r="H44" i="60" s="1"/>
  <c r="I44" i="60" s="1"/>
  <c r="G43" i="60"/>
  <c r="H43" i="60" s="1"/>
  <c r="I43" i="60" s="1"/>
  <c r="G42" i="60"/>
  <c r="H42" i="60" s="1"/>
  <c r="I42" i="60" s="1"/>
  <c r="G41" i="60"/>
  <c r="H41" i="60" s="1"/>
  <c r="I41" i="60" s="1"/>
  <c r="G40" i="60"/>
  <c r="H40" i="60" s="1"/>
  <c r="I40" i="60" s="1"/>
  <c r="G39" i="60"/>
  <c r="H39" i="60" s="1"/>
  <c r="I39" i="60" s="1"/>
  <c r="G38" i="60"/>
  <c r="H38" i="60" s="1"/>
  <c r="I38" i="60" s="1"/>
  <c r="G37" i="60"/>
  <c r="H37" i="60" s="1"/>
  <c r="I37" i="60" s="1"/>
  <c r="G36" i="60"/>
  <c r="H36" i="60" s="1"/>
  <c r="I36" i="60" s="1"/>
  <c r="G35" i="60"/>
  <c r="H35" i="60" s="1"/>
  <c r="I35" i="60" s="1"/>
  <c r="G34" i="60"/>
  <c r="H34" i="60" s="1"/>
  <c r="I34" i="60" s="1"/>
  <c r="G33" i="60"/>
  <c r="H33" i="60" s="1"/>
  <c r="I33" i="60" s="1"/>
  <c r="G32" i="60"/>
  <c r="H32" i="60" s="1"/>
  <c r="I32" i="60" s="1"/>
  <c r="G31" i="60"/>
  <c r="H31" i="60" s="1"/>
  <c r="I31" i="60" s="1"/>
  <c r="G30" i="60"/>
  <c r="H30" i="60" s="1"/>
  <c r="I30" i="60" s="1"/>
  <c r="G29" i="60"/>
  <c r="H29" i="60" s="1"/>
  <c r="I29" i="60" s="1"/>
  <c r="G28" i="60"/>
  <c r="H28" i="60" s="1"/>
  <c r="I28" i="60" s="1"/>
  <c r="G27" i="60"/>
  <c r="H27" i="60" s="1"/>
  <c r="I27" i="60" s="1"/>
  <c r="G26" i="60"/>
  <c r="H26" i="60" s="1"/>
  <c r="I26" i="60" s="1"/>
  <c r="G25" i="60"/>
  <c r="H25" i="60" s="1"/>
  <c r="I25" i="60" s="1"/>
  <c r="G24" i="60"/>
  <c r="H24" i="60" s="1"/>
  <c r="I24" i="60" s="1"/>
  <c r="G23" i="60"/>
  <c r="H23" i="60" s="1"/>
  <c r="I23" i="60" s="1"/>
  <c r="G22" i="60"/>
  <c r="H22" i="60" s="1"/>
  <c r="I22" i="60" s="1"/>
  <c r="G21" i="60"/>
  <c r="H21" i="60" s="1"/>
  <c r="I21" i="60" s="1"/>
  <c r="G20" i="60"/>
  <c r="H20" i="60" s="1"/>
  <c r="I20" i="60" s="1"/>
  <c r="G19" i="60"/>
  <c r="H19" i="60" s="1"/>
  <c r="I19" i="60" s="1"/>
  <c r="G18" i="60"/>
  <c r="H18" i="60" s="1"/>
  <c r="I18" i="60" s="1"/>
  <c r="G17" i="60"/>
  <c r="H17" i="60" s="1"/>
  <c r="I17" i="60" s="1"/>
  <c r="G16" i="60"/>
  <c r="H16" i="60" s="1"/>
  <c r="I16" i="60" s="1"/>
  <c r="G15" i="60"/>
  <c r="H15" i="60" s="1"/>
  <c r="I15" i="60" s="1"/>
  <c r="G14" i="60"/>
  <c r="H14" i="60" s="1"/>
  <c r="I14" i="60" s="1"/>
  <c r="G13" i="60"/>
  <c r="H13" i="60" s="1"/>
  <c r="I13" i="60" s="1"/>
  <c r="G12" i="60"/>
  <c r="H12" i="60" s="1"/>
  <c r="I12" i="60" s="1"/>
  <c r="G11" i="60"/>
  <c r="H11" i="60" s="1"/>
  <c r="I11" i="60" s="1"/>
  <c r="G10" i="60"/>
  <c r="H10" i="60" s="1"/>
  <c r="I10" i="60" s="1"/>
  <c r="G9" i="60"/>
  <c r="H9" i="60" s="1"/>
  <c r="I9" i="60" s="1"/>
  <c r="G8" i="60"/>
  <c r="H8" i="60" s="1"/>
  <c r="I8" i="60" s="1"/>
  <c r="E64" i="59" l="1"/>
  <c r="E63" i="59"/>
  <c r="E62" i="59"/>
  <c r="E61" i="59"/>
  <c r="E60" i="59"/>
  <c r="E59" i="59"/>
  <c r="E58" i="59"/>
  <c r="E57" i="59"/>
  <c r="E56" i="59"/>
  <c r="E55" i="59"/>
  <c r="E54" i="59"/>
  <c r="E53" i="59"/>
  <c r="E52" i="59"/>
  <c r="E51" i="59"/>
  <c r="E50" i="59"/>
  <c r="E49" i="59"/>
  <c r="E48" i="59"/>
  <c r="E47" i="59"/>
  <c r="E46" i="59"/>
  <c r="E45" i="59"/>
  <c r="E44" i="59"/>
  <c r="E43" i="59"/>
  <c r="E42" i="59"/>
  <c r="E41" i="59"/>
  <c r="E40" i="59"/>
  <c r="E39" i="59"/>
  <c r="E38" i="59"/>
  <c r="E37" i="59"/>
  <c r="E36" i="59"/>
  <c r="E35" i="59"/>
  <c r="E34" i="59"/>
  <c r="E33" i="59"/>
  <c r="E32" i="59"/>
  <c r="E31" i="59"/>
  <c r="E30" i="59"/>
  <c r="E29" i="59"/>
  <c r="E28" i="59"/>
  <c r="E27" i="59"/>
  <c r="E26" i="59"/>
  <c r="E25" i="59"/>
  <c r="E24" i="59"/>
  <c r="E23" i="59"/>
  <c r="E22" i="59"/>
  <c r="E21" i="59"/>
  <c r="E20" i="59"/>
  <c r="E19" i="59"/>
  <c r="E18" i="59"/>
  <c r="E17" i="59"/>
  <c r="E16" i="59"/>
  <c r="E15" i="59"/>
  <c r="E14" i="59"/>
  <c r="E13" i="59"/>
  <c r="E12" i="59"/>
  <c r="E11" i="59"/>
  <c r="E10" i="59"/>
  <c r="E9" i="59"/>
  <c r="E8" i="59"/>
  <c r="E7" i="59"/>
  <c r="E6" i="59"/>
  <c r="E5" i="59"/>
  <c r="E11" i="22" l="1"/>
  <c r="G5" i="43" l="1"/>
  <c r="H10" i="43"/>
  <c r="G6" i="43"/>
  <c r="G4" i="43"/>
  <c r="F37" i="43" l="1"/>
  <c r="F45" i="43"/>
  <c r="F53" i="43"/>
  <c r="F61" i="43"/>
  <c r="F69" i="43"/>
  <c r="F38" i="43"/>
  <c r="F46" i="43"/>
  <c r="F54" i="43"/>
  <c r="F62" i="43"/>
  <c r="F70" i="43"/>
  <c r="F40" i="43"/>
  <c r="F56" i="43"/>
  <c r="F49" i="43"/>
  <c r="F65" i="43"/>
  <c r="F68" i="43"/>
  <c r="F39" i="43"/>
  <c r="F47" i="43"/>
  <c r="F55" i="43"/>
  <c r="F63" i="43"/>
  <c r="F36" i="43"/>
  <c r="F48" i="43"/>
  <c r="F64" i="43"/>
  <c r="F41" i="43"/>
  <c r="F57" i="43"/>
  <c r="F44" i="43"/>
  <c r="F60" i="43"/>
  <c r="F42" i="43"/>
  <c r="F50" i="43"/>
  <c r="F58" i="43"/>
  <c r="F66" i="43"/>
  <c r="F43" i="43"/>
  <c r="F51" i="43"/>
  <c r="F59" i="43"/>
  <c r="F67" i="43"/>
  <c r="F52" i="43"/>
  <c r="G33" i="43"/>
  <c r="H33" i="43" s="1"/>
  <c r="G31" i="43"/>
  <c r="H31" i="43" s="1"/>
  <c r="G14" i="43"/>
  <c r="H14" i="43" s="1"/>
  <c r="G34" i="43"/>
  <c r="H34" i="43" s="1"/>
  <c r="G32" i="43"/>
  <c r="H32" i="43" s="1"/>
  <c r="G30" i="43"/>
  <c r="H30" i="43" s="1"/>
  <c r="G17" i="43"/>
  <c r="H17" i="43" s="1"/>
  <c r="G15" i="43"/>
  <c r="H15" i="43" s="1"/>
  <c r="G13" i="43"/>
  <c r="H13" i="43" s="1"/>
  <c r="G21" i="43"/>
  <c r="H21" i="43" s="1"/>
  <c r="G19" i="43"/>
  <c r="H19" i="43" s="1"/>
  <c r="G29" i="43"/>
  <c r="H29" i="43" s="1"/>
  <c r="G16" i="43"/>
  <c r="H16" i="43" s="1"/>
  <c r="G12" i="43"/>
  <c r="H12" i="43" s="1"/>
  <c r="G22" i="43"/>
  <c r="H22" i="43" s="1"/>
  <c r="G20" i="43"/>
  <c r="H20" i="43" s="1"/>
  <c r="G18" i="43"/>
  <c r="H18" i="43" s="1"/>
  <c r="G28" i="43"/>
  <c r="H28" i="43" s="1"/>
  <c r="G27" i="43"/>
  <c r="H27" i="43" s="1"/>
  <c r="G26" i="43"/>
  <c r="H26" i="43" s="1"/>
  <c r="G25" i="43"/>
  <c r="H25" i="43" s="1"/>
  <c r="G24" i="43"/>
  <c r="H24" i="43" s="1"/>
  <c r="G35" i="43"/>
  <c r="H35" i="43" s="1"/>
  <c r="G23" i="43"/>
  <c r="H23" i="43" s="1"/>
  <c r="G67" i="43" l="1"/>
  <c r="H67" i="43" s="1"/>
  <c r="G56" i="43"/>
  <c r="H56" i="43" s="1"/>
  <c r="G55" i="43"/>
  <c r="H55" i="43" s="1"/>
  <c r="G70" i="43"/>
  <c r="H70" i="43" s="1"/>
  <c r="G69" i="43"/>
  <c r="H69" i="43" s="1"/>
  <c r="G40" i="43"/>
  <c r="H40" i="43" s="1"/>
  <c r="G48" i="43"/>
  <c r="H48" i="43" s="1"/>
  <c r="G61" i="43"/>
  <c r="H61" i="43" s="1"/>
  <c r="G38" i="43"/>
  <c r="H38" i="43" s="1"/>
  <c r="G68" i="43"/>
  <c r="H68" i="43" s="1"/>
  <c r="G39" i="43"/>
  <c r="H39" i="43" s="1"/>
  <c r="G43" i="43"/>
  <c r="H43" i="43" s="1"/>
  <c r="G47" i="43"/>
  <c r="H47" i="43" s="1"/>
  <c r="G46" i="43"/>
  <c r="H46" i="43" s="1"/>
  <c r="G41" i="43"/>
  <c r="H41" i="43" s="1"/>
  <c r="G60" i="43"/>
  <c r="H60" i="43" s="1"/>
  <c r="G37" i="43"/>
  <c r="H37" i="43" s="1"/>
  <c r="G44" i="43"/>
  <c r="H44" i="43" s="1"/>
  <c r="G62" i="43"/>
  <c r="H62" i="43" s="1"/>
  <c r="G51" i="43"/>
  <c r="H51" i="43" s="1"/>
  <c r="G58" i="43"/>
  <c r="H58" i="43" s="1"/>
  <c r="G52" i="43"/>
  <c r="H52" i="43" s="1"/>
  <c r="G66" i="43"/>
  <c r="H66" i="43" s="1"/>
  <c r="G53" i="43"/>
  <c r="H53" i="43" s="1"/>
  <c r="G36" i="43"/>
  <c r="H36" i="43" s="1"/>
  <c r="G42" i="43"/>
  <c r="H42" i="43" s="1"/>
  <c r="G50" i="43"/>
  <c r="H50" i="43" s="1"/>
  <c r="G45" i="43"/>
  <c r="H45" i="43" s="1"/>
  <c r="G57" i="43"/>
  <c r="H57" i="43" s="1"/>
  <c r="G63" i="43"/>
  <c r="H63" i="43" s="1"/>
  <c r="G59" i="43"/>
  <c r="H59" i="43" s="1"/>
  <c r="G64" i="43"/>
  <c r="H64" i="43" s="1"/>
  <c r="G49" i="43"/>
  <c r="H49" i="43" s="1"/>
  <c r="G65" i="43"/>
  <c r="H65" i="43" s="1"/>
  <c r="G54" i="43"/>
  <c r="H54" i="43" s="1"/>
  <c r="E14" i="42"/>
  <c r="G14" i="42" s="1"/>
  <c r="E15" i="42"/>
  <c r="G15" i="42" s="1"/>
  <c r="E16" i="42"/>
  <c r="G16" i="42" s="1"/>
  <c r="E17" i="42"/>
  <c r="G17" i="42" s="1"/>
  <c r="E18" i="42"/>
  <c r="G18" i="42" s="1"/>
  <c r="E19" i="42"/>
  <c r="G19" i="42" s="1"/>
  <c r="E20" i="42"/>
  <c r="G20" i="42" s="1"/>
  <c r="E21" i="42"/>
  <c r="G21" i="42" s="1"/>
  <c r="E22" i="42"/>
  <c r="G22" i="42" s="1"/>
  <c r="E23" i="42"/>
  <c r="G23" i="42" s="1"/>
  <c r="E24" i="42"/>
  <c r="G24" i="42" s="1"/>
  <c r="E25" i="42"/>
  <c r="G25" i="42" s="1"/>
  <c r="E26" i="42"/>
  <c r="G26" i="42" s="1"/>
  <c r="E27" i="42"/>
  <c r="G27" i="42" s="1"/>
  <c r="E28" i="42"/>
  <c r="G28" i="42" s="1"/>
  <c r="E29" i="42"/>
  <c r="G29" i="42" s="1"/>
  <c r="E30" i="42"/>
  <c r="G30" i="42" s="1"/>
  <c r="E31" i="42"/>
  <c r="G31" i="42" s="1"/>
  <c r="E32" i="42"/>
  <c r="G32" i="42" s="1"/>
  <c r="E33" i="42"/>
  <c r="G33" i="42" s="1"/>
  <c r="G13" i="42"/>
  <c r="G46" i="42" l="1"/>
  <c r="G35" i="42"/>
  <c r="G61" i="42"/>
  <c r="G62" i="42"/>
  <c r="G57" i="42"/>
  <c r="G58" i="42"/>
  <c r="G53" i="42"/>
  <c r="G38" i="42"/>
  <c r="G70" i="42"/>
  <c r="G69" i="42"/>
  <c r="G45" i="42"/>
  <c r="G66" i="42"/>
  <c r="G42" i="42"/>
  <c r="G54" i="42"/>
  <c r="G50" i="42"/>
  <c r="G49" i="42"/>
  <c r="G65" i="42"/>
  <c r="G41" i="42"/>
  <c r="G72" i="42"/>
  <c r="G68" i="42"/>
  <c r="G64" i="42"/>
  <c r="G60" i="42"/>
  <c r="G56" i="42"/>
  <c r="G52" i="42"/>
  <c r="G48" i="42"/>
  <c r="G44" i="42"/>
  <c r="G40" i="42"/>
  <c r="G71" i="42"/>
  <c r="G67" i="42"/>
  <c r="G63" i="42"/>
  <c r="G59" i="42"/>
  <c r="G55" i="42"/>
  <c r="G51" i="42"/>
  <c r="G47" i="42"/>
  <c r="G43" i="42"/>
  <c r="G39" i="42"/>
  <c r="E12" i="22" l="1"/>
  <c r="F12" i="22" s="1"/>
  <c r="E13" i="22"/>
  <c r="F13" i="22" s="1"/>
  <c r="E14" i="22"/>
  <c r="F14" i="22" s="1"/>
  <c r="E15" i="22"/>
  <c r="F15" i="22" s="1"/>
  <c r="E16" i="22"/>
  <c r="F16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3" i="22"/>
  <c r="F23" i="22" s="1"/>
  <c r="E24" i="22"/>
  <c r="F24" i="22" s="1"/>
  <c r="E25" i="22"/>
  <c r="F25" i="22" s="1"/>
  <c r="E26" i="22"/>
  <c r="F26" i="22" s="1"/>
  <c r="E27" i="22"/>
  <c r="F27" i="22" s="1"/>
  <c r="E28" i="22"/>
  <c r="F28" i="22" s="1"/>
  <c r="E29" i="22"/>
  <c r="F29" i="22" s="1"/>
  <c r="E30" i="22"/>
  <c r="F30" i="22" s="1"/>
  <c r="E31" i="22"/>
  <c r="F31" i="22" s="1"/>
  <c r="E32" i="22"/>
  <c r="F32" i="22" s="1"/>
  <c r="E33" i="22"/>
  <c r="F33" i="22" s="1"/>
  <c r="E34" i="22"/>
  <c r="F34" i="22" s="1"/>
  <c r="E35" i="22"/>
  <c r="F35" i="22" s="1"/>
  <c r="E36" i="22"/>
  <c r="F36" i="22" s="1"/>
  <c r="E37" i="22"/>
  <c r="F37" i="22" s="1"/>
  <c r="E38" i="22"/>
  <c r="F38" i="22" s="1"/>
  <c r="E39" i="22"/>
  <c r="F39" i="22" s="1"/>
  <c r="E40" i="22"/>
  <c r="F40" i="22" s="1"/>
  <c r="E41" i="22"/>
  <c r="F41" i="22" s="1"/>
  <c r="E42" i="22"/>
  <c r="F42" i="22" s="1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2" i="22"/>
  <c r="F62" i="22" s="1"/>
  <c r="E63" i="22"/>
  <c r="F63" i="22" s="1"/>
  <c r="E64" i="22"/>
  <c r="F64" i="22" s="1"/>
  <c r="E65" i="22"/>
  <c r="F65" i="22" s="1"/>
  <c r="E66" i="22"/>
  <c r="F66" i="22" s="1"/>
  <c r="E67" i="22"/>
  <c r="F67" i="22" s="1"/>
  <c r="E68" i="22"/>
  <c r="F68" i="22" s="1"/>
  <c r="E69" i="22"/>
  <c r="F69" i="22" s="1"/>
  <c r="E70" i="22"/>
  <c r="F70" i="22" s="1"/>
  <c r="F11" i="22"/>
  <c r="G70" i="22" l="1"/>
  <c r="G19" i="22"/>
  <c r="D85" i="22"/>
  <c r="G30" i="22"/>
  <c r="D96" i="22"/>
  <c r="G65" i="22"/>
  <c r="D131" i="22"/>
  <c r="G53" i="22"/>
  <c r="D119" i="22"/>
  <c r="G41" i="22"/>
  <c r="D107" i="22"/>
  <c r="G29" i="22"/>
  <c r="D95" i="22"/>
  <c r="G17" i="22"/>
  <c r="D83" i="22"/>
  <c r="G64" i="22"/>
  <c r="D130" i="22"/>
  <c r="G52" i="22"/>
  <c r="D118" i="22"/>
  <c r="G40" i="22"/>
  <c r="D106" i="22"/>
  <c r="G28" i="22"/>
  <c r="D94" i="22"/>
  <c r="G16" i="22"/>
  <c r="D82" i="22"/>
  <c r="G63" i="22"/>
  <c r="D129" i="22"/>
  <c r="G51" i="22"/>
  <c r="D117" i="22"/>
  <c r="G39" i="22"/>
  <c r="D105" i="22"/>
  <c r="G27" i="22"/>
  <c r="D93" i="22"/>
  <c r="G15" i="22"/>
  <c r="D81" i="22"/>
  <c r="G55" i="22"/>
  <c r="D121" i="22"/>
  <c r="G54" i="22"/>
  <c r="D120" i="22"/>
  <c r="G50" i="22"/>
  <c r="D116" i="22"/>
  <c r="G37" i="22"/>
  <c r="D103" i="22"/>
  <c r="G48" i="22"/>
  <c r="D114" i="22"/>
  <c r="G23" i="22"/>
  <c r="D89" i="22"/>
  <c r="G31" i="22"/>
  <c r="D97" i="22"/>
  <c r="G18" i="22"/>
  <c r="D84" i="22"/>
  <c r="G62" i="22"/>
  <c r="D128" i="22"/>
  <c r="G14" i="22"/>
  <c r="D80" i="22"/>
  <c r="G49" i="22"/>
  <c r="D115" i="22"/>
  <c r="G12" i="22"/>
  <c r="D78" i="22"/>
  <c r="G59" i="22"/>
  <c r="D125" i="22"/>
  <c r="G58" i="22"/>
  <c r="D124" i="22"/>
  <c r="G46" i="22"/>
  <c r="D112" i="22"/>
  <c r="G34" i="22"/>
  <c r="D100" i="22"/>
  <c r="G22" i="22"/>
  <c r="D88" i="22"/>
  <c r="G67" i="22"/>
  <c r="D133" i="22"/>
  <c r="G42" i="22"/>
  <c r="D108" i="22"/>
  <c r="G26" i="22"/>
  <c r="D92" i="22"/>
  <c r="G61" i="22"/>
  <c r="D127" i="22"/>
  <c r="G13" i="22"/>
  <c r="D79" i="22"/>
  <c r="G36" i="22"/>
  <c r="D102" i="22"/>
  <c r="G35" i="22"/>
  <c r="D101" i="22"/>
  <c r="G69" i="22"/>
  <c r="D135" i="22"/>
  <c r="G57" i="22"/>
  <c r="D123" i="22"/>
  <c r="G45" i="22"/>
  <c r="D111" i="22"/>
  <c r="G33" i="22"/>
  <c r="D99" i="22"/>
  <c r="G21" i="22"/>
  <c r="D87" i="22"/>
  <c r="G43" i="22"/>
  <c r="D109" i="22"/>
  <c r="G66" i="22"/>
  <c r="D132" i="22"/>
  <c r="G38" i="22"/>
  <c r="D104" i="22"/>
  <c r="G25" i="22"/>
  <c r="D91" i="22"/>
  <c r="G60" i="22"/>
  <c r="D126" i="22"/>
  <c r="G24" i="22"/>
  <c r="D90" i="22"/>
  <c r="G11" i="22"/>
  <c r="D77" i="22"/>
  <c r="G47" i="22"/>
  <c r="D113" i="22"/>
  <c r="G68" i="22"/>
  <c r="D134" i="22"/>
  <c r="G56" i="22"/>
  <c r="D122" i="22"/>
  <c r="G44" i="22"/>
  <c r="D110" i="22"/>
  <c r="G32" i="22"/>
  <c r="D98" i="22"/>
  <c r="G20" i="22"/>
  <c r="D86" i="22"/>
  <c r="C17" i="18"/>
  <c r="E17" i="18" s="1"/>
  <c r="C18" i="18"/>
  <c r="E18" i="18" s="1"/>
  <c r="C19" i="18"/>
  <c r="E19" i="18" s="1"/>
  <c r="C20" i="18"/>
  <c r="E20" i="18" s="1"/>
  <c r="C21" i="18"/>
  <c r="E21" i="18" s="1"/>
  <c r="C22" i="18"/>
  <c r="E22" i="18" s="1"/>
  <c r="C23" i="18"/>
  <c r="E23" i="18" s="1"/>
  <c r="C24" i="18"/>
  <c r="E24" i="18" s="1"/>
  <c r="C25" i="18"/>
  <c r="E25" i="18" s="1"/>
  <c r="C26" i="18"/>
  <c r="E26" i="18" s="1"/>
  <c r="C27" i="18"/>
  <c r="E27" i="18" s="1"/>
  <c r="C28" i="18"/>
  <c r="E28" i="18" s="1"/>
  <c r="C29" i="18"/>
  <c r="E29" i="18" s="1"/>
  <c r="C30" i="18"/>
  <c r="E30" i="18" s="1"/>
  <c r="C31" i="18"/>
  <c r="E31" i="18" s="1"/>
  <c r="C32" i="18"/>
  <c r="E32" i="18" s="1"/>
  <c r="C33" i="18"/>
  <c r="E33" i="18" s="1"/>
  <c r="C34" i="18"/>
  <c r="E34" i="18" s="1"/>
  <c r="C35" i="18"/>
  <c r="E35" i="18" s="1"/>
  <c r="C36" i="18"/>
  <c r="E36" i="18" s="1"/>
  <c r="C37" i="18"/>
  <c r="E37" i="18" s="1"/>
  <c r="C38" i="18"/>
  <c r="E38" i="18" s="1"/>
  <c r="C39" i="18"/>
  <c r="E39" i="18" s="1"/>
  <c r="C40" i="18"/>
  <c r="E40" i="18" s="1"/>
  <c r="C41" i="18"/>
  <c r="E41" i="18" s="1"/>
  <c r="C42" i="18"/>
  <c r="E42" i="18" s="1"/>
  <c r="C43" i="18"/>
  <c r="E43" i="18" s="1"/>
  <c r="C44" i="18"/>
  <c r="E44" i="18" s="1"/>
  <c r="C45" i="18"/>
  <c r="E45" i="18" s="1"/>
  <c r="C46" i="18"/>
  <c r="E46" i="18" s="1"/>
  <c r="C47" i="18"/>
  <c r="E47" i="18" s="1"/>
  <c r="C48" i="18"/>
  <c r="E48" i="18" s="1"/>
  <c r="C49" i="18"/>
  <c r="E49" i="18" s="1"/>
  <c r="C50" i="18"/>
  <c r="E50" i="18" s="1"/>
  <c r="C51" i="18"/>
  <c r="E51" i="18" s="1"/>
  <c r="C52" i="18"/>
  <c r="E52" i="18" s="1"/>
  <c r="C53" i="18"/>
  <c r="E53" i="18" s="1"/>
  <c r="C54" i="18"/>
  <c r="E54" i="18" s="1"/>
  <c r="C55" i="18"/>
  <c r="E55" i="18" s="1"/>
  <c r="C56" i="18"/>
  <c r="E56" i="18" s="1"/>
  <c r="C57" i="18"/>
  <c r="E57" i="18" s="1"/>
  <c r="C58" i="18"/>
  <c r="E58" i="18" s="1"/>
  <c r="C59" i="18"/>
  <c r="E59" i="18" s="1"/>
  <c r="C60" i="18"/>
  <c r="E60" i="18" s="1"/>
  <c r="C61" i="18"/>
  <c r="E61" i="18" s="1"/>
  <c r="C62" i="18"/>
  <c r="E62" i="18" s="1"/>
  <c r="C63" i="18"/>
  <c r="E63" i="18" s="1"/>
  <c r="C64" i="18"/>
  <c r="E64" i="18" s="1"/>
  <c r="C65" i="18"/>
  <c r="E65" i="18" s="1"/>
  <c r="C66" i="18"/>
  <c r="E66" i="18" s="1"/>
  <c r="C67" i="18"/>
  <c r="E67" i="18" s="1"/>
  <c r="C68" i="18"/>
  <c r="E68" i="18" s="1"/>
  <c r="C10" i="18"/>
  <c r="E10" i="18" s="1"/>
  <c r="C11" i="18"/>
  <c r="E11" i="18" s="1"/>
  <c r="C12" i="18"/>
  <c r="E12" i="18" s="1"/>
  <c r="C13" i="18"/>
  <c r="E13" i="18" s="1"/>
  <c r="C14" i="18"/>
  <c r="E14" i="18" s="1"/>
  <c r="C15" i="18"/>
  <c r="E15" i="18" s="1"/>
  <c r="C16" i="18"/>
  <c r="E16" i="18" s="1"/>
  <c r="C9" i="18"/>
  <c r="E9" i="18" s="1"/>
</calcChain>
</file>

<file path=xl/sharedStrings.xml><?xml version="1.0" encoding="utf-8"?>
<sst xmlns="http://schemas.openxmlformats.org/spreadsheetml/2006/main" count="448" uniqueCount="338">
  <si>
    <t>Eqn</t>
  </si>
  <si>
    <t>MBW</t>
  </si>
  <si>
    <t xml:space="preserve">EXP(-3.751 + 0.422 * LOG(MBH) + 0.515 * LOG(MBW)) </t>
  </si>
  <si>
    <t>Maximum height</t>
  </si>
  <si>
    <t xml:space="preserve">THETA </t>
  </si>
  <si>
    <t>Year; Timing parameter controlling the location of the adolescent growth spurt along the time axis</t>
  </si>
  <si>
    <t>S0</t>
  </si>
  <si>
    <t>Parameter controlling pre-pubertal growth velocity</t>
  </si>
  <si>
    <t>S1</t>
  </si>
  <si>
    <t>Parameter controlling pubertal growth velocity</t>
  </si>
  <si>
    <t>MBH</t>
  </si>
  <si>
    <t>MBSA</t>
  </si>
  <si>
    <t>m^2; BSA for an average person</t>
  </si>
  <si>
    <t>Final value for m file</t>
  </si>
  <si>
    <t xml:space="preserve">Body weight Calculations </t>
  </si>
  <si>
    <t>Age (years)</t>
  </si>
  <si>
    <t xml:space="preserve">Eqn </t>
  </si>
  <si>
    <t>MHT</t>
  </si>
  <si>
    <t>Calculated value (cm)</t>
  </si>
  <si>
    <t>Age (year)</t>
  </si>
  <si>
    <t>MVLiv</t>
  </si>
  <si>
    <t>MBW (kg)</t>
  </si>
  <si>
    <t>(1.0728 * MBSA - 0.3457) * MVLiv268 / (1.0728 * MBSA_268_303 - 0.3457)</t>
  </si>
  <si>
    <t>L; Fat volume for an average person</t>
  </si>
  <si>
    <t>MVFATADULT</t>
  </si>
  <si>
    <t>MBW25 * ((1.5334 * exp(-0.103 * 25.0) + 0.67) * MBMI25 + 0.6276 * 25.0 + 1.0301) / 100.0</t>
  </si>
  <si>
    <t>MPERFAT25A</t>
  </si>
  <si>
    <t>MPERFAT25B</t>
  </si>
  <si>
    <t>(1.5334 * exp(-0.103 * 25.0) + 0.67) * MBMI25 + 0.6276 * 25.0 + 1.0301</t>
  </si>
  <si>
    <t>%; Percent fat for an average person at age 25 using the equations for age &lt;= 25 years old</t>
  </si>
  <si>
    <t>%; Percent fat for an average person at age 25 using the equations for age &gt; 25 years old</t>
  </si>
  <si>
    <t xml:space="preserve">MBW / ((MBH / 100.0)**2.0)  </t>
  </si>
  <si>
    <t>BMI for an average person</t>
  </si>
  <si>
    <t xml:space="preserve">MBMI </t>
  </si>
  <si>
    <t>Brain</t>
  </si>
  <si>
    <t>Value (L)</t>
  </si>
  <si>
    <t>Year</t>
  </si>
  <si>
    <t>VBRN</t>
  </si>
  <si>
    <t>L; Brain volume</t>
  </si>
  <si>
    <t>MVPLAS</t>
  </si>
  <si>
    <t>MVPLASADULT</t>
  </si>
  <si>
    <t>Plasma volume for an average person at adult age</t>
  </si>
  <si>
    <t>Plasma volume for an average person</t>
  </si>
  <si>
    <t>HCT</t>
  </si>
  <si>
    <t>QCMIN</t>
  </si>
  <si>
    <t>QC_BSA * BSA * (1.0 + WSV_QCMIN)</t>
  </si>
  <si>
    <t>QC</t>
  </si>
  <si>
    <t>QCMIN * 60.0</t>
  </si>
  <si>
    <t>L/hr; Cardiac output</t>
  </si>
  <si>
    <t>L/min; Cardiac output</t>
  </si>
  <si>
    <t xml:space="preserve">QC * (1.0 - HTC)  </t>
  </si>
  <si>
    <t>QCP</t>
  </si>
  <si>
    <t xml:space="preserve">L/hr; Cardiac plasma output  </t>
  </si>
  <si>
    <t>QCMIN (L/min)</t>
  </si>
  <si>
    <t>QC (L/hr)</t>
  </si>
  <si>
    <t>QCP (L/hr)</t>
  </si>
  <si>
    <t>L/min/m^2; Constant to calculate Cardiac Output scaled by Body Surface Area</t>
  </si>
  <si>
    <t xml:space="preserve">CONSTANT     QC_BSA </t>
  </si>
  <si>
    <t>WSV_QCMIN</t>
  </si>
  <si>
    <t xml:space="preserve">L/min; Between subject variability on cardiac output: QCMIN </t>
  </si>
  <si>
    <t>Age (Year)</t>
  </si>
  <si>
    <t>The relationship between cardiac output and BSA was reported by Cowles et al. (1971)</t>
  </si>
  <si>
    <t>QFAT</t>
  </si>
  <si>
    <t>QFAT (L/hr)</t>
  </si>
  <si>
    <t xml:space="preserve">VFATC </t>
  </si>
  <si>
    <t>Value</t>
  </si>
  <si>
    <t>QBRNC</t>
  </si>
  <si>
    <t>QBRN</t>
  </si>
  <si>
    <t>VBRNC</t>
  </si>
  <si>
    <t>VFATC</t>
  </si>
  <si>
    <t>Calculate VLIVC</t>
  </si>
  <si>
    <t>VLivC</t>
  </si>
  <si>
    <t>Body Height (BH); Male</t>
  </si>
  <si>
    <t xml:space="preserve">0.05012 * MBW**0.78 </t>
  </si>
  <si>
    <t>MVFAT</t>
  </si>
  <si>
    <t>MBW * ((1.5334 * exp(-0.103 * YEARS) + 0.67) * MBMI + 0.6276 * YEARS + 1.0301) / 100.0</t>
  </si>
  <si>
    <t>MBMI</t>
  </si>
  <si>
    <t>MBW * (1.9224 * MBMI - 0.018517 * (MBMI**2.0) + 0.05537 * YEARS - 0.794894) * (MPERFAT25A / MPERFAT25B) / 100.0</t>
  </si>
  <si>
    <t>Equation</t>
  </si>
  <si>
    <t>Calculate MVLIV (L)</t>
  </si>
  <si>
    <t>QBRN (L/hr)</t>
  </si>
  <si>
    <t xml:space="preserve">BW (Kg) </t>
  </si>
  <si>
    <t>Life Stage Liver Volume (VLiv) determined by BW and BSA</t>
  </si>
  <si>
    <t>m^2; BSA for an average person at 268 (female) or 303 (male) months old</t>
  </si>
  <si>
    <t xml:space="preserve">H1; cm; </t>
  </si>
  <si>
    <t>MBSA_268_303</t>
  </si>
  <si>
    <t>MBWADULT</t>
  </si>
  <si>
    <t>L; Liver volume for an average person if ≤ 22Y</t>
  </si>
  <si>
    <t>L; Liver volume for an average person if &gt; 22Y</t>
  </si>
  <si>
    <t xml:space="preserve">cm, Mean height of all ages </t>
  </si>
  <si>
    <t>H1</t>
  </si>
  <si>
    <t xml:space="preserve">Mean values of S0, S1, θ, h1, hθ, C1, and D1 for males and females were estimated based on the median BH curve from NHANES 2003-2004 data.
</t>
  </si>
  <si>
    <t>cm; Maximum height of adult i.e 25Y</t>
  </si>
  <si>
    <t>0.05012 * MBW^0.78</t>
  </si>
  <si>
    <t>MVLiv268</t>
  </si>
  <si>
    <t>L; Liver volume at age 268 months for an average person</t>
  </si>
  <si>
    <t>0.05012 * MBWADULT**0.78</t>
  </si>
  <si>
    <t>1.9224 * MBMI25 - 0.018517 * (MBMI25^2.0) + 0.05537 * 25.0 - 0.794894</t>
  </si>
  <si>
    <t>Calculate VBRN (L)</t>
  </si>
  <si>
    <t>MBW (Kg)</t>
  </si>
  <si>
    <t>Variable</t>
  </si>
  <si>
    <t xml:space="preserve"> (VTisC/VTisCAdult)*QTisCAdult
</t>
  </si>
  <si>
    <t xml:space="preserve">VTisAdult/BWAdult
</t>
  </si>
  <si>
    <t>QLIV</t>
  </si>
  <si>
    <t>QFATC</t>
  </si>
  <si>
    <t>QFATC_Adult</t>
  </si>
  <si>
    <t>VFATC_Adult</t>
  </si>
  <si>
    <t>QLIVC_Adult</t>
  </si>
  <si>
    <t>VLIVC_Adult</t>
  </si>
  <si>
    <t xml:space="preserve">VFAT_Adult/BW_Adult
</t>
  </si>
  <si>
    <r>
      <t xml:space="preserve">Fractional male hepatic </t>
    </r>
    <r>
      <rPr>
        <b/>
        <u/>
        <sz val="12"/>
        <rFont val="Times New Roman"/>
        <family val="1"/>
      </rPr>
      <t>arterial flow</t>
    </r>
    <r>
      <rPr>
        <sz val="12"/>
        <rFont val="Times New Roman"/>
        <family val="1"/>
      </rPr>
      <t xml:space="preserve"> at adult age for an average person. Data from ICRP 2002. </t>
    </r>
  </si>
  <si>
    <t xml:space="preserve">QCC * (BW**0.75)*(1-HCT) </t>
  </si>
  <si>
    <t>cardiac output (note for plasma)</t>
  </si>
  <si>
    <t xml:space="preserve">QC   </t>
  </si>
  <si>
    <t>Calculated value (kg / m^2)</t>
  </si>
  <si>
    <t>(((1.12815e-06) * (YEARS**3.0)) - (1.72362e-04 * (YEARS**2.0)) + (8.15264e-03 * YEARS) + 0.327363) * (1.0 + WSV_HCT)</t>
  </si>
  <si>
    <t xml:space="preserve">0.359 * (1 + WSV_HCT) </t>
  </si>
  <si>
    <t>(((1.12815e-06) * (year^3.0)) - (1.72362e-04 * (year^2.0)) + (8.15264e-03 * year) + 0.327363) * (1.0 + WSV_HCT)</t>
  </si>
  <si>
    <t>Calculated value (Dimensionless)</t>
  </si>
  <si>
    <t>MVPLASC</t>
  </si>
  <si>
    <t>QLIVC (arterial)</t>
  </si>
  <si>
    <t>QLIVC (total)</t>
  </si>
  <si>
    <t>QLIV arterial (L/hr)</t>
  </si>
  <si>
    <t>QLIV total (L/hr)</t>
  </si>
  <si>
    <t>MVGUT</t>
  </si>
  <si>
    <t>L; Gut volume for an average person</t>
  </si>
  <si>
    <t xml:space="preserve">VGUTC </t>
  </si>
  <si>
    <t>VGUT / BW</t>
  </si>
  <si>
    <t>Calculate MVGUT (L)</t>
  </si>
  <si>
    <t>Calculate MVGUTC</t>
  </si>
  <si>
    <t>QGUTC_Adult</t>
  </si>
  <si>
    <t>QGUT</t>
  </si>
  <si>
    <t xml:space="preserve">(QGUTC * QCP </t>
  </si>
  <si>
    <t>VGUTC</t>
  </si>
  <si>
    <t>QGUTC</t>
  </si>
  <si>
    <t>VGUTC_Adult</t>
  </si>
  <si>
    <r>
      <t xml:space="preserve">Fractional male blood </t>
    </r>
    <r>
      <rPr>
        <b/>
        <u/>
        <sz val="12"/>
        <rFont val="Times New Roman"/>
        <family val="1"/>
      </rPr>
      <t>flow</t>
    </r>
    <r>
      <rPr>
        <sz val="12"/>
        <rFont val="Times New Roman"/>
        <family val="1"/>
      </rPr>
      <t xml:space="preserve"> to large + small intestine at adult age for an average person. Data from ICRP 2002. </t>
    </r>
  </si>
  <si>
    <t xml:space="preserve">QGUTC </t>
  </si>
  <si>
    <t>QGUT  (L/hr)</t>
  </si>
  <si>
    <t>Lean BW</t>
  </si>
  <si>
    <t>MBW - MVFAT</t>
  </si>
  <si>
    <t>MLBW</t>
  </si>
  <si>
    <t>kg; Lean body weight for an average person</t>
  </si>
  <si>
    <t>QLIVC (arterial) + QGUTC</t>
  </si>
  <si>
    <t>sum of arterial blood flow and the portal (QGUTC) blood flow</t>
  </si>
  <si>
    <t>MVBLDC</t>
  </si>
  <si>
    <t xml:space="preserve">Mean Body Height (MBH) Calculations </t>
  </si>
  <si>
    <t>Mean Body Surface Area (MBSA)</t>
  </si>
  <si>
    <t>Calculated MBSA (m^2)</t>
  </si>
  <si>
    <t xml:space="preserve">Mean Body Mass Index (MBMI) </t>
  </si>
  <si>
    <t>Mean Fat Volume (MFAT)</t>
  </si>
  <si>
    <t>Mean Gut Volume (MVGUT) determined by BW</t>
  </si>
  <si>
    <t>Calculate MVFAT (L)</t>
  </si>
  <si>
    <t>Mean Plasma Volume (MVPLAS)</t>
  </si>
  <si>
    <t xml:space="preserve">(10.0**(1.2082 * log10(MBSA) + 3.2869)) * (1.0 - HCT) / 1000.0     </t>
  </si>
  <si>
    <t xml:space="preserve">(10.0**(1.2082 * log10(MBSAADULT) + 3.2869)) * (1.0 - HCT) / 1000.0 </t>
  </si>
  <si>
    <t>Calculated MVPLAS</t>
  </si>
  <si>
    <t xml:space="preserve">(QBRNC * QCP) </t>
  </si>
  <si>
    <t>Standard fractional blood flow for Fat in MALE; (Brown et al., 1997 reports 5% cardiac output)</t>
  </si>
  <si>
    <t>(QFATC * QCP)</t>
  </si>
  <si>
    <t xml:space="preserve">(QLIVC * QCP) </t>
  </si>
  <si>
    <t>ICRP publication values</t>
  </si>
  <si>
    <t>Resting</t>
  </si>
  <si>
    <t xml:space="preserve">DS </t>
  </si>
  <si>
    <t>DS (dead space) (L)</t>
  </si>
  <si>
    <t>TV (Tidal volume) (L)</t>
  </si>
  <si>
    <t>QALV</t>
  </si>
  <si>
    <t>Sitting awake</t>
  </si>
  <si>
    <t>N/A</t>
  </si>
  <si>
    <t>Light exercise</t>
  </si>
  <si>
    <t>Heavy exercice</t>
  </si>
  <si>
    <t>TV at resting</t>
  </si>
  <si>
    <t>TV Light exercice</t>
  </si>
  <si>
    <t>Gumpertz until 1Y and then dose response</t>
  </si>
  <si>
    <t>EPA handbook water ingestion (2003-2006) table 3-36</t>
  </si>
  <si>
    <t>Mean L/day</t>
  </si>
  <si>
    <t>Birth to 1 month</t>
  </si>
  <si>
    <t>1-3M</t>
  </si>
  <si>
    <t>3-6M</t>
  </si>
  <si>
    <t>6-12M</t>
  </si>
  <si>
    <t>1-2Y</t>
  </si>
  <si>
    <t>2-3Y</t>
  </si>
  <si>
    <t>3-6Y</t>
  </si>
  <si>
    <t>6-11Y</t>
  </si>
  <si>
    <t>11-16Y</t>
  </si>
  <si>
    <t>16-18Y</t>
  </si>
  <si>
    <t>18-21Y</t>
  </si>
  <si>
    <t>21-65Y</t>
  </si>
  <si>
    <t>65+</t>
  </si>
  <si>
    <t>Mean rapidly perfused tissues Volume (MVRaP) determined by Gut Volume</t>
  </si>
  <si>
    <t>MVRap</t>
  </si>
  <si>
    <t>L; Rapidly perfused tissues volume for an average person</t>
  </si>
  <si>
    <t xml:space="preserve">VRapC </t>
  </si>
  <si>
    <t>VRap / BW</t>
  </si>
  <si>
    <t>Calculate MVRap (L)</t>
  </si>
  <si>
    <t>Calculate MVRapC</t>
  </si>
  <si>
    <t>QRapC</t>
  </si>
  <si>
    <t>VRapC</t>
  </si>
  <si>
    <t>VRapC_Adult</t>
  </si>
  <si>
    <t>QRapC_Adult</t>
  </si>
  <si>
    <t>Qrap</t>
  </si>
  <si>
    <t xml:space="preserve">QGUTC * QCP </t>
  </si>
  <si>
    <t xml:space="preserve">QRapC </t>
  </si>
  <si>
    <t>QRap  (L/hr)</t>
  </si>
  <si>
    <t>MWBIRTH</t>
  </si>
  <si>
    <t>Body weight at birth (Mean)</t>
  </si>
  <si>
    <t>MWCHILD</t>
  </si>
  <si>
    <t>Maximum weight for early hyperbolic section curve</t>
  </si>
  <si>
    <t>MWADULT</t>
  </si>
  <si>
    <t xml:space="preserve">max. wt. for later logistic section of growth curve (kg)
</t>
  </si>
  <si>
    <t>Half</t>
  </si>
  <si>
    <t xml:space="preserve">age at which wt. is half Wchild (yr)
</t>
  </si>
  <si>
    <t xml:space="preserve">MBWADULT
</t>
  </si>
  <si>
    <t>kg; Body weight for an average person at 268.1832 months; Note:  268 months = 22.3333 years</t>
  </si>
  <si>
    <t>K</t>
  </si>
  <si>
    <t>Dimensionless; Logistic constant (shifts peak left or right)</t>
  </si>
  <si>
    <t xml:space="preserve">lambda (L)
</t>
  </si>
  <si>
    <t>logistic constant lambda (1/(kg-yr))</t>
  </si>
  <si>
    <t>log(K**2) / (2.0 * WA * WADULT)</t>
  </si>
  <si>
    <t>Calculated value (kg)</t>
  </si>
  <si>
    <t>THETA</t>
  </si>
  <si>
    <t>Year; timing parameter</t>
  </si>
  <si>
    <t>WADULT</t>
  </si>
  <si>
    <t>(((H1/100)^2)*(MWADULT/(1.6215^2)-0.9722*(THETA-11.2536)))</t>
  </si>
  <si>
    <t>cm</t>
  </si>
  <si>
    <t xml:space="preserve">3.4 + (MWCHILD * 22.333) / (3 + 22.333) + (MWADULT / (1.0 + 142.11536 * EXP(-0.01075 * MWADULT * 22.3333)))     </t>
  </si>
  <si>
    <t xml:space="preserve">3.4 +(MWCHILD * YEARS) / (3.0 + YEARS) + (MWADULT / (1.0 + 142.11536 * EXP(-0.01075 * MWADULT * YEARS))) </t>
  </si>
  <si>
    <t xml:space="preserve">((6.17*10^-09*MONTHS^3)-(9.68*10^-05*MONTHS^2)+(0.109*MONTHS)+43.790)*MBWADULT/66.17    </t>
  </si>
  <si>
    <t xml:space="preserve">162.15 - 2.0 * (162.15 - MHT) / (EXP(0.135 * (year - 11.2536)) + EXP(1.27 * (year - 11.2536)))  </t>
  </si>
  <si>
    <t xml:space="preserve">162.5 * (1.0 - 1.0 / (1.0 + ((years + 0.75) / 2.3)^0.7))  </t>
  </si>
  <si>
    <t>162.15 * (1.0 - 1.0 / (1.0 + ((YEARS + 0.75) / 2.3)^0.7)) * MBHT / MBHTJ</t>
  </si>
  <si>
    <t xml:space="preserve">162.15 - 2.0 * (162.15 - MHT) / (EXP(0.135 * (YEARS - 11.2536)) + EXP(1.27 * (YEARS - 11.2536))) </t>
  </si>
  <si>
    <t>0.027 * MLBW</t>
  </si>
  <si>
    <t xml:space="preserve">2.464 * MVGUT </t>
  </si>
  <si>
    <t>MVBLD</t>
  </si>
  <si>
    <t>Y = 0.1274*exp(ln(0.01345/0.1274)*exp(-0.1609*age))</t>
  </si>
  <si>
    <t>Validation table</t>
  </si>
  <si>
    <t xml:space="preserve"> ICRP data</t>
  </si>
  <si>
    <t>Our eqn</t>
  </si>
  <si>
    <t>newborn</t>
  </si>
  <si>
    <t>Adult</t>
  </si>
  <si>
    <t>Organ</t>
  </si>
  <si>
    <t>Neonate</t>
  </si>
  <si>
    <t>Yoon et al. 2011 based on Bjorkman et al. 2004</t>
  </si>
  <si>
    <t>Nhanes 2003</t>
  </si>
  <si>
    <t>Formulae</t>
  </si>
  <si>
    <t>Ref</t>
  </si>
  <si>
    <t>MLW</t>
  </si>
  <si>
    <t xml:space="preserve">Mean liver weight </t>
  </si>
  <si>
    <t>Liver volume * Liver density</t>
  </si>
  <si>
    <t>https://www.ncbi.nlm.nih.gov/pubmed/12826175</t>
  </si>
  <si>
    <t>Liver density (gm/L)</t>
  </si>
  <si>
    <t>Liver volume (L)</t>
  </si>
  <si>
    <t>Calculate MLW (g)</t>
  </si>
  <si>
    <t>(3.064/A9)*EXP(-0.5*(LN(A9/47.57)/1.94)^2)</t>
  </si>
  <si>
    <t>NHANES</t>
  </si>
  <si>
    <t>% fat</t>
  </si>
  <si>
    <t>MBHT</t>
  </si>
  <si>
    <t>MBHTJ</t>
  </si>
  <si>
    <t>cm; Mean body height for one years old</t>
  </si>
  <si>
    <t>cm; Mean body height for one years old calculated from JPPS</t>
  </si>
  <si>
    <t>Equation HCT</t>
  </si>
  <si>
    <t>VBRN = 10*(Years+0.315)/(9+6.92*Years)</t>
  </si>
  <si>
    <t>6M</t>
  </si>
  <si>
    <t>1Y</t>
  </si>
  <si>
    <t>2Y</t>
  </si>
  <si>
    <t>5Y</t>
  </si>
  <si>
    <t>10Y</t>
  </si>
  <si>
    <t>15Y</t>
  </si>
  <si>
    <t>Equation for QBRNC was developped based on yoon et al.2011</t>
  </si>
  <si>
    <t>RESPR (Breathing rate) (L/h)</t>
  </si>
  <si>
    <t>RESPR at resting</t>
  </si>
  <si>
    <t>RESPR light excercice</t>
  </si>
  <si>
    <t>Life stage eqn from Huali et al</t>
  </si>
  <si>
    <t>NHANES 2004-2005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</si>
  <si>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</si>
  <si>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</si>
  <si>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</si>
  <si>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</si>
  <si>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</si>
  <si>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</si>
  <si>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</si>
  <si>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</si>
  <si>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</si>
  <si>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</si>
  <si>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</si>
  <si>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</si>
  <si>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</si>
  <si>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</si>
  <si>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</si>
  <si>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</si>
  <si>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</si>
  <si>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</si>
  <si>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</si>
  <si>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</si>
  <si>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</si>
  <si>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</si>
  <si>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</si>
  <si>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</si>
  <si>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24-25</t>
  </si>
  <si>
    <t>25-26</t>
  </si>
  <si>
    <t>26-27</t>
  </si>
  <si>
    <t>27-28</t>
  </si>
  <si>
    <t>28-29</t>
  </si>
  <si>
    <t>29-30</t>
  </si>
  <si>
    <t>30-31</t>
  </si>
  <si>
    <t>31-32</t>
  </si>
  <si>
    <t>32-33</t>
  </si>
  <si>
    <t>33-34</t>
  </si>
  <si>
    <t>34-35</t>
  </si>
  <si>
    <t>35-36</t>
  </si>
  <si>
    <t>36-37</t>
  </si>
  <si>
    <t>37-38</t>
  </si>
  <si>
    <t>38-39</t>
  </si>
  <si>
    <t>39-40</t>
  </si>
  <si>
    <t>40-41</t>
  </si>
  <si>
    <t>41-42</t>
  </si>
  <si>
    <t>42-43</t>
  </si>
  <si>
    <t>43-44</t>
  </si>
  <si>
    <t>44-45</t>
  </si>
  <si>
    <t>45-46</t>
  </si>
  <si>
    <t>46-47</t>
  </si>
  <si>
    <t>47-48</t>
  </si>
  <si>
    <t>48-49</t>
  </si>
  <si>
    <t>49-50</t>
  </si>
  <si>
    <t>50-51</t>
  </si>
  <si>
    <t>51-52</t>
  </si>
  <si>
    <t>52-53</t>
  </si>
  <si>
    <t>53-54</t>
  </si>
  <si>
    <t>54-55</t>
  </si>
  <si>
    <t>55-56</t>
  </si>
  <si>
    <t>56-57</t>
  </si>
  <si>
    <t>57-58</t>
  </si>
  <si>
    <t>58-59</t>
  </si>
  <si>
    <t>59-60</t>
  </si>
  <si>
    <t>60-61</t>
  </si>
  <si>
    <t>Age</t>
  </si>
  <si>
    <t xml:space="preserve">3.4 + (MWCHILD * 22.3333) / (3.0 + 22.3333) + (MWADULT / (1.0 + 142.11536 * EXP(-0.01028 * MWADULT * 22.3333)))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</si>
</sst>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C00000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sz val="18"/>
      <color rgb="FF292934"/>
      <name val="Arial"/>
      <family val="2"/>
    </font>
    <font>
      <sz val="11"/>
      <color theme="1"/>
      <name val="Calibri"/>
      <family val="2"/>
      <scheme val="minor"/>
    </font>
    <font>
      <sz val="12"/>
      <color theme="4" tint="-0.249977111117893"/>
      <name val="Times New Roman"/>
      <family val="1"/>
    </font>
    <font>
      <sz val="11"/>
      <color theme="4" tint="-0.249977111117893"/>
      <name val="Times New Roman"/>
      <family val="1"/>
    </font>
    <font>
      <sz val="12"/>
      <color rgb="FF00B0F0"/>
      <name val="Times New Roman"/>
      <family val="1"/>
    </font>
    <font>
      <sz val="12"/>
      <color rgb="FF0070C0"/>
      <name val="Times New Roman"/>
      <family val="1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B0F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b/>
      <sz val="2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5" fillId="0" borderId="0"/>
    <xf numFmtId="0" fontId="15" fillId="0" borderId="0"/>
    <xf numFmtId="0" fontId="24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2" borderId="0" xfId="0" applyFont="1" applyFill="1"/>
    <xf numFmtId="0" fontId="9" fillId="0" borderId="1" xfId="0" applyFont="1" applyBorder="1" applyAlignment="1">
      <alignment wrapText="1"/>
    </xf>
    <xf numFmtId="0" fontId="0" fillId="0" borderId="1" xfId="0" applyBorder="1"/>
    <xf numFmtId="2" fontId="3" fillId="0" borderId="1" xfId="0" applyNumberFormat="1" applyFont="1" applyBorder="1" applyAlignment="1">
      <alignment wrapText="1"/>
    </xf>
    <xf numFmtId="164" fontId="3" fillId="0" borderId="0" xfId="0" applyNumberFormat="1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3" borderId="0" xfId="0" applyFill="1"/>
    <xf numFmtId="0" fontId="3" fillId="3" borderId="1" xfId="0" applyFont="1" applyFill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3" borderId="0" xfId="0" applyFont="1" applyFill="1"/>
    <xf numFmtId="0" fontId="8" fillId="3" borderId="1" xfId="0" applyFont="1" applyFill="1" applyBorder="1" applyAlignment="1">
      <alignment wrapText="1"/>
    </xf>
    <xf numFmtId="0" fontId="0" fillId="4" borderId="0" xfId="0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/>
    <xf numFmtId="0" fontId="1" fillId="0" borderId="0" xfId="0" applyFont="1" applyFill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4" fontId="19" fillId="0" borderId="1" xfId="0" applyNumberFormat="1" applyFont="1" applyFill="1" applyBorder="1" applyAlignment="1">
      <alignment wrapText="1"/>
    </xf>
    <xf numFmtId="0" fontId="10" fillId="0" borderId="0" xfId="0" applyFont="1" applyFill="1"/>
    <xf numFmtId="165" fontId="3" fillId="0" borderId="1" xfId="0" applyNumberFormat="1" applyFont="1" applyFill="1" applyBorder="1" applyAlignment="1">
      <alignment wrapText="1"/>
    </xf>
    <xf numFmtId="0" fontId="19" fillId="0" borderId="1" xfId="0" applyFont="1" applyFill="1" applyBorder="1"/>
    <xf numFmtId="164" fontId="19" fillId="0" borderId="1" xfId="0" applyNumberFormat="1" applyFont="1" applyFill="1" applyBorder="1"/>
    <xf numFmtId="0" fontId="14" fillId="0" borderId="0" xfId="0" applyFont="1" applyFill="1" applyAlignment="1">
      <alignment horizontal="left" vertical="center" readingOrder="1"/>
    </xf>
    <xf numFmtId="0" fontId="3" fillId="0" borderId="1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/>
    <xf numFmtId="2" fontId="3" fillId="0" borderId="1" xfId="0" applyNumberFormat="1" applyFont="1" applyFill="1" applyBorder="1"/>
    <xf numFmtId="165" fontId="4" fillId="0" borderId="1" xfId="0" applyNumberFormat="1" applyFont="1" applyFill="1" applyBorder="1" applyAlignment="1">
      <alignment wrapText="1"/>
    </xf>
    <xf numFmtId="165" fontId="18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0" fontId="18" fillId="0" borderId="11" xfId="0" applyFont="1" applyFill="1" applyBorder="1" applyAlignment="1">
      <alignment horizontal="center" wrapText="1"/>
    </xf>
    <xf numFmtId="0" fontId="18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164" fontId="18" fillId="0" borderId="1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4" borderId="1" xfId="0" applyFill="1" applyBorder="1" applyAlignment="1">
      <alignment horizontal="right"/>
    </xf>
    <xf numFmtId="0" fontId="2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0" fillId="0" borderId="0" xfId="0" applyFill="1"/>
    <xf numFmtId="2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/>
    <xf numFmtId="2" fontId="3" fillId="3" borderId="1" xfId="0" applyNumberFormat="1" applyFont="1" applyFill="1" applyBorder="1"/>
    <xf numFmtId="164" fontId="19" fillId="3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164" fontId="3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18" fillId="0" borderId="1" xfId="0" applyFont="1" applyBorder="1"/>
    <xf numFmtId="165" fontId="18" fillId="0" borderId="1" xfId="0" applyNumberFormat="1" applyFont="1" applyFill="1" applyBorder="1" applyAlignment="1">
      <alignment wrapText="1"/>
    </xf>
    <xf numFmtId="165" fontId="18" fillId="3" borderId="1" xfId="0" applyNumberFormat="1" applyFont="1" applyFill="1" applyBorder="1"/>
    <xf numFmtId="165" fontId="4" fillId="3" borderId="1" xfId="0" applyNumberFormat="1" applyFont="1" applyFill="1" applyBorder="1" applyAlignment="1">
      <alignment wrapText="1"/>
    </xf>
    <xf numFmtId="164" fontId="19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165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165" fontId="11" fillId="3" borderId="1" xfId="0" applyNumberFormat="1" applyFont="1" applyFill="1" applyBorder="1" applyAlignment="1">
      <alignment wrapText="1"/>
    </xf>
    <xf numFmtId="164" fontId="11" fillId="3" borderId="1" xfId="0" applyNumberFormat="1" applyFont="1" applyFill="1" applyBorder="1" applyAlignment="1">
      <alignment wrapText="1"/>
    </xf>
    <xf numFmtId="2" fontId="11" fillId="3" borderId="1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1" fontId="11" fillId="3" borderId="1" xfId="0" applyNumberFormat="1" applyFont="1" applyFill="1" applyBorder="1" applyAlignment="1">
      <alignment wrapText="1"/>
    </xf>
    <xf numFmtId="164" fontId="13" fillId="3" borderId="1" xfId="0" applyNumberFormat="1" applyFont="1" applyFill="1" applyBorder="1" applyAlignment="1">
      <alignment wrapText="1"/>
    </xf>
    <xf numFmtId="164" fontId="18" fillId="3" borderId="1" xfId="0" applyNumberFormat="1" applyFont="1" applyFill="1" applyBorder="1" applyAlignment="1">
      <alignment wrapText="1"/>
    </xf>
    <xf numFmtId="2" fontId="13" fillId="3" borderId="1" xfId="0" applyNumberFormat="1" applyFont="1" applyFill="1" applyBorder="1" applyAlignment="1">
      <alignment wrapText="1"/>
    </xf>
    <xf numFmtId="165" fontId="1" fillId="3" borderId="1" xfId="0" applyNumberFormat="1" applyFont="1" applyFill="1" applyBorder="1" applyAlignment="1">
      <alignment wrapText="1"/>
    </xf>
    <xf numFmtId="164" fontId="21" fillId="3" borderId="1" xfId="0" applyNumberFormat="1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2" fontId="18" fillId="0" borderId="1" xfId="0" applyNumberFormat="1" applyFont="1" applyBorder="1" applyAlignment="1">
      <alignment wrapText="1"/>
    </xf>
    <xf numFmtId="2" fontId="18" fillId="3" borderId="1" xfId="0" applyNumberFormat="1" applyFont="1" applyFill="1" applyBorder="1" applyAlignment="1">
      <alignment wrapText="1"/>
    </xf>
    <xf numFmtId="2" fontId="23" fillId="3" borderId="1" xfId="0" applyNumberFormat="1" applyFont="1" applyFill="1" applyBorder="1" applyAlignment="1">
      <alignment wrapText="1"/>
    </xf>
    <xf numFmtId="2" fontId="23" fillId="0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0" fillId="0" borderId="12" xfId="0" applyBorder="1"/>
    <xf numFmtId="0" fontId="3" fillId="0" borderId="4" xfId="0" applyFont="1" applyFill="1" applyBorder="1" applyAlignment="1">
      <alignment horizontal="center" vertical="center" wrapText="1"/>
    </xf>
    <xf numFmtId="0" fontId="0" fillId="0" borderId="8" xfId="0" applyBorder="1"/>
    <xf numFmtId="1" fontId="0" fillId="0" borderId="12" xfId="0" applyNumberFormat="1" applyBorder="1"/>
    <xf numFmtId="0" fontId="2" fillId="0" borderId="1" xfId="0" applyFont="1" applyBorder="1"/>
    <xf numFmtId="0" fontId="25" fillId="0" borderId="1" xfId="3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3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wrapText="1"/>
    </xf>
    <xf numFmtId="2" fontId="23" fillId="3" borderId="10" xfId="0" applyNumberFormat="1" applyFont="1" applyFill="1" applyBorder="1" applyAlignment="1">
      <alignment wrapText="1"/>
    </xf>
    <xf numFmtId="0" fontId="0" fillId="3" borderId="1" xfId="0" applyFill="1" applyBorder="1"/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right" vertical="center"/>
    </xf>
    <xf numFmtId="164" fontId="19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13" fillId="0" borderId="1" xfId="0" applyFont="1" applyBorder="1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/>
    </xf>
    <xf numFmtId="165" fontId="18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wrapText="1"/>
    </xf>
    <xf numFmtId="2" fontId="2" fillId="0" borderId="1" xfId="0" applyNumberFormat="1" applyFont="1" applyFill="1" applyBorder="1"/>
    <xf numFmtId="49" fontId="2" fillId="0" borderId="1" xfId="0" applyNumberFormat="1" applyFont="1" applyFill="1" applyBorder="1"/>
    <xf numFmtId="0" fontId="2" fillId="0" borderId="10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0" fontId="3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2" fillId="4" borderId="1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2" fontId="2" fillId="0" borderId="1" xfId="0" applyNumberFormat="1" applyFont="1" applyFill="1" applyBorder="1" applyAlignment="1">
      <alignment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19" fillId="4" borderId="1" xfId="0" applyFont="1" applyFill="1" applyBorder="1"/>
    <xf numFmtId="0" fontId="9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1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5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vertical="center" wrapText="1"/>
    </xf>
  </cellXfs>
  <cellStyles count="4">
    <cellStyle name="Hyperlink" xfId="3" builtinId="8"/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BW!$B$14:$B$74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BW!$I$14:$I$74</c:f>
              <c:numCache>
                <c:formatCode>General</c:formatCode>
                <c:ptCount val="61"/>
                <c:pt idx="0">
                  <c:v>6.9154266062882783</c:v>
                </c:pt>
                <c:pt idx="1">
                  <c:v>11.309331187867842</c:v>
                </c:pt>
                <c:pt idx="2">
                  <c:v>14.288178836856385</c:v>
                </c:pt>
                <c:pt idx="3">
                  <c:v>16.610251292594278</c:v>
                </c:pt>
                <c:pt idx="4">
                  <c:v>18.682376582644302</c:v>
                </c:pt>
                <c:pt idx="5">
                  <c:v>20.785450437307787</c:v>
                </c:pt>
                <c:pt idx="6">
                  <c:v>23.154945076267232</c:v>
                </c:pt>
                <c:pt idx="7">
                  <c:v>26.000889857451373</c:v>
                </c:pt>
                <c:pt idx="8">
                  <c:v>29.485124650497674</c:v>
                </c:pt>
                <c:pt idx="9">
                  <c:v>33.663180306011462</c:v>
                </c:pt>
                <c:pt idx="10">
                  <c:v>38.417786492455321</c:v>
                </c:pt>
                <c:pt idx="11">
                  <c:v>43.440691530917817</c:v>
                </c:pt>
                <c:pt idx="12">
                  <c:v>48.31089938644034</c:v>
                </c:pt>
                <c:pt idx="13">
                  <c:v>52.643053336574667</c:v>
                </c:pt>
                <c:pt idx="14">
                  <c:v>56.20971903544342</c:v>
                </c:pt>
                <c:pt idx="15">
                  <c:v>58.967650155819811</c:v>
                </c:pt>
                <c:pt idx="16">
                  <c:v>61.004288259289723</c:v>
                </c:pt>
                <c:pt idx="17">
                  <c:v>62.463817521092977</c:v>
                </c:pt>
                <c:pt idx="18">
                  <c:v>63.493284387505163</c:v>
                </c:pt>
                <c:pt idx="19">
                  <c:v>64.21663731687326</c:v>
                </c:pt>
                <c:pt idx="20">
                  <c:v>64.728212344405605</c:v>
                </c:pt>
                <c:pt idx="21">
                  <c:v>65.095621974779874</c:v>
                </c:pt>
                <c:pt idx="22">
                  <c:v>65.365594049919366</c:v>
                </c:pt>
                <c:pt idx="23">
                  <c:v>66.114546407426118</c:v>
                </c:pt>
                <c:pt idx="24">
                  <c:v>66.763509362599251</c:v>
                </c:pt>
                <c:pt idx="25">
                  <c:v>67.38649668282423</c:v>
                </c:pt>
                <c:pt idx="26">
                  <c:v>67.98357152298891</c:v>
                </c:pt>
                <c:pt idx="27">
                  <c:v>68.55479703798116</c:v>
                </c:pt>
                <c:pt idx="28">
                  <c:v>69.100236382688834</c:v>
                </c:pt>
                <c:pt idx="29">
                  <c:v>69.619952711999801</c:v>
                </c:pt>
                <c:pt idx="30">
                  <c:v>70.114009180801929</c:v>
                </c:pt>
                <c:pt idx="31">
                  <c:v>70.582468943983045</c:v>
                </c:pt>
                <c:pt idx="32">
                  <c:v>71.025395156431088</c:v>
                </c:pt>
                <c:pt idx="33">
                  <c:v>71.442850973033842</c:v>
                </c:pt>
                <c:pt idx="34">
                  <c:v>71.834899548679203</c:v>
                </c:pt>
                <c:pt idx="35">
                  <c:v>72.20160403825507</c:v>
                </c:pt>
                <c:pt idx="36">
                  <c:v>72.543027596649239</c:v>
                </c:pt>
                <c:pt idx="37">
                  <c:v>72.859233378749622</c:v>
                </c:pt>
                <c:pt idx="38">
                  <c:v>73.150284539444044</c:v>
                </c:pt>
                <c:pt idx="39">
                  <c:v>73.416244233620418</c:v>
                </c:pt>
                <c:pt idx="40">
                  <c:v>73.657175616166555</c:v>
                </c:pt>
                <c:pt idx="41">
                  <c:v>73.873141841970366</c:v>
                </c:pt>
                <c:pt idx="42">
                  <c:v>74.064206065919663</c:v>
                </c:pt>
                <c:pt idx="43">
                  <c:v>74.230431442902358</c:v>
                </c:pt>
                <c:pt idx="44">
                  <c:v>74.371881127806276</c:v>
                </c:pt>
                <c:pt idx="45">
                  <c:v>74.4886182755193</c:v>
                </c:pt>
                <c:pt idx="46">
                  <c:v>74.580706040929286</c:v>
                </c:pt>
                <c:pt idx="47">
                  <c:v>74.648207578924101</c:v>
                </c:pt>
                <c:pt idx="48">
                  <c:v>74.691186044391614</c:v>
                </c:pt>
                <c:pt idx="49">
                  <c:v>74.709704592219637</c:v>
                </c:pt>
                <c:pt idx="50">
                  <c:v>74.703826377296124</c:v>
                </c:pt>
                <c:pt idx="51">
                  <c:v>74.673614554508873</c:v>
                </c:pt>
                <c:pt idx="52">
                  <c:v>74.619132278745795</c:v>
                </c:pt>
                <c:pt idx="53">
                  <c:v>74.540442704894687</c:v>
                </c:pt>
                <c:pt idx="54">
                  <c:v>74.437608987843447</c:v>
                </c:pt>
                <c:pt idx="55">
                  <c:v>74.310694282479957</c:v>
                </c:pt>
                <c:pt idx="56">
                  <c:v>74.159761743692073</c:v>
                </c:pt>
                <c:pt idx="57">
                  <c:v>73.984874526367605</c:v>
                </c:pt>
                <c:pt idx="58">
                  <c:v>73.786095785394494</c:v>
                </c:pt>
                <c:pt idx="59">
                  <c:v>73.563488675660537</c:v>
                </c:pt>
                <c:pt idx="60">
                  <c:v>73.31711635205366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02-40E4-B024-EAF8790FD228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BW!$B$14:$B$74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BW!$J$14:$J$74</c:f>
              <c:numCache>
                <c:formatCode>0.00</c:formatCode>
                <c:ptCount val="61"/>
                <c:pt idx="2">
                  <c:v>13.7</c:v>
                </c:pt>
                <c:pt idx="3">
                  <c:v>15.6</c:v>
                </c:pt>
                <c:pt idx="4">
                  <c:v>17.8</c:v>
                </c:pt>
                <c:pt idx="5">
                  <c:v>20.5</c:v>
                </c:pt>
                <c:pt idx="6">
                  <c:v>22.15</c:v>
                </c:pt>
                <c:pt idx="7">
                  <c:v>26.8</c:v>
                </c:pt>
                <c:pt idx="8">
                  <c:v>29.9</c:v>
                </c:pt>
                <c:pt idx="9">
                  <c:v>35.9</c:v>
                </c:pt>
                <c:pt idx="10">
                  <c:v>43.4</c:v>
                </c:pt>
                <c:pt idx="11">
                  <c:v>49.4</c:v>
                </c:pt>
                <c:pt idx="12">
                  <c:v>50.45</c:v>
                </c:pt>
                <c:pt idx="13">
                  <c:v>54.2</c:v>
                </c:pt>
                <c:pt idx="14">
                  <c:v>54.55</c:v>
                </c:pt>
                <c:pt idx="15">
                  <c:v>59.6</c:v>
                </c:pt>
                <c:pt idx="16">
                  <c:v>58.6</c:v>
                </c:pt>
                <c:pt idx="17">
                  <c:v>62.9</c:v>
                </c:pt>
                <c:pt idx="18">
                  <c:v>63.2</c:v>
                </c:pt>
                <c:pt idx="19">
                  <c:v>64.5</c:v>
                </c:pt>
                <c:pt idx="20">
                  <c:v>67.7</c:v>
                </c:pt>
                <c:pt idx="21">
                  <c:v>62</c:v>
                </c:pt>
                <c:pt idx="22">
                  <c:v>65.099999999999994</c:v>
                </c:pt>
                <c:pt idx="23">
                  <c:v>68.599999999999994</c:v>
                </c:pt>
                <c:pt idx="24">
                  <c:v>70.45</c:v>
                </c:pt>
                <c:pt idx="25">
                  <c:v>61.2</c:v>
                </c:pt>
                <c:pt idx="26">
                  <c:v>67.5</c:v>
                </c:pt>
                <c:pt idx="27">
                  <c:v>69.55</c:v>
                </c:pt>
                <c:pt idx="28">
                  <c:v>81</c:v>
                </c:pt>
                <c:pt idx="29">
                  <c:v>71.05</c:v>
                </c:pt>
                <c:pt idx="30">
                  <c:v>75.349999999999994</c:v>
                </c:pt>
                <c:pt idx="31">
                  <c:v>74.5</c:v>
                </c:pt>
                <c:pt idx="32">
                  <c:v>74.099999999999994</c:v>
                </c:pt>
                <c:pt idx="33">
                  <c:v>73.900000000000006</c:v>
                </c:pt>
                <c:pt idx="34">
                  <c:v>71</c:v>
                </c:pt>
                <c:pt idx="35">
                  <c:v>75.5</c:v>
                </c:pt>
                <c:pt idx="36">
                  <c:v>75.45</c:v>
                </c:pt>
                <c:pt idx="37">
                  <c:v>66.55</c:v>
                </c:pt>
                <c:pt idx="38">
                  <c:v>76.650000000000006</c:v>
                </c:pt>
                <c:pt idx="39">
                  <c:v>71.55</c:v>
                </c:pt>
                <c:pt idx="40">
                  <c:v>74.7</c:v>
                </c:pt>
                <c:pt idx="41">
                  <c:v>73</c:v>
                </c:pt>
                <c:pt idx="42">
                  <c:v>72.099999999999994</c:v>
                </c:pt>
                <c:pt idx="43">
                  <c:v>75.05</c:v>
                </c:pt>
                <c:pt idx="44">
                  <c:v>76.900000000000006</c:v>
                </c:pt>
                <c:pt idx="45">
                  <c:v>80.75</c:v>
                </c:pt>
                <c:pt idx="46">
                  <c:v>81.05</c:v>
                </c:pt>
                <c:pt idx="47">
                  <c:v>71.25</c:v>
                </c:pt>
                <c:pt idx="48">
                  <c:v>76.3</c:v>
                </c:pt>
                <c:pt idx="49">
                  <c:v>77.7</c:v>
                </c:pt>
                <c:pt idx="50">
                  <c:v>80.2</c:v>
                </c:pt>
                <c:pt idx="51">
                  <c:v>68.8</c:v>
                </c:pt>
                <c:pt idx="52">
                  <c:v>73.75</c:v>
                </c:pt>
                <c:pt idx="53">
                  <c:v>71.25</c:v>
                </c:pt>
                <c:pt idx="54">
                  <c:v>75.099999999999994</c:v>
                </c:pt>
                <c:pt idx="55">
                  <c:v>74.599999999999994</c:v>
                </c:pt>
                <c:pt idx="56">
                  <c:v>74</c:v>
                </c:pt>
                <c:pt idx="57">
                  <c:v>65.3</c:v>
                </c:pt>
                <c:pt idx="58">
                  <c:v>80.7</c:v>
                </c:pt>
                <c:pt idx="59">
                  <c:v>82.6</c:v>
                </c:pt>
                <c:pt idx="60">
                  <c:v>73.2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D0-4D4C-A62E-B51E69D23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003104"/>
        <c:axId val="421007368"/>
      </c:scatterChart>
      <c:valAx>
        <c:axId val="42100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007368"/>
        <c:crosses val="autoZero"/>
        <c:crossBetween val="midCat"/>
      </c:valAx>
      <c:valAx>
        <c:axId val="42100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BW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003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RESPR at Light excercise</a:t>
            </a:r>
          </a:p>
        </c:rich>
      </c:tx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parameters'!$H$138:$H$199</c:f>
              <c:numCache>
                <c:formatCode>General</c:formatCode>
                <c:ptCount val="62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xVal>
          <c:yVal>
            <c:numRef>
              <c:f>'Pulmonary parameters'!$I$138:$I$199</c:f>
              <c:numCache>
                <c:formatCode>General</c:formatCode>
                <c:ptCount val="62"/>
                <c:pt idx="0">
                  <c:v>269.02195076377961</c:v>
                </c:pt>
                <c:pt idx="1">
                  <c:v>269.21436696623283</c:v>
                </c:pt>
                <c:pt idx="2">
                  <c:v>271.09015961246922</c:v>
                </c:pt>
                <c:pt idx="3">
                  <c:v>289.07074812734874</c:v>
                </c:pt>
                <c:pt idx="4">
                  <c:v>341.32581229157745</c:v>
                </c:pt>
                <c:pt idx="5">
                  <c:v>437.26573249126562</c:v>
                </c:pt>
                <c:pt idx="6">
                  <c:v>568.30334408317287</c:v>
                </c:pt>
                <c:pt idx="7">
                  <c:v>711.95246289887052</c:v>
                </c:pt>
                <c:pt idx="8">
                  <c:v>846.05486740781328</c:v>
                </c:pt>
                <c:pt idx="9">
                  <c:v>958.42441685753727</c:v>
                </c:pt>
                <c:pt idx="10">
                  <c:v>1046.63051712485</c:v>
                </c:pt>
                <c:pt idx="11">
                  <c:v>1113.5196774851379</c:v>
                </c:pt>
                <c:pt idx="12">
                  <c:v>1163.5190704294839</c:v>
                </c:pt>
                <c:pt idx="13">
                  <c:v>1200.8141455122216</c:v>
                </c:pt>
                <c:pt idx="14">
                  <c:v>1228.7700834522527</c:v>
                </c:pt>
                <c:pt idx="15">
                  <c:v>1249.9087323652218</c:v>
                </c:pt>
                <c:pt idx="16">
                  <c:v>1266.0618813183844</c:v>
                </c:pt>
                <c:pt idx="17">
                  <c:v>1278.544736357587</c:v>
                </c:pt>
                <c:pt idx="18">
                  <c:v>1288.3005691845385</c:v>
                </c:pt>
                <c:pt idx="19">
                  <c:v>1296.0090646032395</c:v>
                </c:pt>
                <c:pt idx="20">
                  <c:v>1302.1638129795101</c:v>
                </c:pt>
                <c:pt idx="21">
                  <c:v>1307.1266549866746</c:v>
                </c:pt>
                <c:pt idx="22">
                  <c:v>1311.1655547603318</c:v>
                </c:pt>
                <c:pt idx="23">
                  <c:v>1314.4810207290157</c:v>
                </c:pt>
                <c:pt idx="24">
                  <c:v>1317.2246316170463</c:v>
                </c:pt>
                <c:pt idx="25">
                  <c:v>1319.5121233883924</c:v>
                </c:pt>
                <c:pt idx="26">
                  <c:v>1321.4327144690637</c:v>
                </c:pt>
                <c:pt idx="27">
                  <c:v>1323.0558124702529</c:v>
                </c:pt>
                <c:pt idx="28">
                  <c:v>1324.4358837128179</c:v>
                </c:pt>
                <c:pt idx="29">
                  <c:v>1325.6160224731634</c:v>
                </c:pt>
                <c:pt idx="30">
                  <c:v>1326.6305915888261</c:v>
                </c:pt>
                <c:pt idx="31">
                  <c:v>1327.5071937543914</c:v>
                </c:pt>
                <c:pt idx="32">
                  <c:v>1328.2681560303843</c:v>
                </c:pt>
                <c:pt idx="33">
                  <c:v>1328.9316571608792</c:v>
                </c:pt>
                <c:pt idx="34">
                  <c:v>1329.5125905273242</c:v>
                </c:pt>
                <c:pt idx="35">
                  <c:v>1330.0232298077281</c:v>
                </c:pt>
                <c:pt idx="36">
                  <c:v>1330.4737462114961</c:v>
                </c:pt>
                <c:pt idx="37">
                  <c:v>1330.8726131934443</c:v>
                </c:pt>
                <c:pt idx="38">
                  <c:v>1331.226925234866</c:v>
                </c:pt>
                <c:pt idx="39">
                  <c:v>1331.5426505324569</c:v>
                </c:pt>
                <c:pt idx="40">
                  <c:v>1331.8248325107081</c:v>
                </c:pt>
                <c:pt idx="41">
                  <c:v>1332.0777514505453</c:v>
                </c:pt>
                <c:pt idx="42">
                  <c:v>1332.3050548425551</c:v>
                </c:pt>
                <c:pt idx="43">
                  <c:v>1332.509863069801</c:v>
                </c:pt>
                <c:pt idx="44">
                  <c:v>1332.6948555199949</c:v>
                </c:pt>
                <c:pt idx="45">
                  <c:v>1332.862341088339</c:v>
                </c:pt>
                <c:pt idx="46">
                  <c:v>1333.0143161658184</c:v>
                </c:pt>
                <c:pt idx="47">
                  <c:v>1333.1525125441854</c:v>
                </c:pt>
                <c:pt idx="48">
                  <c:v>1333.2784371577743</c:v>
                </c:pt>
                <c:pt idx="49">
                  <c:v>1333.393405186373</c:v>
                </c:pt>
                <c:pt idx="50">
                  <c:v>1333.4985677350523</c:v>
                </c:pt>
                <c:pt idx="51">
                  <c:v>1333.594935065483</c:v>
                </c:pt>
                <c:pt idx="52">
                  <c:v>1333.6833961633295</c:v>
                </c:pt>
                <c:pt idx="53">
                  <c:v>1333.7647352761928</c:v>
                </c:pt>
                <c:pt idx="54">
                  <c:v>1333.8396459372871</c:v>
                </c:pt>
                <c:pt idx="55">
                  <c:v>1333.9087428949083</c:v>
                </c:pt>
                <c:pt idx="56">
                  <c:v>1333.9725722915014</c:v>
                </c:pt>
                <c:pt idx="57">
                  <c:v>1334.0316203747795</c:v>
                </c:pt>
                <c:pt idx="58">
                  <c:v>1334.0863209738116</c:v>
                </c:pt>
                <c:pt idx="59">
                  <c:v>1334.1370619327799</c:v>
                </c:pt>
                <c:pt idx="60">
                  <c:v>1334.1841906624015</c:v>
                </c:pt>
                <c:pt idx="61">
                  <c:v>1334.2280189422841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90-4016-AE2F-4E88B786423B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'Pulmonary parameters'!$B$25:$B$30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parameters'!$E$25:$E$30</c:f>
              <c:numCache>
                <c:formatCode>General</c:formatCode>
                <c:ptCount val="6"/>
                <c:pt idx="0">
                  <c:v>190</c:v>
                </c:pt>
                <c:pt idx="1">
                  <c:v>350</c:v>
                </c:pt>
                <c:pt idx="2">
                  <c:v>570</c:v>
                </c:pt>
                <c:pt idx="3">
                  <c:v>1100</c:v>
                </c:pt>
                <c:pt idx="4">
                  <c:v>1300</c:v>
                </c:pt>
                <c:pt idx="5">
                  <c:v>1300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90-4016-AE2F-4E88B7864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499032"/>
        <c:axId val="288509856"/>
      </c:scatterChart>
      <c:valAx>
        <c:axId val="288499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509856"/>
        <c:crosses val="autoZero"/>
        <c:crossBetween val="midCat"/>
      </c:valAx>
      <c:valAx>
        <c:axId val="288509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RESPR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4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VBRN (L)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16245370370370371"/>
          <c:w val="0.79965507436570427"/>
          <c:h val="0.6227161708953047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Vol'!$B$8:$B$68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'Brain Vol'!$C$8:$C$68</c:f>
              <c:numCache>
                <c:formatCode>0.00</c:formatCode>
                <c:ptCount val="61"/>
                <c:pt idx="0">
                  <c:v>0.65409309791332249</c:v>
                </c:pt>
                <c:pt idx="1">
                  <c:v>0.82600502512562801</c:v>
                </c:pt>
                <c:pt idx="2">
                  <c:v>1.0135726795096323</c:v>
                </c:pt>
                <c:pt idx="3">
                  <c:v>1.1139112903225807</c:v>
                </c:pt>
                <c:pt idx="4">
                  <c:v>1.1763904034896402</c:v>
                </c:pt>
                <c:pt idx="5">
                  <c:v>1.2190366972477065</c:v>
                </c:pt>
                <c:pt idx="6">
                  <c:v>1.2500000000000002</c:v>
                </c:pt>
                <c:pt idx="7">
                  <c:v>1.2735027855153205</c:v>
                </c:pt>
                <c:pt idx="8">
                  <c:v>1.2919515226848974</c:v>
                </c:pt>
                <c:pt idx="9">
                  <c:v>1.3068181818181817</c:v>
                </c:pt>
                <c:pt idx="10">
                  <c:v>1.3190537084398974</c:v>
                </c:pt>
                <c:pt idx="11">
                  <c:v>1.329299812030075</c:v>
                </c:pt>
                <c:pt idx="12">
                  <c:v>1.3380052151238593</c:v>
                </c:pt>
                <c:pt idx="13">
                  <c:v>1.3454931285367826</c:v>
                </c:pt>
                <c:pt idx="14">
                  <c:v>1.3520022667170382</c:v>
                </c:pt>
                <c:pt idx="15">
                  <c:v>1.3577127659574468</c:v>
                </c:pt>
                <c:pt idx="16">
                  <c:v>1.3627631139325092</c:v>
                </c:pt>
                <c:pt idx="17">
                  <c:v>1.3672615287428933</c:v>
                </c:pt>
                <c:pt idx="18">
                  <c:v>1.3712938005390836</c:v>
                </c:pt>
                <c:pt idx="19">
                  <c:v>1.3749288154897497</c:v>
                </c:pt>
                <c:pt idx="20">
                  <c:v>1.3782225237449117</c:v>
                </c:pt>
                <c:pt idx="21">
                  <c:v>1.381220839813375</c:v>
                </c:pt>
                <c:pt idx="22">
                  <c:v>1.3839617960803769</c:v>
                </c:pt>
                <c:pt idx="23">
                  <c:v>1.3864771646051379</c:v>
                </c:pt>
                <c:pt idx="24">
                  <c:v>1.3887936943111723</c:v>
                </c:pt>
                <c:pt idx="25">
                  <c:v>1.3909340659340659</c:v>
                </c:pt>
                <c:pt idx="26">
                  <c:v>1.3929176370950669</c:v>
                </c:pt>
                <c:pt idx="27">
                  <c:v>1.3947610294117649</c:v>
                </c:pt>
                <c:pt idx="28">
                  <c:v>1.3964785953837051</c:v>
                </c:pt>
                <c:pt idx="29">
                  <c:v>1.3980827928271653</c:v>
                </c:pt>
                <c:pt idx="30">
                  <c:v>1.3995844875346262</c:v>
                </c:pt>
                <c:pt idx="31">
                  <c:v>1.4009931997136722</c:v>
                </c:pt>
                <c:pt idx="32">
                  <c:v>1.4023173060232597</c:v>
                </c:pt>
                <c:pt idx="33">
                  <c:v>1.4035642062689586</c:v>
                </c:pt>
                <c:pt idx="34">
                  <c:v>1.4047404617651873</c:v>
                </c:pt>
                <c:pt idx="35">
                  <c:v>1.4058519108280254</c:v>
                </c:pt>
                <c:pt idx="36">
                  <c:v>1.4069037656903765</c:v>
                </c:pt>
                <c:pt idx="37">
                  <c:v>1.4079006942348322</c:v>
                </c:pt>
                <c:pt idx="38">
                  <c:v>1.4088468892484189</c:v>
                </c:pt>
                <c:pt idx="39">
                  <c:v>1.4097461273666092</c:v>
                </c:pt>
                <c:pt idx="40">
                  <c:v>1.4106018194541636</c:v>
                </c:pt>
                <c:pt idx="41">
                  <c:v>1.4114170538398469</c:v>
                </c:pt>
                <c:pt idx="42">
                  <c:v>1.4121946335602724</c:v>
                </c:pt>
                <c:pt idx="43">
                  <c:v>1.4129371085594988</c:v>
                </c:pt>
                <c:pt idx="44">
                  <c:v>1.4136468036238354</c:v>
                </c:pt>
                <c:pt idx="45">
                  <c:v>1.4143258426966292</c:v>
                </c:pt>
                <c:pt idx="46">
                  <c:v>1.414976170108762</c:v>
                </c:pt>
                <c:pt idx="47">
                  <c:v>1.4155995691718524</c:v>
                </c:pt>
                <c:pt idx="48">
                  <c:v>1.4161976785086177</c:v>
                </c:pt>
                <c:pt idx="49">
                  <c:v>1.4167720064353022</c:v>
                </c:pt>
                <c:pt idx="50">
                  <c:v>1.4173239436619718</c:v>
                </c:pt>
                <c:pt idx="51">
                  <c:v>1.417854774535809</c:v>
                </c:pt>
                <c:pt idx="52">
                  <c:v>1.4183656870187615</c:v>
                </c:pt>
                <c:pt idx="53">
                  <c:v>1.4188577815626995</c:v>
                </c:pt>
                <c:pt idx="54">
                  <c:v>1.4193320790216368</c:v>
                </c:pt>
                <c:pt idx="55">
                  <c:v>1.4197895277207391</c:v>
                </c:pt>
                <c:pt idx="56">
                  <c:v>1.4202310097851307</c:v>
                </c:pt>
                <c:pt idx="57">
                  <c:v>1.4206573468173707</c:v>
                </c:pt>
                <c:pt idx="58">
                  <c:v>1.4210693050004872</c:v>
                </c:pt>
                <c:pt idx="59">
                  <c:v>1.4214675996932515</c:v>
                </c:pt>
                <c:pt idx="60">
                  <c:v>1.4218528995756718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4-47D2-BD57-D88EAB7CE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6496"/>
        <c:axId val="503377280"/>
      </c:scatterChart>
      <c:valAx>
        <c:axId val="50337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7280"/>
        <c:crosses val="autoZero"/>
        <c:crossBetween val="midCat"/>
      </c:valAx>
      <c:valAx>
        <c:axId val="503377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Brain vol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VBRNC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16245370370370371"/>
          <c:w val="0.79965507436570427"/>
          <c:h val="0.6227161708953047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Vol'!$B$8:$B$68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'Brain Vol'!$E$8:$E$68</c:f>
              <c:numCache>
                <c:formatCode>0.000</c:formatCode>
                <c:ptCount val="61"/>
                <c:pt idx="0">
                  <c:v>9.458463449218707E-2</c:v>
                </c:pt>
                <c:pt idx="1">
                  <c:v>8.8216646071046373E-2</c:v>
                </c:pt>
                <c:pt idx="2">
                  <c:v>7.8476985240561348E-2</c:v>
                </c:pt>
                <c:pt idx="3">
                  <c:v>7.1858842369274006E-2</c:v>
                </c:pt>
                <c:pt idx="4">
                  <c:v>6.6619394479410815E-2</c:v>
                </c:pt>
                <c:pt idx="5">
                  <c:v>6.1833833386717434E-2</c:v>
                </c:pt>
                <c:pt idx="6">
                  <c:v>5.7017475918165805E-2</c:v>
                </c:pt>
                <c:pt idx="7">
                  <c:v>5.1965755587843734E-2</c:v>
                </c:pt>
                <c:pt idx="8">
                  <c:v>4.6714364590810069E-2</c:v>
                </c:pt>
                <c:pt idx="9">
                  <c:v>4.1499346362419809E-2</c:v>
                </c:pt>
                <c:pt idx="10">
                  <c:v>3.6657072780493703E-2</c:v>
                </c:pt>
                <c:pt idx="11">
                  <c:v>3.2484564188237225E-2</c:v>
                </c:pt>
                <c:pt idx="12">
                  <c:v>2.9136715183716192E-2</c:v>
                </c:pt>
                <c:pt idx="13">
                  <c:v>2.6610244914578914E-2</c:v>
                </c:pt>
                <c:pt idx="14">
                  <c:v>2.4794318217567907E-2</c:v>
                </c:pt>
                <c:pt idx="15">
                  <c:v>2.3536069969205459E-2</c:v>
                </c:pt>
                <c:pt idx="16">
                  <c:v>2.268713036913686E-2</c:v>
                </c:pt>
                <c:pt idx="17">
                  <c:v>2.2125175409760882E-2</c:v>
                </c:pt>
                <c:pt idx="18">
                  <c:v>2.1758321898506447E-2</c:v>
                </c:pt>
                <c:pt idx="19">
                  <c:v>2.1521381442441419E-2</c:v>
                </c:pt>
                <c:pt idx="20">
                  <c:v>2.1369742741268259E-2</c:v>
                </c:pt>
                <c:pt idx="21">
                  <c:v>2.1273574280414324E-2</c:v>
                </c:pt>
                <c:pt idx="22">
                  <c:v>2.1185534288805524E-2</c:v>
                </c:pt>
                <c:pt idx="23">
                  <c:v>2.1077390545839861E-2</c:v>
                </c:pt>
                <c:pt idx="24">
                  <c:v>2.090225861717529E-2</c:v>
                </c:pt>
                <c:pt idx="25">
                  <c:v>2.0735993384711701E-2</c:v>
                </c:pt>
                <c:pt idx="26">
                  <c:v>2.0578420060581103E-2</c:v>
                </c:pt>
                <c:pt idx="27">
                  <c:v>2.0429350579379977E-2</c:v>
                </c:pt>
                <c:pt idx="28">
                  <c:v>2.0288590182806772E-2</c:v>
                </c:pt>
                <c:pt idx="29">
                  <c:v>2.0155942297343351E-2</c:v>
                </c:pt>
                <c:pt idx="30">
                  <c:v>2.0031212138841785E-2</c:v>
                </c:pt>
                <c:pt idx="31">
                  <c:v>1.9914209363603396E-2</c:v>
                </c:pt>
                <c:pt idx="32">
                  <c:v>1.9804750003195072E-2</c:v>
                </c:pt>
                <c:pt idx="33">
                  <c:v>1.9702657860357745E-2</c:v>
                </c:pt>
                <c:pt idx="34">
                  <c:v>1.9607765499429299E-2</c:v>
                </c:pt>
                <c:pt idx="35">
                  <c:v>1.9519914932226379E-2</c:v>
                </c:pt>
                <c:pt idx="36">
                  <c:v>1.9438958076149197E-2</c:v>
                </c:pt>
                <c:pt idx="37">
                  <c:v>1.9364757043156759E-2</c:v>
                </c:pt>
                <c:pt idx="38">
                  <c:v>1.9297184304608569E-2</c:v>
                </c:pt>
                <c:pt idx="39">
                  <c:v>1.9236122766630375E-2</c:v>
                </c:pt>
                <c:pt idx="40">
                  <c:v>1.9181465782799261E-2</c:v>
                </c:pt>
                <c:pt idx="41">
                  <c:v>1.9133117124942131E-2</c:v>
                </c:pt>
                <c:pt idx="42">
                  <c:v>1.909099092824967E-2</c:v>
                </c:pt>
                <c:pt idx="43">
                  <c:v>1.9055011623388057E-2</c:v>
                </c:pt>
                <c:pt idx="44">
                  <c:v>1.9025113865592257E-2</c:v>
                </c:pt>
                <c:pt idx="45">
                  <c:v>1.9001242468658145E-2</c:v>
                </c:pt>
                <c:pt idx="46">
                  <c:v>1.8983352350174586E-2</c:v>
                </c:pt>
                <c:pt idx="47">
                  <c:v>1.8971408493141412E-2</c:v>
                </c:pt>
                <c:pt idx="48">
                  <c:v>1.8965385928224301E-2</c:v>
                </c:pt>
                <c:pt idx="49">
                  <c:v>1.8965269740239311E-2</c:v>
                </c:pt>
                <c:pt idx="50">
                  <c:v>1.8971055101990729E-2</c:v>
                </c:pt>
                <c:pt idx="51">
                  <c:v>1.8982747338269972E-2</c:v>
                </c:pt>
                <c:pt idx="52">
                  <c:v>1.9000362022632035E-2</c:v>
                </c:pt>
                <c:pt idx="53">
                  <c:v>1.902392510948004E-2</c:v>
                </c:pt>
                <c:pt idx="54">
                  <c:v>1.9053473103990533E-2</c:v>
                </c:pt>
                <c:pt idx="55">
                  <c:v>1.9089053272493134E-2</c:v>
                </c:pt>
                <c:pt idx="56">
                  <c:v>1.9130723896068968E-2</c:v>
                </c:pt>
                <c:pt idx="57">
                  <c:v>1.9178554570348654E-2</c:v>
                </c:pt>
                <c:pt idx="58">
                  <c:v>1.9232626554770722E-2</c:v>
                </c:pt>
                <c:pt idx="59">
                  <c:v>1.9293033174903773E-2</c:v>
                </c:pt>
                <c:pt idx="60">
                  <c:v>1.935988028184402E-2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4-47D2-BD57-D88EAB7CE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8064"/>
        <c:axId val="503378456"/>
      </c:scatterChart>
      <c:valAx>
        <c:axId val="50337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8456"/>
        <c:crosses val="autoZero"/>
        <c:crossBetween val="midCat"/>
      </c:valAx>
      <c:valAx>
        <c:axId val="503378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Brain</a:t>
                </a:r>
                <a:r>
                  <a:rPr lang="en-US" baseline="0"/>
                  <a:t> volume (</a:t>
                </a:r>
                <a:r>
                  <a:rPr lang="en-US"/>
                  <a:t>fraction of BW)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VFAT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VFAT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Vol'!$B$10:$B$70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'Fat Vol'!$F$10:$F$70</c:f>
              <c:numCache>
                <c:formatCode>0.00</c:formatCode>
                <c:ptCount val="61"/>
                <c:pt idx="0">
                  <c:v>2.5875450899468335</c:v>
                </c:pt>
                <c:pt idx="1">
                  <c:v>3.5209536565570874</c:v>
                </c:pt>
                <c:pt idx="2">
                  <c:v>4.631676523935778</c:v>
                </c:pt>
                <c:pt idx="3">
                  <c:v>5.2792939820231934</c:v>
                </c:pt>
                <c:pt idx="4">
                  <c:v>5.599409402696244</c:v>
                </c:pt>
                <c:pt idx="5">
                  <c:v>5.887478630895</c:v>
                </c:pt>
                <c:pt idx="6">
                  <c:v>6.3108494299277922</c:v>
                </c:pt>
                <c:pt idx="7">
                  <c:v>6.9610819290740382</c:v>
                </c:pt>
                <c:pt idx="8">
                  <c:v>7.9034080522522094</c:v>
                </c:pt>
                <c:pt idx="9">
                  <c:v>9.144504817748075</c:v>
                </c:pt>
                <c:pt idx="10">
                  <c:v>10.572882197454184</c:v>
                </c:pt>
                <c:pt idx="11">
                  <c:v>12.029431615891291</c:v>
                </c:pt>
                <c:pt idx="12">
                  <c:v>13.585375419622018</c:v>
                </c:pt>
                <c:pt idx="13">
                  <c:v>15.348905744212924</c:v>
                </c:pt>
                <c:pt idx="14">
                  <c:v>17.124619812127957</c:v>
                </c:pt>
                <c:pt idx="15">
                  <c:v>18.673970820048595</c:v>
                </c:pt>
                <c:pt idx="16">
                  <c:v>19.902993747941373</c:v>
                </c:pt>
                <c:pt idx="17">
                  <c:v>20.829952324095235</c:v>
                </c:pt>
                <c:pt idx="18">
                  <c:v>21.519108628539762</c:v>
                </c:pt>
                <c:pt idx="19">
                  <c:v>22.040064549948784</c:v>
                </c:pt>
                <c:pt idx="20">
                  <c:v>22.450929687308015</c:v>
                </c:pt>
                <c:pt idx="21">
                  <c:v>22.79467037153621</c:v>
                </c:pt>
                <c:pt idx="22">
                  <c:v>23.148656595379133</c:v>
                </c:pt>
                <c:pt idx="23">
                  <c:v>23.560632511533008</c:v>
                </c:pt>
                <c:pt idx="24">
                  <c:v>24.115013788679665</c:v>
                </c:pt>
                <c:pt idx="25">
                  <c:v>24.679721568386483</c:v>
                </c:pt>
                <c:pt idx="26">
                  <c:v>25.09049542399929</c:v>
                </c:pt>
                <c:pt idx="27">
                  <c:v>25.487310892572715</c:v>
                </c:pt>
                <c:pt idx="28">
                  <c:v>25.869969364711764</c:v>
                </c:pt>
                <c:pt idx="29">
                  <c:v>26.238288022770821</c:v>
                </c:pt>
                <c:pt idx="30">
                  <c:v>26.592098853820989</c:v>
                </c:pt>
                <c:pt idx="31">
                  <c:v>26.931247727395462</c:v>
                </c:pt>
                <c:pt idx="32">
                  <c:v>27.255593525880105</c:v>
                </c:pt>
                <c:pt idx="33">
                  <c:v>27.565007323597818</c:v>
                </c:pt>
                <c:pt idx="34">
                  <c:v>27.85937161296183</c:v>
                </c:pt>
                <c:pt idx="35">
                  <c:v>28.138579576736596</c:v>
                </c:pt>
                <c:pt idx="36">
                  <c:v>28.402534405636608</c:v>
                </c:pt>
                <c:pt idx="37">
                  <c:v>28.651148660551193</c:v>
                </c:pt>
                <c:pt idx="38">
                  <c:v>28.884343678702006</c:v>
                </c:pt>
                <c:pt idx="39">
                  <c:v>29.102049023049599</c:v>
                </c:pt>
                <c:pt idx="40">
                  <c:v>29.304201974270459</c:v>
                </c:pt>
                <c:pt idx="41">
                  <c:v>29.490747064630785</c:v>
                </c:pt>
                <c:pt idx="42">
                  <c:v>29.661635653088052</c:v>
                </c:pt>
                <c:pt idx="43">
                  <c:v>29.816825540955406</c:v>
                </c:pt>
                <c:pt idx="44">
                  <c:v>29.956280627468811</c:v>
                </c:pt>
                <c:pt idx="45">
                  <c:v>30.079970604600835</c:v>
                </c:pt>
                <c:pt idx="46">
                  <c:v>30.187870690469428</c:v>
                </c:pt>
                <c:pt idx="47">
                  <c:v>30.279961400694901</c:v>
                </c:pt>
                <c:pt idx="48">
                  <c:v>30.356228357061759</c:v>
                </c:pt>
                <c:pt idx="49">
                  <c:v>30.416662132847051</c:v>
                </c:pt>
                <c:pt idx="50">
                  <c:v>30.46125813418125</c:v>
                </c:pt>
                <c:pt idx="51">
                  <c:v>30.490016516811316</c:v>
                </c:pt>
                <c:pt idx="52">
                  <c:v>30.502942137641011</c:v>
                </c:pt>
                <c:pt idx="53">
                  <c:v>30.50004454042638</c:v>
                </c:pt>
                <c:pt idx="54">
                  <c:v>30.481337975010153</c:v>
                </c:pt>
                <c:pt idx="55">
                  <c:v>30.446841449481823</c:v>
                </c:pt>
                <c:pt idx="56">
                  <c:v>30.396578814655186</c:v>
                </c:pt>
                <c:pt idx="57">
                  <c:v>30.330578880259022</c:v>
                </c:pt>
                <c:pt idx="58">
                  <c:v>30.248875562240826</c:v>
                </c:pt>
                <c:pt idx="59">
                  <c:v>30.151508060588124</c:v>
                </c:pt>
                <c:pt idx="60">
                  <c:v>30.0385210670755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A1-41F0-A6F6-97C54FD6F78D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'Fat Vol'!$B$10:$B$70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'Fat Vol'!$J$10:$J$70</c:f>
              <c:numCache>
                <c:formatCode>General</c:formatCode>
                <c:ptCount val="61"/>
                <c:pt idx="8">
                  <c:v>8.2454537998260129</c:v>
                </c:pt>
                <c:pt idx="9">
                  <c:v>10.105869192409049</c:v>
                </c:pt>
                <c:pt idx="10">
                  <c:v>11.717183688260167</c:v>
                </c:pt>
                <c:pt idx="11">
                  <c:v>13.274639260183362</c:v>
                </c:pt>
                <c:pt idx="12">
                  <c:v>14.530014431713605</c:v>
                </c:pt>
                <c:pt idx="13">
                  <c:v>15.601271438266311</c:v>
                </c:pt>
                <c:pt idx="14">
                  <c:v>17.971017098819349</c:v>
                </c:pt>
                <c:pt idx="15">
                  <c:v>18.915156605057255</c:v>
                </c:pt>
                <c:pt idx="16">
                  <c:v>20.593396563789792</c:v>
                </c:pt>
                <c:pt idx="17">
                  <c:v>21.385265356496983</c:v>
                </c:pt>
                <c:pt idx="18">
                  <c:v>22.398660635107326</c:v>
                </c:pt>
                <c:pt idx="19">
                  <c:v>22.451759652810058</c:v>
                </c:pt>
                <c:pt idx="20">
                  <c:v>22.833758877063428</c:v>
                </c:pt>
                <c:pt idx="21">
                  <c:v>24.475678921509857</c:v>
                </c:pt>
                <c:pt idx="22">
                  <c:v>22.224964409531712</c:v>
                </c:pt>
                <c:pt idx="23">
                  <c:v>26.200413619518002</c:v>
                </c:pt>
                <c:pt idx="24">
                  <c:v>27.005351260924066</c:v>
                </c:pt>
                <c:pt idx="25">
                  <c:v>24.797875046160328</c:v>
                </c:pt>
                <c:pt idx="26">
                  <c:v>22.219845377121988</c:v>
                </c:pt>
                <c:pt idx="27">
                  <c:v>26.186347682820887</c:v>
                </c:pt>
                <c:pt idx="28">
                  <c:v>29.811706834439747</c:v>
                </c:pt>
                <c:pt idx="29">
                  <c:v>26.207517088331521</c:v>
                </c:pt>
                <c:pt idx="30">
                  <c:v>27.247359686582676</c:v>
                </c:pt>
                <c:pt idx="31">
                  <c:v>28.480160256679227</c:v>
                </c:pt>
                <c:pt idx="32">
                  <c:v>27.763117636753044</c:v>
                </c:pt>
                <c:pt idx="33">
                  <c:v>28.227168640069088</c:v>
                </c:pt>
                <c:pt idx="34">
                  <c:v>27.735645444379006</c:v>
                </c:pt>
                <c:pt idx="35">
                  <c:v>28.447573400117875</c:v>
                </c:pt>
                <c:pt idx="36">
                  <c:v>29.570504489971093</c:v>
                </c:pt>
                <c:pt idx="37">
                  <c:v>29.711250584399355</c:v>
                </c:pt>
                <c:pt idx="38">
                  <c:v>28.199169705698637</c:v>
                </c:pt>
                <c:pt idx="39">
                  <c:v>28.687622938379686</c:v>
                </c:pt>
                <c:pt idx="40">
                  <c:v>29.687707619106501</c:v>
                </c:pt>
                <c:pt idx="41">
                  <c:v>30.359016548183828</c:v>
                </c:pt>
                <c:pt idx="42">
                  <c:v>29.942290827198697</c:v>
                </c:pt>
                <c:pt idx="43">
                  <c:v>30.712058303539333</c:v>
                </c:pt>
                <c:pt idx="44">
                  <c:v>29.020980927277726</c:v>
                </c:pt>
                <c:pt idx="45">
                  <c:v>30.887117134255941</c:v>
                </c:pt>
                <c:pt idx="46">
                  <c:v>32.665105849064986</c:v>
                </c:pt>
                <c:pt idx="47">
                  <c:v>32.284339715602357</c:v>
                </c:pt>
                <c:pt idx="48">
                  <c:v>31.068519544232881</c:v>
                </c:pt>
                <c:pt idx="49">
                  <c:v>31.572925809737573</c:v>
                </c:pt>
                <c:pt idx="50">
                  <c:v>31.686694608749285</c:v>
                </c:pt>
                <c:pt idx="51">
                  <c:v>31.703305173496524</c:v>
                </c:pt>
                <c:pt idx="52">
                  <c:v>31.554422203839529</c:v>
                </c:pt>
                <c:pt idx="53">
                  <c:v>31.220304372411089</c:v>
                </c:pt>
                <c:pt idx="54">
                  <c:v>31.747419828880378</c:v>
                </c:pt>
                <c:pt idx="55">
                  <c:v>32.63140863177469</c:v>
                </c:pt>
                <c:pt idx="56">
                  <c:v>31.20065615173198</c:v>
                </c:pt>
                <c:pt idx="57">
                  <c:v>32.162165604988353</c:v>
                </c:pt>
                <c:pt idx="58">
                  <c:v>32.968058937280723</c:v>
                </c:pt>
                <c:pt idx="59">
                  <c:v>34.027023018112182</c:v>
                </c:pt>
                <c:pt idx="60">
                  <c:v>31.455561253745348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70-4F2C-B83B-FDF6E0F0E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8848"/>
        <c:axId val="503379632"/>
      </c:scatterChart>
      <c:valAx>
        <c:axId val="503378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9632"/>
        <c:crosses val="autoZero"/>
        <c:crossBetween val="midCat"/>
      </c:valAx>
      <c:valAx>
        <c:axId val="503379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VFAT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8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VFATC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% FAT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Vol'!$B$10:$B$70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'Fat Vol'!$H$10:$H$70</c:f>
              <c:numCache>
                <c:formatCode>0.000</c:formatCode>
                <c:ptCount val="61"/>
                <c:pt idx="0">
                  <c:v>37.416998795041053</c:v>
                </c:pt>
                <c:pt idx="1">
                  <c:v>37.603490669540733</c:v>
                </c:pt>
                <c:pt idx="2">
                  <c:v>35.861267529805026</c:v>
                </c:pt>
                <c:pt idx="3">
                  <c:v>34.056926917887729</c:v>
                </c:pt>
                <c:pt idx="4">
                  <c:v>31.709648662841051</c:v>
                </c:pt>
                <c:pt idx="5">
                  <c:v>29.863364536321846</c:v>
                </c:pt>
                <c:pt idx="6">
                  <c:v>28.78629643152626</c:v>
                </c:pt>
                <c:pt idx="7">
                  <c:v>28.404954136542443</c:v>
                </c:pt>
                <c:pt idx="8">
                  <c:v>28.577131477471156</c:v>
                </c:pt>
                <c:pt idx="9">
                  <c:v>29.039309218712933</c:v>
                </c:pt>
                <c:pt idx="10">
                  <c:v>29.382496689241055</c:v>
                </c:pt>
                <c:pt idx="11">
                  <c:v>29.396742551076944</c:v>
                </c:pt>
                <c:pt idx="12">
                  <c:v>29.583831945583505</c:v>
                </c:pt>
                <c:pt idx="13">
                  <c:v>30.356018352057106</c:v>
                </c:pt>
                <c:pt idx="14">
                  <c:v>31.404775230723196</c:v>
                </c:pt>
                <c:pt idx="15">
                  <c:v>32.371492324713095</c:v>
                </c:pt>
                <c:pt idx="16">
                  <c:v>33.134284989021538</c:v>
                </c:pt>
                <c:pt idx="17">
                  <c:v>33.707256385053093</c:v>
                </c:pt>
                <c:pt idx="18">
                  <c:v>34.144374628152555</c:v>
                </c:pt>
                <c:pt idx="19">
                  <c:v>34.498705013068005</c:v>
                </c:pt>
                <c:pt idx="20">
                  <c:v>34.810822160737871</c:v>
                </c:pt>
                <c:pt idx="21">
                  <c:v>35.108369304068432</c:v>
                </c:pt>
                <c:pt idx="22">
                  <c:v>35.435707794112162</c:v>
                </c:pt>
                <c:pt idx="23">
                  <c:v>35.817153403606291</c:v>
                </c:pt>
                <c:pt idx="24">
                  <c:v>36.294681984262482</c:v>
                </c:pt>
                <c:pt idx="25">
                  <c:v>36.792437234249718</c:v>
                </c:pt>
                <c:pt idx="26">
                  <c:v>37.067716038109602</c:v>
                </c:pt>
                <c:pt idx="27">
                  <c:v>37.331786490307714</c:v>
                </c:pt>
                <c:pt idx="28">
                  <c:v>37.584908799707584</c:v>
                </c:pt>
                <c:pt idx="29">
                  <c:v>37.827331977858236</c:v>
                </c:pt>
                <c:pt idx="30">
                  <c:v>38.059293890592031</c:v>
                </c:pt>
                <c:pt idx="31">
                  <c:v>38.281021333724574</c:v>
                </c:pt>
                <c:pt idx="32">
                  <c:v>38.492730115376915</c:v>
                </c:pt>
                <c:pt idx="33">
                  <c:v>38.694625140008085</c:v>
                </c:pt>
                <c:pt idx="34">
                  <c:v>38.886900492777599</c:v>
                </c:pt>
                <c:pt idx="35">
                  <c:v>39.069739523850245</c:v>
                </c:pt>
                <c:pt idx="36">
                  <c:v>39.243314932534034</c:v>
                </c:pt>
                <c:pt idx="37">
                  <c:v>39.407788851221206</c:v>
                </c:pt>
                <c:pt idx="38">
                  <c:v>39.563312929123079</c:v>
                </c:pt>
                <c:pt idx="39">
                  <c:v>39.710028415796955</c:v>
                </c:pt>
                <c:pt idx="40">
                  <c:v>39.848066244463837</c:v>
                </c:pt>
                <c:pt idx="41">
                  <c:v>39.977547115117218</c:v>
                </c:pt>
                <c:pt idx="42">
                  <c:v>40.098581577422671</c:v>
                </c:pt>
                <c:pt idx="43">
                  <c:v>40.211270113408162</c:v>
                </c:pt>
                <c:pt idx="44">
                  <c:v>40.315703219945384</c:v>
                </c:pt>
                <c:pt idx="45">
                  <c:v>40.4119614910217</c:v>
                </c:pt>
                <c:pt idx="46">
                  <c:v>40.500115699802954</c:v>
                </c:pt>
                <c:pt idx="47">
                  <c:v>40.580226880487224</c:v>
                </c:pt>
                <c:pt idx="48">
                  <c:v>40.652346409949239</c:v>
                </c:pt>
                <c:pt idx="49">
                  <c:v>40.716516089175684</c:v>
                </c:pt>
                <c:pt idx="50">
                  <c:v>40.77276822449133</c:v>
                </c:pt>
                <c:pt idx="51">
                  <c:v>40.82112570857587</c:v>
                </c:pt>
                <c:pt idx="52">
                  <c:v>40.861602101271814</c:v>
                </c:pt>
                <c:pt idx="53">
                  <c:v>40.894201710182926</c:v>
                </c:pt>
                <c:pt idx="54">
                  <c:v>40.918919671063648</c:v>
                </c:pt>
                <c:pt idx="55">
                  <c:v>40.935742027999247</c:v>
                </c:pt>
                <c:pt idx="56">
                  <c:v>40.94464581337688</c:v>
                </c:pt>
                <c:pt idx="57">
                  <c:v>40.945599127647405</c:v>
                </c:pt>
                <c:pt idx="58">
                  <c:v>40.938561218877965</c:v>
                </c:pt>
                <c:pt idx="59">
                  <c:v>40.923482562095494</c:v>
                </c:pt>
                <c:pt idx="60">
                  <c:v>40.900304938421037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6F-4F73-9FA7-8529C4B3977B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'Fat Vol'!$B$10:$B$70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'Fat Vol'!$I$10:$I$70</c:f>
              <c:numCache>
                <c:formatCode>General</c:formatCode>
                <c:ptCount val="61"/>
                <c:pt idx="8">
                  <c:v>29.8139</c:v>
                </c:pt>
                <c:pt idx="9">
                  <c:v>32.092219999999998</c:v>
                </c:pt>
                <c:pt idx="10">
                  <c:v>32.562559999999998</c:v>
                </c:pt>
                <c:pt idx="11">
                  <c:v>32.439700000000002</c:v>
                </c:pt>
                <c:pt idx="12">
                  <c:v>31.640899999999998</c:v>
                </c:pt>
                <c:pt idx="13">
                  <c:v>30.855129999999999</c:v>
                </c:pt>
                <c:pt idx="14">
                  <c:v>32.956980000000001</c:v>
                </c:pt>
                <c:pt idx="15">
                  <c:v>32.789589999999997</c:v>
                </c:pt>
                <c:pt idx="16">
                  <c:v>34.283659999999998</c:v>
                </c:pt>
                <c:pt idx="17">
                  <c:v>34.605870000000003</c:v>
                </c:pt>
                <c:pt idx="18">
                  <c:v>35.539960000000001</c:v>
                </c:pt>
                <c:pt idx="19">
                  <c:v>35.143120000000003</c:v>
                </c:pt>
                <c:pt idx="20">
                  <c:v>35.404409999999999</c:v>
                </c:pt>
                <c:pt idx="21">
                  <c:v>37.69746</c:v>
                </c:pt>
                <c:pt idx="22">
                  <c:v>34.021729999999998</c:v>
                </c:pt>
                <c:pt idx="23">
                  <c:v>39.830179999999999</c:v>
                </c:pt>
                <c:pt idx="24">
                  <c:v>40.644829999999999</c:v>
                </c:pt>
                <c:pt idx="25">
                  <c:v>36.968580000000003</c:v>
                </c:pt>
                <c:pt idx="26">
                  <c:v>32.826729999999998</c:v>
                </c:pt>
                <c:pt idx="27">
                  <c:v>38.35568</c:v>
                </c:pt>
                <c:pt idx="28">
                  <c:v>43.311619999999998</c:v>
                </c:pt>
                <c:pt idx="29">
                  <c:v>37.782969999999999</c:v>
                </c:pt>
                <c:pt idx="30">
                  <c:v>38.997120000000002</c:v>
                </c:pt>
                <c:pt idx="31">
                  <c:v>40.482700000000001</c:v>
                </c:pt>
                <c:pt idx="32">
                  <c:v>39.209499999999998</c:v>
                </c:pt>
                <c:pt idx="33">
                  <c:v>39.624139999999997</c:v>
                </c:pt>
                <c:pt idx="34">
                  <c:v>38.714199999999998</c:v>
                </c:pt>
                <c:pt idx="35">
                  <c:v>39.49877</c:v>
                </c:pt>
                <c:pt idx="36">
                  <c:v>40.857080000000003</c:v>
                </c:pt>
                <c:pt idx="37">
                  <c:v>40.86589</c:v>
                </c:pt>
                <c:pt idx="38">
                  <c:v>38.62482</c:v>
                </c:pt>
                <c:pt idx="39">
                  <c:v>39.144539999999999</c:v>
                </c:pt>
                <c:pt idx="40">
                  <c:v>40.36956</c:v>
                </c:pt>
                <c:pt idx="41">
                  <c:v>41.15457</c:v>
                </c:pt>
                <c:pt idx="42">
                  <c:v>40.477989999999998</c:v>
                </c:pt>
                <c:pt idx="43">
                  <c:v>41.418590000000002</c:v>
                </c:pt>
                <c:pt idx="44">
                  <c:v>39.056959999999997</c:v>
                </c:pt>
                <c:pt idx="45">
                  <c:v>41.49635</c:v>
                </c:pt>
                <c:pt idx="46">
                  <c:v>43.82358</c:v>
                </c:pt>
                <c:pt idx="47">
                  <c:v>43.26643</c:v>
                </c:pt>
                <c:pt idx="48">
                  <c:v>41.606229999999996</c:v>
                </c:pt>
                <c:pt idx="49">
                  <c:v>42.264319999999998</c:v>
                </c:pt>
                <c:pt idx="50">
                  <c:v>42.413029999999999</c:v>
                </c:pt>
                <c:pt idx="51">
                  <c:v>42.445520000000002</c:v>
                </c:pt>
                <c:pt idx="52">
                  <c:v>42.270159999999997</c:v>
                </c:pt>
                <c:pt idx="53">
                  <c:v>41.859920000000002</c:v>
                </c:pt>
                <c:pt idx="54">
                  <c:v>42.618540000000003</c:v>
                </c:pt>
                <c:pt idx="55">
                  <c:v>43.872889999999998</c:v>
                </c:pt>
                <c:pt idx="56">
                  <c:v>42.027749999999997</c:v>
                </c:pt>
                <c:pt idx="57">
                  <c:v>43.418199999999999</c:v>
                </c:pt>
                <c:pt idx="58">
                  <c:v>44.618679999999998</c:v>
                </c:pt>
                <c:pt idx="59">
                  <c:v>46.183570000000003</c:v>
                </c:pt>
                <c:pt idx="60">
                  <c:v>42.829740000000001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99-4CD4-B678-420FE5641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0416"/>
        <c:axId val="503380808"/>
      </c:scatterChart>
      <c:valAx>
        <c:axId val="503380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0808"/>
        <c:crosses val="autoZero"/>
        <c:crossBetween val="midCat"/>
      </c:valAx>
      <c:valAx>
        <c:axId val="503380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VFATC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0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VLIV (L)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Vol'!$B$12:$B$72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'Liver Vol'!$E$12:$E$72</c:f>
              <c:numCache>
                <c:formatCode>0.000</c:formatCode>
                <c:ptCount val="61"/>
                <c:pt idx="0">
                  <c:v>0.22650086452056245</c:v>
                </c:pt>
                <c:pt idx="1">
                  <c:v>0.28689840720340182</c:v>
                </c:pt>
                <c:pt idx="2">
                  <c:v>0.36870487386088646</c:v>
                </c:pt>
                <c:pt idx="3">
                  <c:v>0.42510867352637144</c:v>
                </c:pt>
                <c:pt idx="4">
                  <c:v>0.47057914915453142</c:v>
                </c:pt>
                <c:pt idx="5">
                  <c:v>0.51279966961523771</c:v>
                </c:pt>
                <c:pt idx="6">
                  <c:v>0.55707624811926204</c:v>
                </c:pt>
                <c:pt idx="7">
                  <c:v>0.60764724269907811</c:v>
                </c:pt>
                <c:pt idx="8">
                  <c:v>0.66774672184227346</c:v>
                </c:pt>
                <c:pt idx="9">
                  <c:v>0.73890178131143558</c:v>
                </c:pt>
                <c:pt idx="10">
                  <c:v>0.81992235277678782</c:v>
                </c:pt>
                <c:pt idx="11">
                  <c:v>0.90641871371146565</c:v>
                </c:pt>
                <c:pt idx="12">
                  <c:v>0.99170954207725048</c:v>
                </c:pt>
                <c:pt idx="13">
                  <c:v>1.0690561100758007</c:v>
                </c:pt>
                <c:pt idx="14">
                  <c:v>1.1339104468305861</c:v>
                </c:pt>
                <c:pt idx="15">
                  <c:v>1.1848100987230223</c:v>
                </c:pt>
                <c:pt idx="16">
                  <c:v>1.2227872139248779</c:v>
                </c:pt>
                <c:pt idx="17">
                  <c:v>1.2501544240910345</c:v>
                </c:pt>
                <c:pt idx="18">
                  <c:v>1.2694776291061773</c:v>
                </c:pt>
                <c:pt idx="19">
                  <c:v>1.283012584268505</c:v>
                </c:pt>
                <c:pt idx="20">
                  <c:v>1.2925182998646403</c:v>
                </c:pt>
                <c:pt idx="21">
                  <c:v>1.2992739641305378</c:v>
                </c:pt>
                <c:pt idx="22">
                  <c:v>1.3055007123485478</c:v>
                </c:pt>
                <c:pt idx="23">
                  <c:v>1.3208762034466737</c:v>
                </c:pt>
                <c:pt idx="24">
                  <c:v>1.3292604162338533</c:v>
                </c:pt>
                <c:pt idx="25">
                  <c:v>1.3372771471056539</c:v>
                </c:pt>
                <c:pt idx="26">
                  <c:v>1.3449322682605294</c:v>
                </c:pt>
                <c:pt idx="27">
                  <c:v>1.3522313125221144</c:v>
                </c:pt>
                <c:pt idx="28">
                  <c:v>1.359179498137322</c:v>
                </c:pt>
                <c:pt idx="29">
                  <c:v>1.3657817476787659</c:v>
                </c:pt>
                <c:pt idx="30">
                  <c:v>1.3720427042696122</c:v>
                </c:pt>
                <c:pt idx="31">
                  <c:v>1.3779667461329681</c:v>
                </c:pt>
                <c:pt idx="32">
                  <c:v>1.3835579998312604</c:v>
                </c:pt>
                <c:pt idx="33">
                  <c:v>1.3888203523719553</c:v>
                </c:pt>
                <c:pt idx="34">
                  <c:v>1.3937574622944491</c:v>
                </c:pt>
                <c:pt idx="35">
                  <c:v>1.3983727698283848</c:v>
                </c:pt>
                <c:pt idx="36">
                  <c:v>1.4026695062004537</c:v>
                </c:pt>
                <c:pt idx="37">
                  <c:v>1.4066507021573476</c:v>
                </c:pt>
                <c:pt idx="38">
                  <c:v>1.4103191957649581</c:v>
                </c:pt>
                <c:pt idx="39">
                  <c:v>1.4136776395373278</c:v>
                </c:pt>
                <c:pt idx="40">
                  <c:v>1.4167285069430497</c:v>
                </c:pt>
                <c:pt idx="41">
                  <c:v>1.4194740983316272</c:v>
                </c:pt>
                <c:pt idx="42">
                  <c:v>1.4219165463176644</c:v>
                </c:pt>
                <c:pt idx="43">
                  <c:v>1.424057820656536</c:v>
                </c:pt>
                <c:pt idx="44">
                  <c:v>1.4258997326414125</c:v>
                </c:pt>
                <c:pt idx="45">
                  <c:v>1.4274439390480627</c:v>
                </c:pt>
                <c:pt idx="46">
                  <c:v>1.4286919456506872</c:v>
                </c:pt>
                <c:pt idx="47">
                  <c:v>1.4296451103291505</c:v>
                </c:pt>
                <c:pt idx="48">
                  <c:v>1.4303046457853064</c:v>
                </c:pt>
                <c:pt idx="49">
                  <c:v>1.430671621883608</c:v>
                </c:pt>
                <c:pt idx="50">
                  <c:v>1.4307469676289051</c:v>
                </c:pt>
                <c:pt idx="51">
                  <c:v>1.4305314727920624</c:v>
                </c:pt>
                <c:pt idx="52">
                  <c:v>1.4300257891920536</c:v>
                </c:pt>
                <c:pt idx="53">
                  <c:v>1.4292304316410629</c:v>
                </c:pt>
                <c:pt idx="54">
                  <c:v>1.4281457785573093</c:v>
                </c:pt>
                <c:pt idx="55">
                  <c:v>1.4267720722483141</c:v>
                </c:pt>
                <c:pt idx="56">
                  <c:v>1.4251094188655518</c:v>
                </c:pt>
                <c:pt idx="57">
                  <c:v>1.4231577880295028</c:v>
                </c:pt>
                <c:pt idx="58">
                  <c:v>1.42091701212229</c:v>
                </c:pt>
                <c:pt idx="59">
                  <c:v>1.4183867852431666</c:v>
                </c:pt>
                <c:pt idx="60">
                  <c:v>1.4155666618201566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C-423F-BF3B-096F20657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1592"/>
        <c:axId val="503381984"/>
      </c:scatterChart>
      <c:valAx>
        <c:axId val="503381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1984"/>
        <c:crosses val="autoZero"/>
        <c:crossBetween val="midCat"/>
      </c:valAx>
      <c:valAx>
        <c:axId val="503381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VLIV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1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VLIV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Vol'!$B$12:$B$72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'Liver Vol'!$G$12:$G$72</c:f>
              <c:numCache>
                <c:formatCode>0.000</c:formatCode>
                <c:ptCount val="61"/>
                <c:pt idx="0">
                  <c:v>3.275298508910536E-2</c:v>
                </c:pt>
                <c:pt idx="1">
                  <c:v>3.0640510017188007E-2</c:v>
                </c:pt>
                <c:pt idx="2">
                  <c:v>2.8547382470986229E-2</c:v>
                </c:pt>
                <c:pt idx="3">
                  <c:v>2.7423922736159952E-2</c:v>
                </c:pt>
                <c:pt idx="4">
                  <c:v>2.6649059596470352E-2</c:v>
                </c:pt>
                <c:pt idx="5">
                  <c:v>2.6011004757561667E-2</c:v>
                </c:pt>
                <c:pt idx="6">
                  <c:v>2.5410465249377741E-2</c:v>
                </c:pt>
                <c:pt idx="7">
                  <c:v>2.4795272108454749E-2</c:v>
                </c:pt>
                <c:pt idx="8">
                  <c:v>2.4144376372290676E-2</c:v>
                </c:pt>
                <c:pt idx="9">
                  <c:v>2.3464580901215629E-2</c:v>
                </c:pt>
                <c:pt idx="10">
                  <c:v>2.2785996633632784E-2</c:v>
                </c:pt>
                <c:pt idx="11">
                  <c:v>2.2150470962613324E-2</c:v>
                </c:pt>
                <c:pt idx="12">
                  <c:v>2.1595699438139805E-2</c:v>
                </c:pt>
                <c:pt idx="13">
                  <c:v>2.1143062207594467E-2</c:v>
                </c:pt>
                <c:pt idx="14">
                  <c:v>2.0794740616234694E-2</c:v>
                </c:pt>
                <c:pt idx="15">
                  <c:v>2.0538787056407683E-2</c:v>
                </c:pt>
                <c:pt idx="16">
                  <c:v>2.0356826988055129E-2</c:v>
                </c:pt>
                <c:pt idx="17">
                  <c:v>2.0230135450190111E-2</c:v>
                </c:pt>
                <c:pt idx="18">
                  <c:v>2.0142804471358602E-2</c:v>
                </c:pt>
                <c:pt idx="19">
                  <c:v>2.0082642032387358E-2</c:v>
                </c:pt>
                <c:pt idx="20">
                  <c:v>2.0040873720041583E-2</c:v>
                </c:pt>
                <c:pt idx="21">
                  <c:v>2.0011427854125054E-2</c:v>
                </c:pt>
                <c:pt idx="22">
                  <c:v>1.9984460686596803E-2</c:v>
                </c:pt>
                <c:pt idx="23" formatCode="0.0000">
                  <c:v>2.0080116942049055E-2</c:v>
                </c:pt>
                <c:pt idx="24" formatCode="0.0000">
                  <c:v>2.0006243622437331E-2</c:v>
                </c:pt>
                <c:pt idx="25" formatCode="0.0000">
                  <c:v>1.9936078032057807E-2</c:v>
                </c:pt>
                <c:pt idx="26" formatCode="0.0000">
                  <c:v>1.9869503000202439E-2</c:v>
                </c:pt>
                <c:pt idx="27" formatCode="0.0000">
                  <c:v>1.9806409101909186E-2</c:v>
                </c:pt>
                <c:pt idx="28" formatCode="0.0000">
                  <c:v>1.9746694230572293E-2</c:v>
                </c:pt>
                <c:pt idx="29" formatCode="0.0000">
                  <c:v>1.9690263150517955E-2</c:v>
                </c:pt>
                <c:pt idx="30" formatCode="0.0000">
                  <c:v>1.9637027073076078E-2</c:v>
                </c:pt>
                <c:pt idx="31" formatCode="0.0000">
                  <c:v>1.9586903265614374E-2</c:v>
                </c:pt>
                <c:pt idx="32" formatCode="0.0000">
                  <c:v>1.9539814693782458E-2</c:v>
                </c:pt>
                <c:pt idx="33" formatCode="0.0000">
                  <c:v>1.9495689694898493E-2</c:v>
                </c:pt>
                <c:pt idx="34" formatCode="0.0000">
                  <c:v>1.9454461679994938E-2</c:v>
                </c:pt>
                <c:pt idx="35" formatCode="0.0000">
                  <c:v>1.9416068862128481E-2</c:v>
                </c:pt>
                <c:pt idx="36" formatCode="0.0000">
                  <c:v>1.9380454008767051E-2</c:v>
                </c:pt>
                <c:pt idx="37" formatCode="0.0000">
                  <c:v>1.9347564216286597E-2</c:v>
                </c:pt>
                <c:pt idx="38" formatCode="0.0000">
                  <c:v>1.9317350704818097E-2</c:v>
                </c:pt>
                <c:pt idx="39" formatCode="0.0000">
                  <c:v>1.9289768631872591E-2</c:v>
                </c:pt>
                <c:pt idx="40" formatCode="0.0000">
                  <c:v>1.9264776923341703E-2</c:v>
                </c:pt>
                <c:pt idx="41" formatCode="0.0000">
                  <c:v>1.9242338120623533E-2</c:v>
                </c:pt>
                <c:pt idx="42" formatCode="0.0000">
                  <c:v>1.922241824276133E-2</c:v>
                </c:pt>
                <c:pt idx="43" formatCode="0.0000">
                  <c:v>1.9204986662606494E-2</c:v>
                </c:pt>
                <c:pt idx="44" formatCode="0.0000">
                  <c:v>1.9190015996130697E-2</c:v>
                </c:pt>
                <c:pt idx="45" formatCode="0.0000">
                  <c:v>1.9177482004114524E-2</c:v>
                </c:pt>
                <c:pt idx="46" formatCode="0.0000">
                  <c:v>1.9167363505534371E-2</c:v>
                </c:pt>
                <c:pt idx="47" formatCode="0.0000">
                  <c:v>1.9159642302055482E-2</c:v>
                </c:pt>
                <c:pt idx="48" formatCode="0.0000">
                  <c:v>1.9154303113119688E-2</c:v>
                </c:pt>
                <c:pt idx="49" formatCode="0.0000">
                  <c:v>1.9151333521190188E-2</c:v>
                </c:pt>
                <c:pt idx="50" formatCode="0.0000">
                  <c:v>1.9150723926786063E-2</c:v>
                </c:pt>
                <c:pt idx="51" formatCode="0.0000">
                  <c:v>1.9152467513004177E-2</c:v>
                </c:pt>
                <c:pt idx="52" formatCode="0.0000">
                  <c:v>1.915656021928969E-2</c:v>
                </c:pt>
                <c:pt idx="53" formatCode="0.0000">
                  <c:v>1.9163000724275129E-2</c:v>
                </c:pt>
                <c:pt idx="54" formatCode="0.0000">
                  <c:v>1.9171790437567143E-2</c:v>
                </c:pt>
                <c:pt idx="55" formatCode="0.0000">
                  <c:v>1.9182933500415656E-2</c:v>
                </c:pt>
                <c:pt idx="56" formatCode="0.0000">
                  <c:v>1.9196436795256917E-2</c:v>
                </c:pt>
                <c:pt idx="57" formatCode="0.0000">
                  <c:v>1.9212309964176909E-2</c:v>
                </c:pt>
                <c:pt idx="58" formatCode="0.0000">
                  <c:v>1.9230565436398089E-2</c:v>
                </c:pt>
                <c:pt idx="59" formatCode="0.0000">
                  <c:v>1.9251218464949049E-2</c:v>
                </c:pt>
                <c:pt idx="60" formatCode="0.0000">
                  <c:v>1.9274287172735261E-2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9-4E90-8A65-7F26E6B46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2768"/>
        <c:axId val="503383160"/>
      </c:scatterChart>
      <c:valAx>
        <c:axId val="50338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3160"/>
        <c:crosses val="autoZero"/>
        <c:crossBetween val="midCat"/>
      </c:valAx>
      <c:valAx>
        <c:axId val="503383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VLIV C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MVGUT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vol'!$B$7:$B$67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'Gut vol'!$F$7:$F$67</c:f>
              <c:numCache>
                <c:formatCode>0.0000</c:formatCode>
                <c:ptCount val="61"/>
                <c:pt idx="0">
                  <c:v>0.11685280094121901</c:v>
                </c:pt>
                <c:pt idx="1">
                  <c:v>0.15774521917612122</c:v>
                </c:pt>
                <c:pt idx="2">
                  <c:v>0.22366432677478745</c:v>
                </c:pt>
                <c:pt idx="3">
                  <c:v>0.27599634818439372</c:v>
                </c:pt>
                <c:pt idx="4">
                  <c:v>0.3255921333385205</c:v>
                </c:pt>
                <c:pt idx="5">
                  <c:v>0.37333551063518844</c:v>
                </c:pt>
                <c:pt idx="6">
                  <c:v>0.42153084764494886</c:v>
                </c:pt>
                <c:pt idx="7">
                  <c:v>0.47372836423330206</c:v>
                </c:pt>
                <c:pt idx="8">
                  <c:v>0.53333099633547099</c:v>
                </c:pt>
                <c:pt idx="9">
                  <c:v>0.60333081939000144</c:v>
                </c:pt>
                <c:pt idx="10">
                  <c:v>0.68608957536689519</c:v>
                </c:pt>
                <c:pt idx="11">
                  <c:v>0.78007148269448534</c:v>
                </c:pt>
                <c:pt idx="12">
                  <c:v>0.87307865223585113</c:v>
                </c:pt>
                <c:pt idx="13">
                  <c:v>0.95077984979295993</c:v>
                </c:pt>
                <c:pt idx="14">
                  <c:v>1.0099105210824173</c:v>
                </c:pt>
                <c:pt idx="15">
                  <c:v>1.0533374454635738</c:v>
                </c:pt>
                <c:pt idx="16">
                  <c:v>1.0844463226809988</c:v>
                </c:pt>
                <c:pt idx="17">
                  <c:v>1.1061006026500197</c:v>
                </c:pt>
                <c:pt idx="18">
                  <c:v>1.1206287429038446</c:v>
                </c:pt>
                <c:pt idx="19">
                  <c:v>1.1298576211744733</c:v>
                </c:pt>
                <c:pt idx="20">
                  <c:v>1.1351658491341725</c:v>
                </c:pt>
                <c:pt idx="21">
                  <c:v>1.1375620897371861</c:v>
                </c:pt>
                <c:pt idx="22">
                  <c:v>1.1387826428246446</c:v>
                </c:pt>
                <c:pt idx="23">
                  <c:v>1.1399311391210607</c:v>
                </c:pt>
                <c:pt idx="24">
                  <c:v>1.142836154942815</c:v>
                </c:pt>
                <c:pt idx="25">
                  <c:v>1.1447601604608593</c:v>
                </c:pt>
                <c:pt idx="26">
                  <c:v>1.1501398923768269</c:v>
                </c:pt>
                <c:pt idx="27">
                  <c:v>1.1551977163722165</c:v>
                </c:pt>
                <c:pt idx="28">
                  <c:v>1.159940700082664</c:v>
                </c:pt>
                <c:pt idx="29">
                  <c:v>1.1643754847665753</c:v>
                </c:pt>
                <c:pt idx="30">
                  <c:v>1.1685083119550008</c:v>
                </c:pt>
                <c:pt idx="31">
                  <c:v>1.1723450483525171</c:v>
                </c:pt>
                <c:pt idx="32">
                  <c:v>1.1758912093166791</c:v>
                </c:pt>
                <c:pt idx="33">
                  <c:v>1.1791519810227398</c:v>
                </c:pt>
                <c:pt idx="34">
                  <c:v>1.1821322413575148</c:v>
                </c:pt>
                <c:pt idx="35">
                  <c:v>1.1848365795683364</c:v>
                </c:pt>
                <c:pt idx="36">
                  <c:v>1.1872693146878845</c:v>
                </c:pt>
                <c:pt idx="37">
                  <c:v>1.1894345127541206</c:v>
                </c:pt>
                <c:pt idx="38">
                  <c:v>1.1913360028440325</c:v>
                </c:pt>
                <c:pt idx="39">
                  <c:v>1.1929773919396562</c:v>
                </c:pt>
                <c:pt idx="40">
                  <c:v>1.1943620786447005</c:v>
                </c:pt>
                <c:pt idx="41">
                  <c:v>1.1954932657699497</c:v>
                </c:pt>
                <c:pt idx="42">
                  <c:v>1.1963739718055235</c:v>
                </c:pt>
                <c:pt idx="43">
                  <c:v>1.1970070412979408</c:v>
                </c:pt>
                <c:pt idx="44">
                  <c:v>1.1973951541498009</c:v>
                </c:pt>
                <c:pt idx="45">
                  <c:v>1.197540833859819</c:v>
                </c:pt>
                <c:pt idx="46">
                  <c:v>1.1974464547207808</c:v>
                </c:pt>
                <c:pt idx="47">
                  <c:v>1.1971142479929111</c:v>
                </c:pt>
                <c:pt idx="48">
                  <c:v>1.1965463070700009</c:v>
                </c:pt>
                <c:pt idx="49">
                  <c:v>1.1957445916555414</c:v>
                </c:pt>
                <c:pt idx="50">
                  <c:v>1.1947109309659834</c:v>
                </c:pt>
                <c:pt idx="51">
                  <c:v>1.1934470259781289</c:v>
                </c:pt>
                <c:pt idx="52">
                  <c:v>1.1919544507375508</c:v>
                </c:pt>
                <c:pt idx="53">
                  <c:v>1.190234652744808</c:v>
                </c:pt>
                <c:pt idx="54">
                  <c:v>1.1882889524361182</c:v>
                </c:pt>
                <c:pt idx="55">
                  <c:v>1.1861185417750379</c:v>
                </c:pt>
                <c:pt idx="56">
                  <c:v>1.1837244819715662</c:v>
                </c:pt>
                <c:pt idx="57">
                  <c:v>1.1811077003449997</c:v>
                </c:pt>
                <c:pt idx="58">
                  <c:v>1.1782689863467268</c:v>
                </c:pt>
                <c:pt idx="59">
                  <c:v>1.1752089867590578</c:v>
                </c:pt>
                <c:pt idx="60">
                  <c:v>1.1719282000860514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E3-4359-8D62-DA962A98D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40912"/>
        <c:axId val="112531728"/>
      </c:scatterChart>
      <c:valAx>
        <c:axId val="11254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1728"/>
        <c:crosses val="autoZero"/>
        <c:crossBetween val="midCat"/>
      </c:valAx>
      <c:valAx>
        <c:axId val="11253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40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MVGUTC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vol'!$B$7:$B$67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'Gut vol'!$G$7:$G$67</c:f>
              <c:numCache>
                <c:formatCode>General</c:formatCode>
                <c:ptCount val="61"/>
                <c:pt idx="0">
                  <c:v>1.6897410325338917E-2</c:v>
                </c:pt>
                <c:pt idx="1">
                  <c:v>1.6847057519224003E-2</c:v>
                </c:pt>
                <c:pt idx="2">
                  <c:v>1.7317457766952645E-2</c:v>
                </c:pt>
                <c:pt idx="3">
                  <c:v>1.7804629732170309E-2</c:v>
                </c:pt>
                <c:pt idx="4">
                  <c:v>1.8438394861032915E-2</c:v>
                </c:pt>
                <c:pt idx="5">
                  <c:v>1.8936891575193102E-2</c:v>
                </c:pt>
                <c:pt idx="6">
                  <c:v>1.9227699963487908E-2</c:v>
                </c:pt>
                <c:pt idx="7">
                  <c:v>1.9330662383133541E-2</c:v>
                </c:pt>
                <c:pt idx="8">
                  <c:v>1.9284174501082788E-2</c:v>
                </c:pt>
                <c:pt idx="9">
                  <c:v>1.9159386510947507E-2</c:v>
                </c:pt>
                <c:pt idx="10">
                  <c:v>1.9066725893904915E-2</c:v>
                </c:pt>
                <c:pt idx="11">
                  <c:v>1.9062879511209226E-2</c:v>
                </c:pt>
                <c:pt idx="12">
                  <c:v>1.9012365374692454E-2</c:v>
                </c:pt>
                <c:pt idx="13">
                  <c:v>1.880387504494458E-2</c:v>
                </c:pt>
                <c:pt idx="14">
                  <c:v>1.8520710687704736E-2</c:v>
                </c:pt>
                <c:pt idx="15">
                  <c:v>1.8259697072327462E-2</c:v>
                </c:pt>
                <c:pt idx="16">
                  <c:v>1.8053743052964186E-2</c:v>
                </c:pt>
                <c:pt idx="17">
                  <c:v>1.7899040776035668E-2</c:v>
                </c:pt>
                <c:pt idx="18">
                  <c:v>1.7781018850398813E-2</c:v>
                </c:pt>
                <c:pt idx="19">
                  <c:v>1.7685349646471643E-2</c:v>
                </c:pt>
                <c:pt idx="20">
                  <c:v>1.7601078016600772E-2</c:v>
                </c:pt>
                <c:pt idx="21">
                  <c:v>1.7520740287901522E-2</c:v>
                </c:pt>
                <c:pt idx="22">
                  <c:v>1.7432358895589715E-2</c:v>
                </c:pt>
                <c:pt idx="23">
                  <c:v>1.7329368581026301E-2</c:v>
                </c:pt>
                <c:pt idx="24">
                  <c:v>1.7200435864249131E-2</c:v>
                </c:pt>
                <c:pt idx="25">
                  <c:v>1.7066041946752576E-2</c:v>
                </c:pt>
                <c:pt idx="26">
                  <c:v>1.6991716669710413E-2</c:v>
                </c:pt>
                <c:pt idx="27">
                  <c:v>1.6920417647616919E-2</c:v>
                </c:pt>
                <c:pt idx="28">
                  <c:v>1.685207462407895E-2</c:v>
                </c:pt>
                <c:pt idx="29">
                  <c:v>1.6786620365978278E-2</c:v>
                </c:pt>
                <c:pt idx="30">
                  <c:v>1.6723990649540152E-2</c:v>
                </c:pt>
                <c:pt idx="31">
                  <c:v>1.6664124239894364E-2</c:v>
                </c:pt>
                <c:pt idx="32">
                  <c:v>1.6606962868848232E-2</c:v>
                </c:pt>
                <c:pt idx="33">
                  <c:v>1.6552451212197818E-2</c:v>
                </c:pt>
                <c:pt idx="34">
                  <c:v>1.650053686695005E-2</c:v>
                </c:pt>
                <c:pt idx="35">
                  <c:v>1.6451170328560433E-2</c:v>
                </c:pt>
                <c:pt idx="36">
                  <c:v>1.6404304968215811E-2</c:v>
                </c:pt>
                <c:pt idx="37">
                  <c:v>1.6359897010170276E-2</c:v>
                </c:pt>
                <c:pt idx="38">
                  <c:v>1.6317905509136768E-2</c:v>
                </c:pt>
                <c:pt idx="39">
                  <c:v>1.6278292327734822E-2</c:v>
                </c:pt>
                <c:pt idx="40">
                  <c:v>1.6241022113994762E-2</c:v>
                </c:pt>
                <c:pt idx="41">
                  <c:v>1.6206062278918354E-2</c:v>
                </c:pt>
                <c:pt idx="42">
                  <c:v>1.6173382974095877E-2</c:v>
                </c:pt>
                <c:pt idx="43">
                  <c:v>1.6142957069379796E-2</c:v>
                </c:pt>
                <c:pt idx="44">
                  <c:v>1.6114760130614747E-2</c:v>
                </c:pt>
                <c:pt idx="45">
                  <c:v>1.6088770397424141E-2</c:v>
                </c:pt>
                <c:pt idx="46">
                  <c:v>1.6064968761053202E-2</c:v>
                </c:pt>
                <c:pt idx="47">
                  <c:v>1.6043338742268452E-2</c:v>
                </c:pt>
                <c:pt idx="48">
                  <c:v>1.6023866469313704E-2</c:v>
                </c:pt>
                <c:pt idx="49">
                  <c:v>1.6006540655922562E-2</c:v>
                </c:pt>
                <c:pt idx="50">
                  <c:v>1.5991352579387341E-2</c:v>
                </c:pt>
                <c:pt idx="51">
                  <c:v>1.5978296058684515E-2</c:v>
                </c:pt>
                <c:pt idx="52">
                  <c:v>1.5967367432656608E-2</c:v>
                </c:pt>
                <c:pt idx="53">
                  <c:v>1.5958565538250612E-2</c:v>
                </c:pt>
                <c:pt idx="54">
                  <c:v>1.5951891688812815E-2</c:v>
                </c:pt>
                <c:pt idx="55">
                  <c:v>1.5947349652440206E-2</c:v>
                </c:pt>
                <c:pt idx="56">
                  <c:v>1.5944945630388244E-2</c:v>
                </c:pt>
                <c:pt idx="57">
                  <c:v>1.5944688235535201E-2</c:v>
                </c:pt>
                <c:pt idx="58">
                  <c:v>1.594658847090295E-2</c:v>
                </c:pt>
                <c:pt idx="59">
                  <c:v>1.5950659708234217E-2</c:v>
                </c:pt>
                <c:pt idx="60">
                  <c:v>1.5956917666626321E-2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CB-4D53-9F86-513123298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974824"/>
        <c:axId val="603975152"/>
      </c:scatterChart>
      <c:valAx>
        <c:axId val="603974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975152"/>
        <c:crosses val="autoZero"/>
        <c:crossBetween val="midCat"/>
      </c:valAx>
      <c:valAx>
        <c:axId val="60397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974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VRapC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 Vol'!$B$7:$B$67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'Rap perf tissue Vol'!$F$7:$F$67</c:f>
              <c:numCache>
                <c:formatCode>General</c:formatCode>
                <c:ptCount val="61"/>
                <c:pt idx="0">
                  <c:v>4.1635219041635085E-2</c:v>
                </c:pt>
                <c:pt idx="1">
                  <c:v>4.1511149727367941E-2</c:v>
                </c:pt>
                <c:pt idx="2">
                  <c:v>4.2670215937771316E-2</c:v>
                </c:pt>
                <c:pt idx="3">
                  <c:v>4.3870607660067645E-2</c:v>
                </c:pt>
                <c:pt idx="4">
                  <c:v>4.5432204937585104E-2</c:v>
                </c:pt>
                <c:pt idx="5">
                  <c:v>4.66605008412758E-2</c:v>
                </c:pt>
                <c:pt idx="6">
                  <c:v>4.7377052710034208E-2</c:v>
                </c:pt>
                <c:pt idx="7">
                  <c:v>4.7630752112041048E-2</c:v>
                </c:pt>
                <c:pt idx="8">
                  <c:v>4.7516205970667989E-2</c:v>
                </c:pt>
                <c:pt idx="9">
                  <c:v>4.7208728362974656E-2</c:v>
                </c:pt>
                <c:pt idx="10">
                  <c:v>4.6980412602581713E-2</c:v>
                </c:pt>
                <c:pt idx="11">
                  <c:v>4.6970935115619533E-2</c:v>
                </c:pt>
                <c:pt idx="12">
                  <c:v>4.6846468283242203E-2</c:v>
                </c:pt>
                <c:pt idx="13">
                  <c:v>4.6332748110743442E-2</c:v>
                </c:pt>
                <c:pt idx="14">
                  <c:v>4.5635031134504477E-2</c:v>
                </c:pt>
                <c:pt idx="15">
                  <c:v>4.4991893586214866E-2</c:v>
                </c:pt>
                <c:pt idx="16">
                  <c:v>4.448442288250376E-2</c:v>
                </c:pt>
                <c:pt idx="17">
                  <c:v>4.4103236472151884E-2</c:v>
                </c:pt>
                <c:pt idx="18">
                  <c:v>4.3812430447382672E-2</c:v>
                </c:pt>
                <c:pt idx="19">
                  <c:v>4.357670152890613E-2</c:v>
                </c:pt>
                <c:pt idx="20">
                  <c:v>4.3369056232904303E-2</c:v>
                </c:pt>
                <c:pt idx="21">
                  <c:v>4.317110406938935E-2</c:v>
                </c:pt>
                <c:pt idx="22">
                  <c:v>4.2953332318733058E-2</c:v>
                </c:pt>
                <c:pt idx="23">
                  <c:v>4.2699564183648807E-2</c:v>
                </c:pt>
                <c:pt idx="24">
                  <c:v>4.2381873969509855E-2</c:v>
                </c:pt>
                <c:pt idx="25">
                  <c:v>4.2050727356798351E-2</c:v>
                </c:pt>
                <c:pt idx="26">
                  <c:v>4.1867589874166451E-2</c:v>
                </c:pt>
                <c:pt idx="27">
                  <c:v>4.1691909083728093E-2</c:v>
                </c:pt>
                <c:pt idx="28">
                  <c:v>4.1523511873730538E-2</c:v>
                </c:pt>
                <c:pt idx="29">
                  <c:v>4.1362232581770478E-2</c:v>
                </c:pt>
                <c:pt idx="30">
                  <c:v>4.1207912960466941E-2</c:v>
                </c:pt>
                <c:pt idx="31">
                  <c:v>4.1060402127099715E-2</c:v>
                </c:pt>
                <c:pt idx="32">
                  <c:v>4.0919556508842041E-2</c:v>
                </c:pt>
                <c:pt idx="33">
                  <c:v>4.0785239786855422E-2</c:v>
                </c:pt>
                <c:pt idx="34">
                  <c:v>4.0657322840164919E-2</c:v>
                </c:pt>
                <c:pt idx="35">
                  <c:v>4.0535683689572909E-2</c:v>
                </c:pt>
                <c:pt idx="36">
                  <c:v>4.0420207441683759E-2</c:v>
                </c:pt>
                <c:pt idx="37">
                  <c:v>4.0310786233059559E-2</c:v>
                </c:pt>
                <c:pt idx="38">
                  <c:v>4.0207319174512993E-2</c:v>
                </c:pt>
                <c:pt idx="39">
                  <c:v>4.0109712295538599E-2</c:v>
                </c:pt>
                <c:pt idx="40">
                  <c:v>4.00178784888831E-2</c:v>
                </c:pt>
                <c:pt idx="41">
                  <c:v>3.9931737455254822E-2</c:v>
                </c:pt>
                <c:pt idx="42">
                  <c:v>3.985121564817224E-2</c:v>
                </c:pt>
                <c:pt idx="43">
                  <c:v>3.9776246218951823E-2</c:v>
                </c:pt>
                <c:pt idx="44">
                  <c:v>3.9706768961834733E-2</c:v>
                </c:pt>
                <c:pt idx="45">
                  <c:v>3.9642730259253085E-2</c:v>
                </c:pt>
                <c:pt idx="46">
                  <c:v>3.9584083027235088E-2</c:v>
                </c:pt>
                <c:pt idx="47">
                  <c:v>3.953078666094946E-2</c:v>
                </c:pt>
                <c:pt idx="48">
                  <c:v>3.9482806980388967E-2</c:v>
                </c:pt>
                <c:pt idx="49">
                  <c:v>3.9440116176193196E-2</c:v>
                </c:pt>
                <c:pt idx="50">
                  <c:v>3.9402692755610411E-2</c:v>
                </c:pt>
                <c:pt idx="51">
                  <c:v>3.9370521488598646E-2</c:v>
                </c:pt>
                <c:pt idx="52">
                  <c:v>3.9343593354065877E-2</c:v>
                </c:pt>
                <c:pt idx="53">
                  <c:v>3.9321905486249503E-2</c:v>
                </c:pt>
                <c:pt idx="54">
                  <c:v>3.9305461121234779E-2</c:v>
                </c:pt>
                <c:pt idx="55">
                  <c:v>3.9294269543612668E-2</c:v>
                </c:pt>
                <c:pt idx="56">
                  <c:v>3.9288346033276626E-2</c:v>
                </c:pt>
                <c:pt idx="57">
                  <c:v>3.9287711812358739E-2</c:v>
                </c:pt>
                <c:pt idx="58">
                  <c:v>3.9292393992304872E-2</c:v>
                </c:pt>
                <c:pt idx="59">
                  <c:v>3.9302425521089111E-2</c:v>
                </c:pt>
                <c:pt idx="60">
                  <c:v>3.9317845130567255E-2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C-40B4-99F1-7CFDA6E3F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3944"/>
        <c:axId val="511798088"/>
      </c:scatterChart>
      <c:valAx>
        <c:axId val="503383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798088"/>
        <c:crosses val="autoZero"/>
        <c:crossBetween val="midCat"/>
      </c:valAx>
      <c:valAx>
        <c:axId val="51179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3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Body Height</a:t>
            </a:r>
          </a:p>
        </c:rich>
      </c:tx>
      <c:layout>
        <c:manualLayout>
          <c:xMode val="edge"/>
          <c:yMode val="edge"/>
          <c:x val="0.37302077865266847"/>
          <c:y val="8.7962962962962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BH!$B$13:$B$73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BH!$D$13:$D$73</c:f>
              <c:numCache>
                <c:formatCode>0.00</c:formatCode>
                <c:ptCount val="61"/>
                <c:pt idx="0">
                  <c:v>63.846796951283025</c:v>
                </c:pt>
                <c:pt idx="1">
                  <c:v>73.133515075073461</c:v>
                </c:pt>
                <c:pt idx="2">
                  <c:v>85.8923535915862</c:v>
                </c:pt>
                <c:pt idx="3">
                  <c:v>94.541359016210961</c:v>
                </c:pt>
                <c:pt idx="4">
                  <c:v>102.79377912809166</c:v>
                </c:pt>
                <c:pt idx="5">
                  <c:v>110.31860080082637</c:v>
                </c:pt>
                <c:pt idx="6">
                  <c:v>116.94293516675691</c:v>
                </c:pt>
                <c:pt idx="7">
                  <c:v>122.86468769382844</c:v>
                </c:pt>
                <c:pt idx="8">
                  <c:v>128.39169770546997</c:v>
                </c:pt>
                <c:pt idx="9">
                  <c:v>134.09393224350492</c:v>
                </c:pt>
                <c:pt idx="10">
                  <c:v>140.86757931933013</c:v>
                </c:pt>
                <c:pt idx="11">
                  <c:v>148.96245456446943</c:v>
                </c:pt>
                <c:pt idx="12">
                  <c:v>156.10069388016007</c:v>
                </c:pt>
                <c:pt idx="13">
                  <c:v>160.01687553922528</c:v>
                </c:pt>
                <c:pt idx="14">
                  <c:v>161.49732203973653</c:v>
                </c:pt>
                <c:pt idx="15">
                  <c:v>161.96127689238583</c:v>
                </c:pt>
                <c:pt idx="16">
                  <c:v>162.09649102155765</c:v>
                </c:pt>
                <c:pt idx="17">
                  <c:v>162.1349264047526</c:v>
                </c:pt>
                <c:pt idx="18">
                  <c:v>162.14576263580773</c:v>
                </c:pt>
                <c:pt idx="19">
                  <c:v>162.1488096325391</c:v>
                </c:pt>
                <c:pt idx="20">
                  <c:v>162.14966567271529</c:v>
                </c:pt>
                <c:pt idx="21">
                  <c:v>162.14990610721546</c:v>
                </c:pt>
                <c:pt idx="22">
                  <c:v>162.14997363165622</c:v>
                </c:pt>
                <c:pt idx="23">
                  <c:v>162.14999259490992</c:v>
                </c:pt>
                <c:pt idx="24">
                  <c:v>162.14999792041425</c:v>
                </c:pt>
                <c:pt idx="25">
                  <c:v>162.14999941598637</c:v>
                </c:pt>
                <c:pt idx="26">
                  <c:v>162.14999983599049</c:v>
                </c:pt>
                <c:pt idx="27">
                  <c:v>162.14999995394095</c:v>
                </c:pt>
                <c:pt idx="28">
                  <c:v>162.14999998706517</c:v>
                </c:pt>
                <c:pt idx="29">
                  <c:v>162.14999999636748</c:v>
                </c:pt>
                <c:pt idx="30">
                  <c:v>162.14999999897989</c:v>
                </c:pt>
                <c:pt idx="31">
                  <c:v>162.14999999971351</c:v>
                </c:pt>
                <c:pt idx="32">
                  <c:v>162.14999999991954</c:v>
                </c:pt>
                <c:pt idx="33">
                  <c:v>162.14999999997741</c:v>
                </c:pt>
                <c:pt idx="34">
                  <c:v>162.14999999999367</c:v>
                </c:pt>
                <c:pt idx="35">
                  <c:v>162.14999999999822</c:v>
                </c:pt>
                <c:pt idx="36">
                  <c:v>162.14999999999949</c:v>
                </c:pt>
                <c:pt idx="37">
                  <c:v>162.14999999999986</c:v>
                </c:pt>
                <c:pt idx="38">
                  <c:v>162.14999999999998</c:v>
                </c:pt>
                <c:pt idx="39">
                  <c:v>162.15</c:v>
                </c:pt>
                <c:pt idx="40">
                  <c:v>162.15</c:v>
                </c:pt>
                <c:pt idx="41">
                  <c:v>162.15</c:v>
                </c:pt>
                <c:pt idx="42">
                  <c:v>162.15</c:v>
                </c:pt>
                <c:pt idx="43">
                  <c:v>162.15</c:v>
                </c:pt>
                <c:pt idx="44">
                  <c:v>162.15</c:v>
                </c:pt>
                <c:pt idx="45">
                  <c:v>162.15</c:v>
                </c:pt>
                <c:pt idx="46">
                  <c:v>162.15</c:v>
                </c:pt>
                <c:pt idx="47">
                  <c:v>162.15</c:v>
                </c:pt>
                <c:pt idx="48">
                  <c:v>162.15</c:v>
                </c:pt>
                <c:pt idx="49">
                  <c:v>162.15</c:v>
                </c:pt>
                <c:pt idx="50">
                  <c:v>162.15</c:v>
                </c:pt>
                <c:pt idx="51">
                  <c:v>162.15</c:v>
                </c:pt>
                <c:pt idx="52">
                  <c:v>162.15</c:v>
                </c:pt>
                <c:pt idx="53">
                  <c:v>162.15</c:v>
                </c:pt>
                <c:pt idx="54">
                  <c:v>162.15</c:v>
                </c:pt>
                <c:pt idx="55">
                  <c:v>162.15</c:v>
                </c:pt>
                <c:pt idx="56">
                  <c:v>162.15</c:v>
                </c:pt>
                <c:pt idx="57">
                  <c:v>162.15</c:v>
                </c:pt>
                <c:pt idx="58">
                  <c:v>162.15</c:v>
                </c:pt>
                <c:pt idx="59">
                  <c:v>162.15</c:v>
                </c:pt>
                <c:pt idx="60">
                  <c:v>162.15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83-4D67-AB21-D221F4E3B902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BH!$B$13:$B$73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BH!$E$13:$E$73</c:f>
              <c:numCache>
                <c:formatCode>General</c:formatCode>
                <c:ptCount val="61"/>
                <c:pt idx="2">
                  <c:v>90.9</c:v>
                </c:pt>
                <c:pt idx="3">
                  <c:v>99</c:v>
                </c:pt>
                <c:pt idx="4">
                  <c:v>106.1</c:v>
                </c:pt>
                <c:pt idx="5">
                  <c:v>113.6</c:v>
                </c:pt>
                <c:pt idx="6">
                  <c:v>118.75</c:v>
                </c:pt>
                <c:pt idx="7">
                  <c:v>126</c:v>
                </c:pt>
                <c:pt idx="8">
                  <c:v>131.85</c:v>
                </c:pt>
                <c:pt idx="9">
                  <c:v>138.80000000000001</c:v>
                </c:pt>
                <c:pt idx="10">
                  <c:v>143.9</c:v>
                </c:pt>
                <c:pt idx="11">
                  <c:v>151.69999999999999</c:v>
                </c:pt>
                <c:pt idx="12">
                  <c:v>157.19999999999999</c:v>
                </c:pt>
                <c:pt idx="13">
                  <c:v>158.6</c:v>
                </c:pt>
                <c:pt idx="14">
                  <c:v>160.6</c:v>
                </c:pt>
                <c:pt idx="15">
                  <c:v>161.19999999999999</c:v>
                </c:pt>
                <c:pt idx="16">
                  <c:v>159.6</c:v>
                </c:pt>
                <c:pt idx="17">
                  <c:v>162.30000000000001</c:v>
                </c:pt>
                <c:pt idx="18">
                  <c:v>161.75</c:v>
                </c:pt>
                <c:pt idx="19">
                  <c:v>162.25</c:v>
                </c:pt>
                <c:pt idx="20">
                  <c:v>161.9</c:v>
                </c:pt>
                <c:pt idx="21">
                  <c:v>161.5</c:v>
                </c:pt>
                <c:pt idx="22">
                  <c:v>164.1</c:v>
                </c:pt>
                <c:pt idx="23">
                  <c:v>164.2</c:v>
                </c:pt>
                <c:pt idx="24">
                  <c:v>163.15</c:v>
                </c:pt>
                <c:pt idx="25">
                  <c:v>161.5</c:v>
                </c:pt>
                <c:pt idx="26">
                  <c:v>163.19999999999999</c:v>
                </c:pt>
                <c:pt idx="27">
                  <c:v>162.65</c:v>
                </c:pt>
                <c:pt idx="28">
                  <c:v>161.5</c:v>
                </c:pt>
                <c:pt idx="29">
                  <c:v>162.5</c:v>
                </c:pt>
                <c:pt idx="30">
                  <c:v>161.5</c:v>
                </c:pt>
                <c:pt idx="31">
                  <c:v>161.1</c:v>
                </c:pt>
                <c:pt idx="32">
                  <c:v>163.4</c:v>
                </c:pt>
                <c:pt idx="33">
                  <c:v>163.6</c:v>
                </c:pt>
                <c:pt idx="34">
                  <c:v>163.69999999999999</c:v>
                </c:pt>
                <c:pt idx="35">
                  <c:v>163.30000000000001</c:v>
                </c:pt>
                <c:pt idx="36">
                  <c:v>163.65</c:v>
                </c:pt>
                <c:pt idx="37">
                  <c:v>161.44999999999999</c:v>
                </c:pt>
                <c:pt idx="38">
                  <c:v>162.85</c:v>
                </c:pt>
                <c:pt idx="39">
                  <c:v>162.19999999999999</c:v>
                </c:pt>
                <c:pt idx="40">
                  <c:v>162</c:v>
                </c:pt>
                <c:pt idx="41">
                  <c:v>162.35</c:v>
                </c:pt>
                <c:pt idx="42">
                  <c:v>162.1</c:v>
                </c:pt>
                <c:pt idx="43">
                  <c:v>161.19999999999999</c:v>
                </c:pt>
                <c:pt idx="44">
                  <c:v>165.1</c:v>
                </c:pt>
                <c:pt idx="45">
                  <c:v>165.2</c:v>
                </c:pt>
                <c:pt idx="46">
                  <c:v>161.15</c:v>
                </c:pt>
                <c:pt idx="47">
                  <c:v>160.75</c:v>
                </c:pt>
                <c:pt idx="48">
                  <c:v>160.80000000000001</c:v>
                </c:pt>
                <c:pt idx="49">
                  <c:v>161.69999999999999</c:v>
                </c:pt>
                <c:pt idx="50">
                  <c:v>160.80000000000001</c:v>
                </c:pt>
                <c:pt idx="51">
                  <c:v>161.80000000000001</c:v>
                </c:pt>
                <c:pt idx="52">
                  <c:v>162.1</c:v>
                </c:pt>
                <c:pt idx="53">
                  <c:v>162.65</c:v>
                </c:pt>
                <c:pt idx="54">
                  <c:v>163.19999999999999</c:v>
                </c:pt>
                <c:pt idx="55">
                  <c:v>162.30000000000001</c:v>
                </c:pt>
                <c:pt idx="56">
                  <c:v>162.1</c:v>
                </c:pt>
                <c:pt idx="57">
                  <c:v>159.5</c:v>
                </c:pt>
                <c:pt idx="58">
                  <c:v>160.30000000000001</c:v>
                </c:pt>
                <c:pt idx="59">
                  <c:v>161.30000000000001</c:v>
                </c:pt>
                <c:pt idx="60">
                  <c:v>160.6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38-46B0-BA86-17B13C089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0568"/>
        <c:axId val="500900960"/>
      </c:scatterChart>
      <c:valAx>
        <c:axId val="500900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0960"/>
        <c:crosses val="autoZero"/>
        <c:crossBetween val="midCat"/>
      </c:valAx>
      <c:valAx>
        <c:axId val="500900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Body height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0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VRap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 Vol'!$B$7:$B$67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'Rap perf tissue Vol'!$E$7:$E$67</c:f>
              <c:numCache>
                <c:formatCode>0.0000</c:formatCode>
                <c:ptCount val="61"/>
                <c:pt idx="0">
                  <c:v>0.28792530151916362</c:v>
                </c:pt>
                <c:pt idx="1">
                  <c:v>0.38868422004996267</c:v>
                </c:pt>
                <c:pt idx="2">
                  <c:v>0.55110890117307632</c:v>
                </c:pt>
                <c:pt idx="3">
                  <c:v>0.68005500192634616</c:v>
                </c:pt>
                <c:pt idx="4">
                  <c:v>0.80225901654611453</c:v>
                </c:pt>
                <c:pt idx="5">
                  <c:v>0.91989869820510428</c:v>
                </c:pt>
                <c:pt idx="6">
                  <c:v>1.038652008597154</c:v>
                </c:pt>
                <c:pt idx="7">
                  <c:v>1.1672666894708563</c:v>
                </c:pt>
                <c:pt idx="8">
                  <c:v>1.3141275749706005</c:v>
                </c:pt>
                <c:pt idx="9">
                  <c:v>1.4866071389769635</c:v>
                </c:pt>
                <c:pt idx="10">
                  <c:v>1.6905247137040298</c:v>
                </c:pt>
                <c:pt idx="11">
                  <c:v>1.9220961333592119</c:v>
                </c:pt>
                <c:pt idx="12">
                  <c:v>2.1512657991091371</c:v>
                </c:pt>
                <c:pt idx="13">
                  <c:v>2.3427215498898533</c:v>
                </c:pt>
                <c:pt idx="14">
                  <c:v>2.4884195239470763</c:v>
                </c:pt>
                <c:pt idx="15">
                  <c:v>2.5954234656222459</c:v>
                </c:pt>
                <c:pt idx="16">
                  <c:v>2.6720757390859813</c:v>
                </c:pt>
                <c:pt idx="17">
                  <c:v>2.7254318849296486</c:v>
                </c:pt>
                <c:pt idx="18">
                  <c:v>2.7612292225150732</c:v>
                </c:pt>
                <c:pt idx="19">
                  <c:v>2.7839691785739022</c:v>
                </c:pt>
                <c:pt idx="20">
                  <c:v>2.7970486522666009</c:v>
                </c:pt>
                <c:pt idx="21">
                  <c:v>2.8029529891124265</c:v>
                </c:pt>
                <c:pt idx="22">
                  <c:v>2.8059604319199241</c:v>
                </c:pt>
                <c:pt idx="23">
                  <c:v>2.8087903267942935</c:v>
                </c:pt>
                <c:pt idx="24">
                  <c:v>2.8159482857790961</c:v>
                </c:pt>
                <c:pt idx="25">
                  <c:v>2.8206890353755574</c:v>
                </c:pt>
                <c:pt idx="26">
                  <c:v>2.8339446948165015</c:v>
                </c:pt>
                <c:pt idx="27">
                  <c:v>2.8464071731411416</c:v>
                </c:pt>
                <c:pt idx="28">
                  <c:v>2.8580938850036843</c:v>
                </c:pt>
                <c:pt idx="29">
                  <c:v>2.8690211944648416</c:v>
                </c:pt>
                <c:pt idx="30">
                  <c:v>2.8792044806571222</c:v>
                </c:pt>
                <c:pt idx="31">
                  <c:v>2.8886581991406022</c:v>
                </c:pt>
                <c:pt idx="32">
                  <c:v>2.8973959397562972</c:v>
                </c:pt>
                <c:pt idx="33">
                  <c:v>2.9054304812400309</c:v>
                </c:pt>
                <c:pt idx="34">
                  <c:v>2.9127738427049166</c:v>
                </c:pt>
                <c:pt idx="35">
                  <c:v>2.9194373320563809</c:v>
                </c:pt>
                <c:pt idx="36">
                  <c:v>2.9254315913909474</c:v>
                </c:pt>
                <c:pt idx="37">
                  <c:v>2.9307666394261531</c:v>
                </c:pt>
                <c:pt idx="38">
                  <c:v>2.935451911007696</c:v>
                </c:pt>
                <c:pt idx="39">
                  <c:v>2.939496293739313</c:v>
                </c:pt>
                <c:pt idx="40">
                  <c:v>2.9429081617805419</c:v>
                </c:pt>
                <c:pt idx="41">
                  <c:v>2.9456954068571561</c:v>
                </c:pt>
                <c:pt idx="42">
                  <c:v>2.94786546652881</c:v>
                </c:pt>
                <c:pt idx="43">
                  <c:v>2.9494253497581262</c:v>
                </c:pt>
                <c:pt idx="44">
                  <c:v>2.9503816598251094</c:v>
                </c:pt>
                <c:pt idx="45">
                  <c:v>2.9507406146305941</c:v>
                </c:pt>
                <c:pt idx="46">
                  <c:v>2.9505080644320039</c:v>
                </c:pt>
                <c:pt idx="47">
                  <c:v>2.9496895070545328</c:v>
                </c:pt>
                <c:pt idx="48">
                  <c:v>2.9482901006204822</c:v>
                </c:pt>
                <c:pt idx="49">
                  <c:v>2.9463146738392538</c:v>
                </c:pt>
                <c:pt idx="50">
                  <c:v>2.9437677339001831</c:v>
                </c:pt>
                <c:pt idx="51">
                  <c:v>2.9406534720101094</c:v>
                </c:pt>
                <c:pt idx="52">
                  <c:v>2.9369757666173251</c:v>
                </c:pt>
                <c:pt idx="53">
                  <c:v>2.932738184363207</c:v>
                </c:pt>
                <c:pt idx="54">
                  <c:v>2.9279439788025954</c:v>
                </c:pt>
                <c:pt idx="55">
                  <c:v>2.9225960869336935</c:v>
                </c:pt>
                <c:pt idx="56">
                  <c:v>2.9166971235779391</c:v>
                </c:pt>
                <c:pt idx="57">
                  <c:v>2.9102493736500792</c:v>
                </c:pt>
                <c:pt idx="58">
                  <c:v>2.903254782358335</c:v>
                </c:pt>
                <c:pt idx="59">
                  <c:v>2.8957149433743186</c:v>
                </c:pt>
                <c:pt idx="60">
                  <c:v>2.8876310850120306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1D-47D4-927F-AED0A979D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99656"/>
        <c:axId val="511800048"/>
      </c:scatterChart>
      <c:valAx>
        <c:axId val="511799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0048"/>
        <c:crosses val="autoZero"/>
        <c:crossBetween val="midCat"/>
      </c:valAx>
      <c:valAx>
        <c:axId val="51180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799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VPLAS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'Plasma Vol'!$B$7:$B$67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'Plasma Vol'!$E$7:$E$67</c:f>
              <c:numCache>
                <c:formatCode>0.00</c:formatCode>
                <c:ptCount val="61"/>
                <c:pt idx="0">
                  <c:v>0.37023478932968662</c:v>
                </c:pt>
                <c:pt idx="1">
                  <c:v>0.47911544772485742</c:v>
                </c:pt>
                <c:pt idx="2">
                  <c:v>0.65114180675568267</c:v>
                </c:pt>
                <c:pt idx="3">
                  <c:v>0.75748759242185515</c:v>
                </c:pt>
                <c:pt idx="4">
                  <c:v>0.8480386921560733</c:v>
                </c:pt>
                <c:pt idx="5">
                  <c:v>0.93174150872796713</c:v>
                </c:pt>
                <c:pt idx="6">
                  <c:v>1.015161923043767</c:v>
                </c:pt>
                <c:pt idx="7">
                  <c:v>1.105046184575762</c:v>
                </c:pt>
                <c:pt idx="8">
                  <c:v>1.2071750553093223</c:v>
                </c:pt>
                <c:pt idx="9">
                  <c:v>1.326209686820965</c:v>
                </c:pt>
                <c:pt idx="10">
                  <c:v>1.4651377522329641</c:v>
                </c:pt>
                <c:pt idx="11">
                  <c:v>1.6198427147670658</c:v>
                </c:pt>
                <c:pt idx="12">
                  <c:v>1.7686299976118998</c:v>
                </c:pt>
                <c:pt idx="13">
                  <c:v>1.8877871414325138</c:v>
                </c:pt>
                <c:pt idx="14">
                  <c:v>1.9741184275104287</c:v>
                </c:pt>
                <c:pt idx="15">
                  <c:v>2.0340513667310329</c:v>
                </c:pt>
                <c:pt idx="16">
                  <c:v>2.0738665299182011</c:v>
                </c:pt>
                <c:pt idx="17">
                  <c:v>2.0987753758075649</c:v>
                </c:pt>
                <c:pt idx="18">
                  <c:v>2.1130880176345115</c:v>
                </c:pt>
                <c:pt idx="19">
                  <c:v>2.1201908193515084</c:v>
                </c:pt>
                <c:pt idx="20">
                  <c:v>2.1225887906719825</c:v>
                </c:pt>
                <c:pt idx="21">
                  <c:v>2.1220478759017753</c:v>
                </c:pt>
                <c:pt idx="22">
                  <c:v>2.1214943597803306</c:v>
                </c:pt>
                <c:pt idx="23">
                  <c:v>2.1227054107652394</c:v>
                </c:pt>
                <c:pt idx="24">
                  <c:v>2.128678577400585</c:v>
                </c:pt>
                <c:pt idx="25">
                  <c:v>2.134692989467299</c:v>
                </c:pt>
                <c:pt idx="26">
                  <c:v>2.1407476705791351</c:v>
                </c:pt>
                <c:pt idx="27">
                  <c:v>2.1468395046653188</c:v>
                </c:pt>
                <c:pt idx="28">
                  <c:v>2.1529633608003707</c:v>
                </c:pt>
                <c:pt idx="29">
                  <c:v>2.1591122057782375</c:v>
                </c:pt>
                <c:pt idx="30">
                  <c:v>2.1652772097827642</c:v>
                </c:pt>
                <c:pt idx="31">
                  <c:v>2.171447846952657</c:v>
                </c:pt>
                <c:pt idx="32">
                  <c:v>2.1776119916098531</c:v>
                </c:pt>
                <c:pt idx="33">
                  <c:v>2.183756010604887</c:v>
                </c:pt>
                <c:pt idx="34">
                  <c:v>2.1898648521221986</c:v>
                </c:pt>
                <c:pt idx="35">
                  <c:v>2.1959221312370398</c:v>
                </c:pt>
                <c:pt idx="36">
                  <c:v>2.2019102124842918</c:v>
                </c:pt>
                <c:pt idx="37">
                  <c:v>2.2078102896746681</c:v>
                </c:pt>
                <c:pt idx="38">
                  <c:v>2.2136024631735154</c:v>
                </c:pt>
                <c:pt idx="39">
                  <c:v>2.2192658148390199</c:v>
                </c:pt>
                <c:pt idx="40">
                  <c:v>2.2247784808008682</c:v>
                </c:pt>
                <c:pt idx="41">
                  <c:v>2.2301177222460011</c:v>
                </c:pt>
                <c:pt idx="42">
                  <c:v>2.2352599943653439</c:v>
                </c:pt>
                <c:pt idx="43">
                  <c:v>2.2401810136041247</c:v>
                </c:pt>
                <c:pt idx="44">
                  <c:v>2.2448558233480305</c:v>
                </c:pt>
                <c:pt idx="45">
                  <c:v>2.2492588581684725</c:v>
                </c:pt>
                <c:pt idx="46">
                  <c:v>2.2533640067420535</c:v>
                </c:pt>
                <c:pt idx="47">
                  <c:v>2.2571446735519118</c:v>
                </c:pt>
                <c:pt idx="48">
                  <c:v>2.2605738394722827</c:v>
                </c:pt>
                <c:pt idx="49">
                  <c:v>2.263624121331635</c:v>
                </c:pt>
                <c:pt idx="50">
                  <c:v>2.266267830544666</c:v>
                </c:pt>
                <c:pt idx="51">
                  <c:v>2.2684770308987687</c:v>
                </c:pt>
                <c:pt idx="52">
                  <c:v>2.2702235955765433</c:v>
                </c:pt>
                <c:pt idx="53">
                  <c:v>2.2714792634923957</c:v>
                </c:pt>
                <c:pt idx="54">
                  <c:v>2.2722156950180228</c:v>
                </c:pt>
                <c:pt idx="55">
                  <c:v>2.2724045271689737</c:v>
                </c:pt>
                <c:pt idx="56">
                  <c:v>2.2720174283221723</c:v>
                </c:pt>
                <c:pt idx="57">
                  <c:v>2.2710261525322744</c:v>
                </c:pt>
                <c:pt idx="58">
                  <c:v>2.2694025935132167</c:v>
                </c:pt>
                <c:pt idx="59">
                  <c:v>2.2671188383500747</c:v>
                </c:pt>
                <c:pt idx="60">
                  <c:v>2.2641472210053948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C-46F6-96F6-8E64B7220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0440"/>
        <c:axId val="511801224"/>
      </c:scatterChart>
      <c:valAx>
        <c:axId val="511800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1224"/>
        <c:crosses val="autoZero"/>
        <c:crossBetween val="midCat"/>
      </c:valAx>
      <c:valAx>
        <c:axId val="511801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VPLAS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0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VPLASC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'Plasma Vol'!$B$7:$B$67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'Plasma Vol'!$G$7:$G$67</c:f>
              <c:numCache>
                <c:formatCode>General</c:formatCode>
                <c:ptCount val="61"/>
                <c:pt idx="0">
                  <c:v>5.3537519867975725E-2</c:v>
                </c:pt>
                <c:pt idx="1">
                  <c:v>5.1169129234639205E-2</c:v>
                </c:pt>
                <c:pt idx="2">
                  <c:v>5.0415374241342251E-2</c:v>
                </c:pt>
                <c:pt idx="3">
                  <c:v>4.886581361856903E-2</c:v>
                </c:pt>
                <c:pt idx="4">
                  <c:v>4.8024723764287833E-2</c:v>
                </c:pt>
                <c:pt idx="5">
                  <c:v>4.7261209888308175E-2</c:v>
                </c:pt>
                <c:pt idx="6">
                  <c:v>4.6305576400149491E-2</c:v>
                </c:pt>
                <c:pt idx="7">
                  <c:v>4.5091821230454993E-2</c:v>
                </c:pt>
                <c:pt idx="8">
                  <c:v>4.364901830175319E-2</c:v>
                </c:pt>
                <c:pt idx="9">
                  <c:v>4.2115143413452162E-2</c:v>
                </c:pt>
                <c:pt idx="10">
                  <c:v>4.0716811509195573E-2</c:v>
                </c:pt>
                <c:pt idx="11">
                  <c:v>3.9584662667137033E-2</c:v>
                </c:pt>
                <c:pt idx="12">
                  <c:v>3.8514101382649872E-2</c:v>
                </c:pt>
                <c:pt idx="13">
                  <c:v>3.7335365833299924E-2</c:v>
                </c:pt>
                <c:pt idx="14">
                  <c:v>3.6203282861139226E-2</c:v>
                </c:pt>
                <c:pt idx="15">
                  <c:v>3.5260458978287335E-2</c:v>
                </c:pt>
                <c:pt idx="16">
                  <c:v>3.452550179221673E-2</c:v>
                </c:pt>
                <c:pt idx="17">
                  <c:v>3.3962612389250663E-2</c:v>
                </c:pt>
                <c:pt idx="18">
                  <c:v>3.3528372453440668E-2</c:v>
                </c:pt>
                <c:pt idx="19">
                  <c:v>3.3186761990854789E-2</c:v>
                </c:pt>
                <c:pt idx="20">
                  <c:v>3.2911359102527099E-2</c:v>
                </c:pt>
                <c:pt idx="21">
                  <c:v>3.268379813954405E-2</c:v>
                </c:pt>
                <c:pt idx="22">
                  <c:v>3.2475601299057411E-2</c:v>
                </c:pt>
                <c:pt idx="23">
                  <c:v>3.2269619795150702E-2</c:v>
                </c:pt>
                <c:pt idx="24">
                  <c:v>3.2038012787591524E-2</c:v>
                </c:pt>
                <c:pt idx="25">
                  <c:v>3.1823923787687745E-2</c:v>
                </c:pt>
                <c:pt idx="26">
                  <c:v>3.1626568316530906E-2</c:v>
                </c:pt>
                <c:pt idx="27">
                  <c:v>3.1445198104629743E-2</c:v>
                </c:pt>
                <c:pt idx="28">
                  <c:v>3.1279098333673441E-2</c:v>
                </c:pt>
                <c:pt idx="29">
                  <c:v>3.1127585044626042E-2</c:v>
                </c:pt>
                <c:pt idx="30">
                  <c:v>3.0990002757861311E-2</c:v>
                </c:pt>
                <c:pt idx="31">
                  <c:v>3.0865722299864663E-2</c:v>
                </c:pt>
                <c:pt idx="32">
                  <c:v>3.0754138819048083E-2</c:v>
                </c:pt>
                <c:pt idx="33">
                  <c:v>3.0654669971829571E-2</c:v>
                </c:pt>
                <c:pt idx="34">
                  <c:v>3.05667542614231E-2</c:v>
                </c:pt>
                <c:pt idx="35">
                  <c:v>3.048984951359059E-2</c:v>
                </c:pt>
                <c:pt idx="36">
                  <c:v>3.0423431475374078E-2</c:v>
                </c:pt>
                <c:pt idx="37">
                  <c:v>3.0366992524403391E-2</c:v>
                </c:pt>
                <c:pt idx="38">
                  <c:v>3.0320040477771714E-2</c:v>
                </c:pt>
                <c:pt idx="39">
                  <c:v>3.0282097490683644E-2</c:v>
                </c:pt>
                <c:pt idx="40">
                  <c:v>3.0252699036148269E-2</c:v>
                </c:pt>
                <c:pt idx="41">
                  <c:v>3.023139295791983E-2</c:v>
                </c:pt>
                <c:pt idx="42">
                  <c:v>3.0217738589704741E-2</c:v>
                </c:pt>
                <c:pt idx="43">
                  <c:v>3.0211305934373298E-2</c:v>
                </c:pt>
                <c:pt idx="44">
                  <c:v>3.0211674897543006E-2</c:v>
                </c:pt>
                <c:pt idx="45">
                  <c:v>3.0218434570458242E-2</c:v>
                </c:pt>
                <c:pt idx="46">
                  <c:v>3.0231182557581577E-2</c:v>
                </c:pt>
                <c:pt idx="47">
                  <c:v>3.0249524344742991E-2</c:v>
                </c:pt>
                <c:pt idx="48">
                  <c:v>3.0273072704079231E-2</c:v>
                </c:pt>
                <c:pt idx="49">
                  <c:v>3.0301447132331585E-2</c:v>
                </c:pt>
                <c:pt idx="50">
                  <c:v>3.0334273319371569E-2</c:v>
                </c:pt>
                <c:pt idx="51">
                  <c:v>3.0371182644088637E-2</c:v>
                </c:pt>
                <c:pt idx="52">
                  <c:v>3.0411811695008333E-2</c:v>
                </c:pt>
                <c:pt idx="53">
                  <c:v>3.0455801813218341E-2</c:v>
                </c:pt>
                <c:pt idx="54">
                  <c:v>3.0502798655360389E-2</c:v>
                </c:pt>
                <c:pt idx="55">
                  <c:v>3.0552451774609239E-2</c:v>
                </c:pt>
                <c:pt idx="56">
                  <c:v>3.060441421770117E-2</c:v>
                </c:pt>
                <c:pt idx="57">
                  <c:v>3.0658342136197239E-2</c:v>
                </c:pt>
                <c:pt idx="58">
                  <c:v>3.0713894410274993E-2</c:v>
                </c:pt>
                <c:pt idx="59">
                  <c:v>3.0770732283434507E-2</c:v>
                </c:pt>
                <c:pt idx="60">
                  <c:v>3.0828519006583371E-2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C-46F6-96F6-8E64B7220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2008"/>
        <c:axId val="511802400"/>
      </c:scatterChart>
      <c:valAx>
        <c:axId val="511802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2400"/>
        <c:crosses val="autoZero"/>
        <c:crossBetween val="midCat"/>
      </c:valAx>
      <c:valAx>
        <c:axId val="51180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VPLASC</a:t>
                </a:r>
                <a:endParaRPr lang="en-US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2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QCP (L/h)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QC!$B$10:$B$69</c:f>
              <c:numCache>
                <c:formatCode>General</c:formatCode>
                <c:ptCount val="60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QC!$G$10:$G$69</c:f>
              <c:numCache>
                <c:formatCode>0.00</c:formatCode>
                <c:ptCount val="60"/>
                <c:pt idx="0">
                  <c:v>49.466843858403671</c:v>
                </c:pt>
                <c:pt idx="1">
                  <c:v>61.232701371812148</c:v>
                </c:pt>
                <c:pt idx="2">
                  <c:v>79.269454745647479</c:v>
                </c:pt>
                <c:pt idx="3">
                  <c:v>89.669891790284495</c:v>
                </c:pt>
                <c:pt idx="4">
                  <c:v>98.271318656917629</c:v>
                </c:pt>
                <c:pt idx="5">
                  <c:v>106.04282917408814</c:v>
                </c:pt>
                <c:pt idx="6">
                  <c:v>113.64540784385582</c:v>
                </c:pt>
                <c:pt idx="7">
                  <c:v>121.70953635280681</c:v>
                </c:pt>
                <c:pt idx="8">
                  <c:v>130.73889715023464</c:v>
                </c:pt>
                <c:pt idx="9">
                  <c:v>141.10539186524957</c:v>
                </c:pt>
                <c:pt idx="10">
                  <c:v>153.00935276013391</c:v>
                </c:pt>
                <c:pt idx="11">
                  <c:v>166.03242262763644</c:v>
                </c:pt>
                <c:pt idx="12">
                  <c:v>178.32088884241367</c:v>
                </c:pt>
                <c:pt idx="13">
                  <c:v>187.97029514318575</c:v>
                </c:pt>
                <c:pt idx="14">
                  <c:v>194.82374003746926</c:v>
                </c:pt>
                <c:pt idx="15">
                  <c:v>199.4801398207976</c:v>
                </c:pt>
                <c:pt idx="16">
                  <c:v>202.48979361606706</c:v>
                </c:pt>
                <c:pt idx="17">
                  <c:v>204.29504115166876</c:v>
                </c:pt>
                <c:pt idx="18">
                  <c:v>205.2537931108109</c:v>
                </c:pt>
                <c:pt idx="19">
                  <c:v>205.64335947358896</c:v>
                </c:pt>
                <c:pt idx="20">
                  <c:v>205.66705104266885</c:v>
                </c:pt>
                <c:pt idx="21">
                  <c:v>205.46731675134265</c:v>
                </c:pt>
                <c:pt idx="22">
                  <c:v>205.27875596791566</c:v>
                </c:pt>
                <c:pt idx="23">
                  <c:v>205.24329508254439</c:v>
                </c:pt>
                <c:pt idx="24">
                  <c:v>205.59997876773525</c:v>
                </c:pt>
                <c:pt idx="25">
                  <c:v>205.97039349050775</c:v>
                </c:pt>
                <c:pt idx="26">
                  <c:v>206.35418686238347</c:v>
                </c:pt>
                <c:pt idx="27">
                  <c:v>206.75082191352308</c:v>
                </c:pt>
                <c:pt idx="28">
                  <c:v>207.15958839353027</c:v>
                </c:pt>
                <c:pt idx="29">
                  <c:v>207.57961294529005</c:v>
                </c:pt>
                <c:pt idx="30">
                  <c:v>208.00986859609719</c:v>
                </c:pt>
                <c:pt idx="31">
                  <c:v>208.44918372324065</c:v>
                </c:pt>
                <c:pt idx="32">
                  <c:v>208.89625056718685</c:v>
                </c:pt>
                <c:pt idx="33">
                  <c:v>209.34963333899415</c:v>
                </c:pt>
                <c:pt idx="34">
                  <c:v>209.8077759586036</c:v>
                </c:pt>
                <c:pt idx="35">
                  <c:v>210.26900945560351</c:v>
                </c:pt>
                <c:pt idx="36">
                  <c:v>210.73155906067953</c:v>
                </c:pt>
                <c:pt idx="37">
                  <c:v>211.1935510132509</c:v>
                </c:pt>
                <c:pt idx="38">
                  <c:v>211.65301910849067</c:v>
                </c:pt>
                <c:pt idx="39">
                  <c:v>212.10791100489331</c:v>
                </c:pt>
                <c:pt idx="40">
                  <c:v>212.55609431176018</c:v>
                </c:pt>
                <c:pt idx="41">
                  <c:v>212.99536247437496</c:v>
                </c:pt>
                <c:pt idx="42">
                  <c:v>213.42344047321978</c:v>
                </c:pt>
                <c:pt idx="43">
                  <c:v>213.83799035230874</c:v>
                </c:pt>
                <c:pt idx="44">
                  <c:v>214.23661659058786</c:v>
                </c:pt>
                <c:pt idx="45">
                  <c:v>214.61687132933579</c:v>
                </c:pt>
                <c:pt idx="46">
                  <c:v>214.9762594675951</c:v>
                </c:pt>
                <c:pt idx="47">
                  <c:v>215.3122436368588</c:v>
                </c:pt>
                <c:pt idx="48">
                  <c:v>215.62224906551606</c:v>
                </c:pt>
                <c:pt idx="49">
                  <c:v>215.90366834291743</c:v>
                </c:pt>
                <c:pt idx="50">
                  <c:v>216.15386609235568</c:v>
                </c:pt>
                <c:pt idx="51">
                  <c:v>216.37018356173934</c:v>
                </c:pt>
                <c:pt idx="52">
                  <c:v>216.54994314030625</c:v>
                </c:pt>
                <c:pt idx="53">
                  <c:v>216.69045280931147</c:v>
                </c:pt>
                <c:pt idx="54">
                  <c:v>216.78901053429846</c:v>
                </c:pt>
                <c:pt idx="55">
                  <c:v>216.84290860624836</c:v>
                </c:pt>
                <c:pt idx="56">
                  <c:v>216.84943793866213</c:v>
                </c:pt>
                <c:pt idx="57">
                  <c:v>216.80589232740476</c:v>
                </c:pt>
                <c:pt idx="58">
                  <c:v>216.70957267997261</c:v>
                </c:pt>
                <c:pt idx="59">
                  <c:v>216.55779122070277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20-4D6F-A316-55E66B36C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3184"/>
        <c:axId val="511803576"/>
      </c:scatterChart>
      <c:valAx>
        <c:axId val="511803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3576"/>
        <c:crosses val="autoZero"/>
        <c:crossBetween val="midCat"/>
      </c:valAx>
      <c:valAx>
        <c:axId val="5118035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QC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QBRNC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flow'!$B$11:$B$71</c:f>
              <c:numCache>
                <c:formatCode>0.000</c:formatCode>
                <c:ptCount val="61"/>
                <c:pt idx="1">
                  <c:v>0.5</c:v>
                </c:pt>
                <c:pt idx="2" formatCode="0">
                  <c:v>1</c:v>
                </c:pt>
                <c:pt idx="3" formatCode="0">
                  <c:v>2</c:v>
                </c:pt>
                <c:pt idx="4" formatCode="0">
                  <c:v>3</c:v>
                </c:pt>
                <c:pt idx="5" formatCode="0">
                  <c:v>4</c:v>
                </c:pt>
                <c:pt idx="6" formatCode="0">
                  <c:v>5</c:v>
                </c:pt>
                <c:pt idx="7" formatCode="0">
                  <c:v>6</c:v>
                </c:pt>
                <c:pt idx="8" formatCode="0">
                  <c:v>7</c:v>
                </c:pt>
                <c:pt idx="9" formatCode="0">
                  <c:v>8</c:v>
                </c:pt>
                <c:pt idx="10" formatCode="0">
                  <c:v>9</c:v>
                </c:pt>
                <c:pt idx="11" formatCode="0">
                  <c:v>10</c:v>
                </c:pt>
                <c:pt idx="12" formatCode="0">
                  <c:v>11</c:v>
                </c:pt>
                <c:pt idx="13" formatCode="0">
                  <c:v>12</c:v>
                </c:pt>
                <c:pt idx="14" formatCode="0">
                  <c:v>13</c:v>
                </c:pt>
                <c:pt idx="15" formatCode="0">
                  <c:v>14</c:v>
                </c:pt>
                <c:pt idx="16" formatCode="0">
                  <c:v>15</c:v>
                </c:pt>
                <c:pt idx="17" formatCode="0">
                  <c:v>16</c:v>
                </c:pt>
                <c:pt idx="18" formatCode="0">
                  <c:v>17</c:v>
                </c:pt>
                <c:pt idx="19" formatCode="0">
                  <c:v>18</c:v>
                </c:pt>
                <c:pt idx="20" formatCode="0">
                  <c:v>19</c:v>
                </c:pt>
                <c:pt idx="21" formatCode="0">
                  <c:v>20</c:v>
                </c:pt>
                <c:pt idx="22" formatCode="0">
                  <c:v>21</c:v>
                </c:pt>
                <c:pt idx="23" formatCode="0">
                  <c:v>22</c:v>
                </c:pt>
                <c:pt idx="24" formatCode="0">
                  <c:v>23</c:v>
                </c:pt>
                <c:pt idx="25" formatCode="0">
                  <c:v>24</c:v>
                </c:pt>
                <c:pt idx="26" formatCode="0">
                  <c:v>25</c:v>
                </c:pt>
                <c:pt idx="27" formatCode="0">
                  <c:v>26</c:v>
                </c:pt>
                <c:pt idx="28" formatCode="0">
                  <c:v>27</c:v>
                </c:pt>
                <c:pt idx="29" formatCode="0">
                  <c:v>28</c:v>
                </c:pt>
                <c:pt idx="30" formatCode="0">
                  <c:v>29</c:v>
                </c:pt>
                <c:pt idx="31" formatCode="0">
                  <c:v>30</c:v>
                </c:pt>
                <c:pt idx="32" formatCode="0">
                  <c:v>31</c:v>
                </c:pt>
                <c:pt idx="33" formatCode="0">
                  <c:v>32</c:v>
                </c:pt>
                <c:pt idx="34" formatCode="0">
                  <c:v>33</c:v>
                </c:pt>
                <c:pt idx="35" formatCode="0">
                  <c:v>34</c:v>
                </c:pt>
                <c:pt idx="36" formatCode="0">
                  <c:v>35</c:v>
                </c:pt>
                <c:pt idx="37" formatCode="0">
                  <c:v>36</c:v>
                </c:pt>
                <c:pt idx="38" formatCode="0">
                  <c:v>37</c:v>
                </c:pt>
                <c:pt idx="39" formatCode="0">
                  <c:v>38</c:v>
                </c:pt>
                <c:pt idx="40" formatCode="0">
                  <c:v>39</c:v>
                </c:pt>
                <c:pt idx="41" formatCode="0">
                  <c:v>40</c:v>
                </c:pt>
                <c:pt idx="42" formatCode="0">
                  <c:v>41</c:v>
                </c:pt>
                <c:pt idx="43" formatCode="0">
                  <c:v>42</c:v>
                </c:pt>
                <c:pt idx="44" formatCode="0">
                  <c:v>43</c:v>
                </c:pt>
                <c:pt idx="45" formatCode="0">
                  <c:v>44</c:v>
                </c:pt>
                <c:pt idx="46" formatCode="0">
                  <c:v>45</c:v>
                </c:pt>
                <c:pt idx="47" formatCode="0">
                  <c:v>46</c:v>
                </c:pt>
                <c:pt idx="48" formatCode="0">
                  <c:v>47</c:v>
                </c:pt>
                <c:pt idx="49" formatCode="0">
                  <c:v>48</c:v>
                </c:pt>
                <c:pt idx="50" formatCode="0">
                  <c:v>49</c:v>
                </c:pt>
                <c:pt idx="51" formatCode="0">
                  <c:v>50</c:v>
                </c:pt>
                <c:pt idx="52" formatCode="0">
                  <c:v>51</c:v>
                </c:pt>
                <c:pt idx="53" formatCode="0">
                  <c:v>52</c:v>
                </c:pt>
                <c:pt idx="54" formatCode="0">
                  <c:v>53</c:v>
                </c:pt>
                <c:pt idx="55" formatCode="0">
                  <c:v>54</c:v>
                </c:pt>
                <c:pt idx="56" formatCode="0">
                  <c:v>55</c:v>
                </c:pt>
                <c:pt idx="57" formatCode="0">
                  <c:v>56</c:v>
                </c:pt>
                <c:pt idx="58" formatCode="0">
                  <c:v>57</c:v>
                </c:pt>
                <c:pt idx="59" formatCode="0">
                  <c:v>58</c:v>
                </c:pt>
                <c:pt idx="60" formatCode="0">
                  <c:v>59</c:v>
                </c:pt>
              </c:numCache>
            </c:numRef>
          </c:xVal>
          <c:yVal>
            <c:numRef>
              <c:f>'Brain flow'!$C$11:$C$71</c:f>
              <c:numCache>
                <c:formatCode>General</c:formatCode>
                <c:ptCount val="61"/>
                <c:pt idx="1">
                  <c:v>0.38908349058104885</c:v>
                </c:pt>
                <c:pt idx="2">
                  <c:v>0.42232813487255788</c:v>
                </c:pt>
                <c:pt idx="3">
                  <c:v>0.40347453874003048</c:v>
                </c:pt>
                <c:pt idx="4">
                  <c:v>0.37026539934174552</c:v>
                </c:pt>
                <c:pt idx="5">
                  <c:v>0.33926664289660124</c:v>
                </c:pt>
                <c:pt idx="6">
                  <c:v>0.31225623350017867</c:v>
                </c:pt>
                <c:pt idx="7">
                  <c:v>0.28893968690553667</c:v>
                </c:pt>
                <c:pt idx="8">
                  <c:v>0.2687313673988338</c:v>
                </c:pt>
                <c:pt idx="9">
                  <c:v>0.25108750273018487</c:v>
                </c:pt>
                <c:pt idx="10">
                  <c:v>0.23556043034208862</c:v>
                </c:pt>
                <c:pt idx="11">
                  <c:v>0.22179257737444322</c:v>
                </c:pt>
                <c:pt idx="12">
                  <c:v>0.20949956621195548</c:v>
                </c:pt>
                <c:pt idx="13">
                  <c:v>0.19845414495841604</c:v>
                </c:pt>
                <c:pt idx="14">
                  <c:v>0.18847322640060493</c:v>
                </c:pt>
                <c:pt idx="15">
                  <c:v>0.17940794001927543</c:v>
                </c:pt>
                <c:pt idx="16">
                  <c:v>0.17113610662297168</c:v>
                </c:pt>
                <c:pt idx="17">
                  <c:v>0.16355655013698442</c:v>
                </c:pt>
                <c:pt idx="18">
                  <c:v>0.1565847758043179</c:v>
                </c:pt>
                <c:pt idx="19">
                  <c:v>0.15014966088149906</c:v>
                </c:pt>
                <c:pt idx="20">
                  <c:v>0.14419089807752153</c:v>
                </c:pt>
                <c:pt idx="21">
                  <c:v>0.13865700235742046</c:v>
                </c:pt>
                <c:pt idx="22">
                  <c:v>0.13350374284126096</c:v>
                </c:pt>
                <c:pt idx="23">
                  <c:v>0.12869289829838287</c:v>
                </c:pt>
                <c:pt idx="24">
                  <c:v>0.12419126117723246</c:v>
                </c:pt>
                <c:pt idx="25">
                  <c:v>0.11996983420261943</c:v>
                </c:pt>
                <c:pt idx="26">
                  <c:v>0.11600317744683623</c:v>
                </c:pt>
                <c:pt idx="27">
                  <c:v>0.11600317744683623</c:v>
                </c:pt>
                <c:pt idx="28">
                  <c:v>0.11600317744683623</c:v>
                </c:pt>
                <c:pt idx="29">
                  <c:v>0.11600317744683623</c:v>
                </c:pt>
                <c:pt idx="30">
                  <c:v>0.11600317744683623</c:v>
                </c:pt>
                <c:pt idx="31">
                  <c:v>0.11600317744683623</c:v>
                </c:pt>
                <c:pt idx="32">
                  <c:v>0.11600317744683623</c:v>
                </c:pt>
                <c:pt idx="33">
                  <c:v>0.11600317744683623</c:v>
                </c:pt>
                <c:pt idx="34">
                  <c:v>0.11600317744683623</c:v>
                </c:pt>
                <c:pt idx="35">
                  <c:v>0.11600317744683623</c:v>
                </c:pt>
                <c:pt idx="36">
                  <c:v>0.11600317744683623</c:v>
                </c:pt>
                <c:pt idx="37">
                  <c:v>0.11600317744683623</c:v>
                </c:pt>
                <c:pt idx="38">
                  <c:v>0.11600317744683623</c:v>
                </c:pt>
                <c:pt idx="39">
                  <c:v>0.11600317744683623</c:v>
                </c:pt>
                <c:pt idx="40">
                  <c:v>0.11600317744683623</c:v>
                </c:pt>
                <c:pt idx="41">
                  <c:v>0.11600317744683623</c:v>
                </c:pt>
                <c:pt idx="42">
                  <c:v>0.11600317744683623</c:v>
                </c:pt>
                <c:pt idx="43">
                  <c:v>0.11600317744683623</c:v>
                </c:pt>
                <c:pt idx="44">
                  <c:v>0.11600317744683623</c:v>
                </c:pt>
                <c:pt idx="45">
                  <c:v>0.11600317744683623</c:v>
                </c:pt>
                <c:pt idx="46">
                  <c:v>0.11600317744683623</c:v>
                </c:pt>
                <c:pt idx="47">
                  <c:v>0.11600317744683623</c:v>
                </c:pt>
                <c:pt idx="48">
                  <c:v>0.11600317744683623</c:v>
                </c:pt>
                <c:pt idx="49">
                  <c:v>0.11600317744683623</c:v>
                </c:pt>
                <c:pt idx="50">
                  <c:v>0.11600317744683623</c:v>
                </c:pt>
                <c:pt idx="51">
                  <c:v>0.11600317744683623</c:v>
                </c:pt>
                <c:pt idx="52">
                  <c:v>0.11600317744683623</c:v>
                </c:pt>
                <c:pt idx="53">
                  <c:v>0.11600317744683623</c:v>
                </c:pt>
                <c:pt idx="54">
                  <c:v>0.11600317744683623</c:v>
                </c:pt>
                <c:pt idx="55">
                  <c:v>0.11600317744683623</c:v>
                </c:pt>
                <c:pt idx="56">
                  <c:v>0.11600317744683623</c:v>
                </c:pt>
                <c:pt idx="57">
                  <c:v>0.11600317744683623</c:v>
                </c:pt>
                <c:pt idx="58">
                  <c:v>0.11600317744683623</c:v>
                </c:pt>
                <c:pt idx="59">
                  <c:v>0.11600317744683623</c:v>
                </c:pt>
                <c:pt idx="60">
                  <c:v>0.11600317744683623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10-407E-9D7B-698396826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5536"/>
        <c:axId val="511805928"/>
      </c:scatterChart>
      <c:valAx>
        <c:axId val="511805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5928"/>
        <c:crosses val="autoZero"/>
        <c:crossBetween val="midCat"/>
      </c:valAx>
      <c:valAx>
        <c:axId val="511805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QBRN 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5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QBRN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flow'!$B$11:$B$72</c:f>
              <c:numCache>
                <c:formatCode>0.000</c:formatCode>
                <c:ptCount val="62"/>
                <c:pt idx="1">
                  <c:v>0.5</c:v>
                </c:pt>
                <c:pt idx="2" formatCode="0">
                  <c:v>1</c:v>
                </c:pt>
                <c:pt idx="3" formatCode="0">
                  <c:v>2</c:v>
                </c:pt>
                <c:pt idx="4" formatCode="0">
                  <c:v>3</c:v>
                </c:pt>
                <c:pt idx="5" formatCode="0">
                  <c:v>4</c:v>
                </c:pt>
                <c:pt idx="6" formatCode="0">
                  <c:v>5</c:v>
                </c:pt>
                <c:pt idx="7" formatCode="0">
                  <c:v>6</c:v>
                </c:pt>
                <c:pt idx="8" formatCode="0">
                  <c:v>7</c:v>
                </c:pt>
                <c:pt idx="9" formatCode="0">
                  <c:v>8</c:v>
                </c:pt>
                <c:pt idx="10" formatCode="0">
                  <c:v>9</c:v>
                </c:pt>
                <c:pt idx="11" formatCode="0">
                  <c:v>10</c:v>
                </c:pt>
                <c:pt idx="12" formatCode="0">
                  <c:v>11</c:v>
                </c:pt>
                <c:pt idx="13" formatCode="0">
                  <c:v>12</c:v>
                </c:pt>
                <c:pt idx="14" formatCode="0">
                  <c:v>13</c:v>
                </c:pt>
                <c:pt idx="15" formatCode="0">
                  <c:v>14</c:v>
                </c:pt>
                <c:pt idx="16" formatCode="0">
                  <c:v>15</c:v>
                </c:pt>
                <c:pt idx="17" formatCode="0">
                  <c:v>16</c:v>
                </c:pt>
                <c:pt idx="18" formatCode="0">
                  <c:v>17</c:v>
                </c:pt>
                <c:pt idx="19" formatCode="0">
                  <c:v>18</c:v>
                </c:pt>
                <c:pt idx="20" formatCode="0">
                  <c:v>19</c:v>
                </c:pt>
                <c:pt idx="21" formatCode="0">
                  <c:v>20</c:v>
                </c:pt>
                <c:pt idx="22" formatCode="0">
                  <c:v>21</c:v>
                </c:pt>
                <c:pt idx="23" formatCode="0">
                  <c:v>22</c:v>
                </c:pt>
                <c:pt idx="24" formatCode="0">
                  <c:v>23</c:v>
                </c:pt>
                <c:pt idx="25" formatCode="0">
                  <c:v>24</c:v>
                </c:pt>
                <c:pt idx="26" formatCode="0">
                  <c:v>25</c:v>
                </c:pt>
                <c:pt idx="27" formatCode="0">
                  <c:v>26</c:v>
                </c:pt>
                <c:pt idx="28" formatCode="0">
                  <c:v>27</c:v>
                </c:pt>
                <c:pt idx="29" formatCode="0">
                  <c:v>28</c:v>
                </c:pt>
                <c:pt idx="30" formatCode="0">
                  <c:v>29</c:v>
                </c:pt>
                <c:pt idx="31" formatCode="0">
                  <c:v>30</c:v>
                </c:pt>
                <c:pt idx="32" formatCode="0">
                  <c:v>31</c:v>
                </c:pt>
                <c:pt idx="33" formatCode="0">
                  <c:v>32</c:v>
                </c:pt>
                <c:pt idx="34" formatCode="0">
                  <c:v>33</c:v>
                </c:pt>
                <c:pt idx="35" formatCode="0">
                  <c:v>34</c:v>
                </c:pt>
                <c:pt idx="36" formatCode="0">
                  <c:v>35</c:v>
                </c:pt>
                <c:pt idx="37" formatCode="0">
                  <c:v>36</c:v>
                </c:pt>
                <c:pt idx="38" formatCode="0">
                  <c:v>37</c:v>
                </c:pt>
                <c:pt idx="39" formatCode="0">
                  <c:v>38</c:v>
                </c:pt>
                <c:pt idx="40" formatCode="0">
                  <c:v>39</c:v>
                </c:pt>
                <c:pt idx="41" formatCode="0">
                  <c:v>40</c:v>
                </c:pt>
                <c:pt idx="42" formatCode="0">
                  <c:v>41</c:v>
                </c:pt>
                <c:pt idx="43" formatCode="0">
                  <c:v>42</c:v>
                </c:pt>
                <c:pt idx="44" formatCode="0">
                  <c:v>43</c:v>
                </c:pt>
                <c:pt idx="45" formatCode="0">
                  <c:v>44</c:v>
                </c:pt>
                <c:pt idx="46" formatCode="0">
                  <c:v>45</c:v>
                </c:pt>
                <c:pt idx="47" formatCode="0">
                  <c:v>46</c:v>
                </c:pt>
                <c:pt idx="48" formatCode="0">
                  <c:v>47</c:v>
                </c:pt>
                <c:pt idx="49" formatCode="0">
                  <c:v>48</c:v>
                </c:pt>
                <c:pt idx="50" formatCode="0">
                  <c:v>49</c:v>
                </c:pt>
                <c:pt idx="51" formatCode="0">
                  <c:v>50</c:v>
                </c:pt>
                <c:pt idx="52" formatCode="0">
                  <c:v>51</c:v>
                </c:pt>
                <c:pt idx="53" formatCode="0">
                  <c:v>52</c:v>
                </c:pt>
                <c:pt idx="54" formatCode="0">
                  <c:v>53</c:v>
                </c:pt>
                <c:pt idx="55" formatCode="0">
                  <c:v>54</c:v>
                </c:pt>
                <c:pt idx="56" formatCode="0">
                  <c:v>55</c:v>
                </c:pt>
                <c:pt idx="57" formatCode="0">
                  <c:v>56</c:v>
                </c:pt>
                <c:pt idx="58" formatCode="0">
                  <c:v>57</c:v>
                </c:pt>
                <c:pt idx="59" formatCode="0">
                  <c:v>58</c:v>
                </c:pt>
                <c:pt idx="60" formatCode="0">
                  <c:v>59</c:v>
                </c:pt>
                <c:pt idx="61" formatCode="0">
                  <c:v>60</c:v>
                </c:pt>
              </c:numCache>
            </c:numRef>
          </c:xVal>
          <c:yVal>
            <c:numRef>
              <c:f>'Brain flow'!$E$11:$E$72</c:f>
              <c:numCache>
                <c:formatCode>General</c:formatCode>
                <c:ptCount val="62"/>
                <c:pt idx="1">
                  <c:v>19.246808635875222</c:v>
                </c:pt>
                <c:pt idx="2">
                  <c:v>25.86039516477074</c:v>
                </c:pt>
                <c:pt idx="3">
                  <c:v>31.983333594226284</c:v>
                </c:pt>
                <c:pt idx="4">
                  <c:v>33.201790049897205</c:v>
                </c:pt>
                <c:pt idx="5">
                  <c:v>33.340180441157301</c:v>
                </c:pt>
                <c:pt idx="6">
                  <c:v>33.112534539122883</c:v>
                </c:pt>
                <c:pt idx="7">
                  <c:v>32.836668734348052</c:v>
                </c:pt>
                <c:pt idx="8">
                  <c:v>32.707170384081685</c:v>
                </c:pt>
                <c:pt idx="9">
                  <c:v>32.82690354373679</c:v>
                </c:pt>
                <c:pt idx="10">
                  <c:v>33.238847273745051</c:v>
                </c:pt>
                <c:pt idx="11">
                  <c:v>33.936339227220358</c:v>
                </c:pt>
                <c:pt idx="12">
                  <c:v>34.783721067592133</c:v>
                </c:pt>
                <c:pt idx="13">
                  <c:v>35.388520054561809</c:v>
                </c:pt>
                <c:pt idx="14">
                  <c:v>35.427368458203659</c:v>
                </c:pt>
                <c:pt idx="15">
                  <c:v>34.952926241703722</c:v>
                </c:pt>
                <c:pt idx="16">
                  <c:v>34.138254760577134</c:v>
                </c:pt>
                <c:pt idx="17">
                  <c:v>33.118532285572989</c:v>
                </c:pt>
                <c:pt idx="18">
                  <c:v>31.989493358416201</c:v>
                </c:pt>
                <c:pt idx="19">
                  <c:v>30.818787526482858</c:v>
                </c:pt>
                <c:pt idx="20">
                  <c:v>29.651900750464115</c:v>
                </c:pt>
                <c:pt idx="21">
                  <c:v>28.51717682372778</c:v>
                </c:pt>
                <c:pt idx="22">
                  <c:v>27.430655845688062</c:v>
                </c:pt>
                <c:pt idx="23">
                  <c:v>26.417918080537909</c:v>
                </c:pt>
                <c:pt idx="24">
                  <c:v>25.305679360492999</c:v>
                </c:pt>
                <c:pt idx="25">
                  <c:v>24.487988308023649</c:v>
                </c:pt>
                <c:pt idx="26">
                  <c:v>23.720982271811234</c:v>
                </c:pt>
                <c:pt idx="27">
                  <c:v>23.765182584370834</c:v>
                </c:pt>
                <c:pt idx="28">
                  <c:v>23.810861833980528</c:v>
                </c:pt>
                <c:pt idx="29">
                  <c:v>23.857938223267553</c:v>
                </c:pt>
                <c:pt idx="30">
                  <c:v>23.906311170355586</c:v>
                </c:pt>
                <c:pt idx="31">
                  <c:v>23.955862401929149</c:v>
                </c:pt>
                <c:pt idx="32">
                  <c:v>24.006456985772513</c:v>
                </c:pt>
                <c:pt idx="33">
                  <c:v>24.057944311207233</c:v>
                </c:pt>
                <c:pt idx="34">
                  <c:v>24.110159022798193</c:v>
                </c:pt>
                <c:pt idx="35">
                  <c:v>24.162921911549091</c:v>
                </c:pt>
                <c:pt idx="36">
                  <c:v>24.21604076722582</c:v>
                </c:pt>
                <c:pt idx="37">
                  <c:v>24.26931119505722</c:v>
                </c:pt>
                <c:pt idx="38">
                  <c:v>24.322517399749788</c:v>
                </c:pt>
                <c:pt idx="39">
                  <c:v>24.375432939488029</c:v>
                </c:pt>
                <c:pt idx="40">
                  <c:v>24.427821452357744</c:v>
                </c:pt>
                <c:pt idx="41">
                  <c:v>24.479437357423222</c:v>
                </c:pt>
                <c:pt idx="42">
                  <c:v>24.530026532505026</c:v>
                </c:pt>
                <c:pt idx="43">
                  <c:v>24.579326970541128</c:v>
                </c:pt>
                <c:pt idx="44">
                  <c:v>24.627069416268437</c:v>
                </c:pt>
                <c:pt idx="45">
                  <c:v>24.672977984830421</c:v>
                </c:pt>
                <c:pt idx="46">
                  <c:v>24.716770763800994</c:v>
                </c:pt>
                <c:pt idx="47">
                  <c:v>24.758160400009761</c:v>
                </c:pt>
                <c:pt idx="48">
                  <c:v>24.7968546724615</c:v>
                </c:pt>
                <c:pt idx="49">
                  <c:v>24.832557052559526</c:v>
                </c:pt>
                <c:pt idx="50">
                  <c:v>24.8649672527687</c:v>
                </c:pt>
                <c:pt idx="51">
                  <c:v>24.89378176478807</c:v>
                </c:pt>
                <c:pt idx="52">
                  <c:v>24.91869438824515</c:v>
                </c:pt>
                <c:pt idx="53">
                  <c:v>24.939396750871687</c:v>
                </c:pt>
                <c:pt idx="54">
                  <c:v>24.955578821076113</c:v>
                </c:pt>
                <c:pt idx="55">
                  <c:v>24.966929413787735</c:v>
                </c:pt>
                <c:pt idx="56">
                  <c:v>24.973136690413963</c:v>
                </c:pt>
                <c:pt idx="57">
                  <c:v>24.97388865372195</c:v>
                </c:pt>
                <c:pt idx="58">
                  <c:v>24.968873638431905</c:v>
                </c:pt>
                <c:pt idx="59">
                  <c:v>24.957780798288983</c:v>
                </c:pt>
                <c:pt idx="60">
                  <c:v>24.940300590364348</c:v>
                </c:pt>
                <c:pt idx="61">
                  <c:v>24.916125257324701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1-4170-A326-1828B5E18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4360"/>
        <c:axId val="511804752"/>
      </c:scatterChart>
      <c:valAx>
        <c:axId val="511804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4752"/>
        <c:crosses val="autoZero"/>
        <c:crossBetween val="midCat"/>
      </c:valAx>
      <c:valAx>
        <c:axId val="511804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QBRN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flow'!#REF!</c:f>
            </c:numRef>
          </c:xVal>
          <c:yVal>
            <c:numRef>
              <c:f>'Brain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FC-4A7A-9A9B-D6B31440A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538776"/>
        <c:axId val="554539760"/>
      </c:scatterChart>
      <c:valAx>
        <c:axId val="554538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39760"/>
        <c:crosses val="autoZero"/>
        <c:crossBetween val="midCat"/>
      </c:valAx>
      <c:valAx>
        <c:axId val="55453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38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QFAT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flow'!$B$11:$B$70</c:f>
              <c:numCache>
                <c:formatCode>0</c:formatCode>
                <c:ptCount val="60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'Fat flow'!$F$11:$F$70</c:f>
              <c:numCache>
                <c:formatCode>0.00</c:formatCode>
                <c:ptCount val="60"/>
                <c:pt idx="0">
                  <c:v>4.2751785638253201</c:v>
                </c:pt>
                <c:pt idx="1">
                  <c:v>5.3184206997278682</c:v>
                </c:pt>
                <c:pt idx="2">
                  <c:v>6.5660262365193516</c:v>
                </c:pt>
                <c:pt idx="3">
                  <c:v>7.053801110655237</c:v>
                </c:pt>
                <c:pt idx="4">
                  <c:v>7.1976267391527493</c:v>
                </c:pt>
                <c:pt idx="5">
                  <c:v>7.3146095502048771</c:v>
                </c:pt>
                <c:pt idx="6">
                  <c:v>7.5562930394937329</c:v>
                </c:pt>
                <c:pt idx="7">
                  <c:v>7.9852737183943594</c:v>
                </c:pt>
                <c:pt idx="8">
                  <c:v>8.6296773236944553</c:v>
                </c:pt>
                <c:pt idx="9">
                  <c:v>9.4645723934300197</c:v>
                </c:pt>
                <c:pt idx="10">
                  <c:v>10.384313262942715</c:v>
                </c:pt>
                <c:pt idx="11">
                  <c:v>11.273615558828251</c:v>
                </c:pt>
                <c:pt idx="12">
                  <c:v>12.185062300858387</c:v>
                </c:pt>
                <c:pt idx="13">
                  <c:v>13.179688232763361</c:v>
                </c:pt>
                <c:pt idx="14">
                  <c:v>14.132164132235694</c:v>
                </c:pt>
                <c:pt idx="15">
                  <c:v>14.915351475191303</c:v>
                </c:pt>
                <c:pt idx="16">
                  <c:v>15.497150406756743</c:v>
                </c:pt>
                <c:pt idx="17">
                  <c:v>15.905683507473181</c:v>
                </c:pt>
                <c:pt idx="18">
                  <c:v>16.18756262214978</c:v>
                </c:pt>
                <c:pt idx="19">
                  <c:v>16.386590100324192</c:v>
                </c:pt>
                <c:pt idx="20">
                  <c:v>16.536748009359464</c:v>
                </c:pt>
                <c:pt idx="21">
                  <c:v>16.66189964934463</c:v>
                </c:pt>
                <c:pt idx="22">
                  <c:v>16.801816062215298</c:v>
                </c:pt>
                <c:pt idx="23">
                  <c:v>16.979744557821078</c:v>
                </c:pt>
                <c:pt idx="24">
                  <c:v>17.236027088435215</c:v>
                </c:pt>
                <c:pt idx="25">
                  <c:v>17.503885484840328</c:v>
                </c:pt>
                <c:pt idx="26">
                  <c:v>17.66770826523468</c:v>
                </c:pt>
                <c:pt idx="27">
                  <c:v>17.827774210096702</c:v>
                </c:pt>
                <c:pt idx="28">
                  <c:v>17.984138862071813</c:v>
                </c:pt>
                <c:pt idx="29">
                  <c:v>18.136835573666534</c:v>
                </c:pt>
                <c:pt idx="30">
                  <c:v>18.285876121972688</c:v>
                </c:pt>
                <c:pt idx="31">
                  <c:v>18.431251363426146</c:v>
                </c:pt>
                <c:pt idx="32">
                  <c:v>18.572931918253655</c:v>
                </c:pt>
                <c:pt idx="33">
                  <c:v>18.710868878975383</c:v>
                </c:pt>
                <c:pt idx="34">
                  <c:v>18.84499453903863</c:v>
                </c:pt>
                <c:pt idx="35">
                  <c:v>18.975223138486875</c:v>
                </c:pt>
                <c:pt idx="36">
                  <c:v>19.101451624119083</c:v>
                </c:pt>
                <c:pt idx="37">
                  <c:v>19.22356042203624</c:v>
                </c:pt>
                <c:pt idx="38">
                  <c:v>19.341414220857207</c:v>
                </c:pt>
                <c:pt idx="39">
                  <c:v>19.454862764230164</c:v>
                </c:pt>
                <c:pt idx="40">
                  <c:v>19.563741651574986</c:v>
                </c:pt>
                <c:pt idx="41">
                  <c:v>19.66787314627086</c:v>
                </c:pt>
                <c:pt idx="42">
                  <c:v>19.76706699075319</c:v>
                </c:pt>
                <c:pt idx="43">
                  <c:v>19.861121228207328</c:v>
                </c:pt>
                <c:pt idx="44">
                  <c:v>19.949823030746366</c:v>
                </c:pt>
                <c:pt idx="45">
                  <c:v>20.032949534135806</c:v>
                </c:pt>
                <c:pt idx="46">
                  <c:v>20.110268679283131</c:v>
                </c:pt>
                <c:pt idx="47">
                  <c:v>20.181540060844839</c:v>
                </c:pt>
                <c:pt idx="48">
                  <c:v>20.246515783418904</c:v>
                </c:pt>
                <c:pt idx="49">
                  <c:v>20.304941325888535</c:v>
                </c:pt>
                <c:pt idx="50">
                  <c:v>20.35655641456427</c:v>
                </c:pt>
                <c:pt idx="51">
                  <c:v>20.401095905834751</c:v>
                </c:pt>
                <c:pt idx="52">
                  <c:v>20.438290679088034</c:v>
                </c:pt>
                <c:pt idx="53">
                  <c:v>20.467868540697363</c:v>
                </c:pt>
                <c:pt idx="54">
                  <c:v>20.489555139888534</c:v>
                </c:pt>
                <c:pt idx="55">
                  <c:v>20.503074897310981</c:v>
                </c:pt>
                <c:pt idx="56">
                  <c:v>20.508151947130752</c:v>
                </c:pt>
                <c:pt idx="57">
                  <c:v>20.504511093443838</c:v>
                </c:pt>
                <c:pt idx="58">
                  <c:v>20.491878781778674</c:v>
                </c:pt>
                <c:pt idx="59">
                  <c:v>20.469984086414119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6320"/>
        <c:axId val="511806712"/>
      </c:scatterChart>
      <c:valAx>
        <c:axId val="5118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6712"/>
        <c:crosses val="autoZero"/>
        <c:crossBetween val="midCat"/>
      </c:valAx>
      <c:valAx>
        <c:axId val="511806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QFAT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QFATC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flow'!$B$11:$B$70</c:f>
              <c:numCache>
                <c:formatCode>0</c:formatCode>
                <c:ptCount val="60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'Fat flow'!$D$11:$D$70</c:f>
              <c:numCache>
                <c:formatCode>0.000</c:formatCode>
                <c:ptCount val="60"/>
                <c:pt idx="0">
                  <c:v>8.6425133086371994E-2</c:v>
                </c:pt>
                <c:pt idx="1">
                  <c:v>8.6855888774754419E-2</c:v>
                </c:pt>
                <c:pt idx="2">
                  <c:v>8.2831732066125735E-2</c:v>
                </c:pt>
                <c:pt idx="3">
                  <c:v>7.8664097500555905E-2</c:v>
                </c:pt>
                <c:pt idx="4">
                  <c:v>7.3242395009279607E-2</c:v>
                </c:pt>
                <c:pt idx="5">
                  <c:v>6.8977880043134709E-2</c:v>
                </c:pt>
                <c:pt idx="6">
                  <c:v>6.649008686629708E-2</c:v>
                </c:pt>
                <c:pt idx="7">
                  <c:v>6.5609269065383363E-2</c:v>
                </c:pt>
                <c:pt idx="8">
                  <c:v>6.6006961293071972E-2</c:v>
                </c:pt>
                <c:pt idx="9">
                  <c:v>6.7074491401918471E-2</c:v>
                </c:pt>
                <c:pt idx="10">
                  <c:v>6.7867179852866583E-2</c:v>
                </c:pt>
                <c:pt idx="11">
                  <c:v>6.7900084696780993E-2</c:v>
                </c:pt>
                <c:pt idx="12">
                  <c:v>6.8332220526483647E-2</c:v>
                </c:pt>
                <c:pt idx="13">
                  <c:v>7.0115803258827561E-2</c:v>
                </c:pt>
                <c:pt idx="14">
                  <c:v>7.2538203657920436E-2</c:v>
                </c:pt>
                <c:pt idx="15">
                  <c:v>7.4771109989147114E-2</c:v>
                </c:pt>
                <c:pt idx="16">
                  <c:v>7.6532995219207353E-2</c:v>
                </c:pt>
                <c:pt idx="17">
                  <c:v>7.7856434585041115E-2</c:v>
                </c:pt>
                <c:pt idx="18">
                  <c:v>7.8866082700895845E-2</c:v>
                </c:pt>
                <c:pt idx="19">
                  <c:v>7.9684508861705999E-2</c:v>
                </c:pt>
                <c:pt idx="20">
                  <c:v>8.0405431621269549E-2</c:v>
                </c:pt>
                <c:pt idx="21">
                  <c:v>8.1092700838201554E-2</c:v>
                </c:pt>
                <c:pt idx="22">
                  <c:v>8.1848781589661246E-2</c:v>
                </c:pt>
                <c:pt idx="23">
                  <c:v>8.27298380246341E-2</c:v>
                </c:pt>
                <c:pt idx="24">
                  <c:v>8.3832825235388889E-2</c:v>
                </c:pt>
                <c:pt idx="25">
                  <c:v>8.4982531655196369E-2</c:v>
                </c:pt>
                <c:pt idx="26">
                  <c:v>8.561836584889447E-2</c:v>
                </c:pt>
                <c:pt idx="27">
                  <c:v>8.6228311186852064E-2</c:v>
                </c:pt>
                <c:pt idx="28">
                  <c:v>8.6812968694976761E-2</c:v>
                </c:pt>
                <c:pt idx="29">
                  <c:v>8.7372913535813862E-2</c:v>
                </c:pt>
                <c:pt idx="30">
                  <c:v>8.7908695127726158E-2</c:v>
                </c:pt>
                <c:pt idx="31">
                  <c:v>8.8420837319744261E-2</c:v>
                </c:pt>
                <c:pt idx="32">
                  <c:v>8.8909838581713002E-2</c:v>
                </c:pt>
                <c:pt idx="33">
                  <c:v>8.9376172198388254E-2</c:v>
                </c:pt>
                <c:pt idx="34">
                  <c:v>8.9820286464296087E-2</c:v>
                </c:pt>
                <c:pt idx="35">
                  <c:v>9.0242604878458463E-2</c:v>
                </c:pt>
                <c:pt idx="36">
                  <c:v>9.0643526338733516E-2</c:v>
                </c:pt>
                <c:pt idx="37">
                  <c:v>9.1023425335701166E-2</c:v>
                </c:pt>
                <c:pt idx="38">
                  <c:v>9.1382652146072343E-2</c:v>
                </c:pt>
                <c:pt idx="39">
                  <c:v>9.1721533025617988E-2</c:v>
                </c:pt>
                <c:pt idx="40">
                  <c:v>9.2040370401614849E-2</c:v>
                </c:pt>
                <c:pt idx="41">
                  <c:v>9.2339443064808804E-2</c:v>
                </c:pt>
                <c:pt idx="42">
                  <c:v>9.2619006360894776E-2</c:v>
                </c:pt>
                <c:pt idx="43">
                  <c:v>9.287929238151342E-2</c:v>
                </c:pt>
                <c:pt idx="44">
                  <c:v>9.3120510154765149E-2</c:v>
                </c:pt>
                <c:pt idx="45">
                  <c:v>9.3342845835240357E-2</c:v>
                </c:pt>
                <c:pt idx="46">
                  <c:v>9.3546462893566606E-2</c:v>
                </c:pt>
                <c:pt idx="47">
                  <c:v>9.373150230547321E-2</c:v>
                </c:pt>
                <c:pt idx="48">
                  <c:v>9.3898082740371897E-2</c:v>
                </c:pt>
                <c:pt idx="49">
                  <c:v>9.4046300749454706E-2</c:v>
                </c:pt>
                <c:pt idx="50">
                  <c:v>9.4176230953308793E-2</c:v>
                </c:pt>
                <c:pt idx="51">
                  <c:v>9.4287926229047525E-2</c:v>
                </c:pt>
                <c:pt idx="52">
                  <c:v>9.4381417896959363E-2</c:v>
                </c:pt>
                <c:pt idx="53">
                  <c:v>9.4456715906672525E-2</c:v>
                </c:pt>
                <c:pt idx="54">
                  <c:v>9.4513809022837236E-2</c:v>
                </c:pt>
                <c:pt idx="55">
                  <c:v>9.455266501032436E-2</c:v>
                </c:pt>
                <c:pt idx="56">
                  <c:v>9.4573230818941173E-2</c:v>
                </c:pt>
                <c:pt idx="57">
                  <c:v>9.457543276766385E-2</c:v>
                </c:pt>
                <c:pt idx="58">
                  <c:v>9.455917672838661E-2</c:v>
                </c:pt>
                <c:pt idx="59">
                  <c:v>9.4524348309187975E-2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0D-4F1D-A835-3D0F05BE1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7496"/>
        <c:axId val="511807888"/>
      </c:scatterChart>
      <c:valAx>
        <c:axId val="511807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7888"/>
        <c:crosses val="autoZero"/>
        <c:crossBetween val="midCat"/>
      </c:valAx>
      <c:valAx>
        <c:axId val="511807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QFATC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7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QGUT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flow '!$B$9:$B$68</c:f>
              <c:numCache>
                <c:formatCode>0</c:formatCode>
                <c:ptCount val="60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'GUT flow '!$F$9:$F$68</c:f>
              <c:numCache>
                <c:formatCode>0.000</c:formatCode>
                <c:ptCount val="60"/>
                <c:pt idx="0">
                  <c:v>8.3262694941062545</c:v>
                </c:pt>
                <c:pt idx="1">
                  <c:v>10.275988020633349</c:v>
                </c:pt>
                <c:pt idx="2">
                  <c:v>13.674331981042204</c:v>
                </c:pt>
                <c:pt idx="3">
                  <c:v>15.903609498117078</c:v>
                </c:pt>
                <c:pt idx="4">
                  <c:v>18.049534512736376</c:v>
                </c:pt>
                <c:pt idx="5">
                  <c:v>20.003505495146051</c:v>
                </c:pt>
                <c:pt idx="6">
                  <c:v>21.766837719166446</c:v>
                </c:pt>
                <c:pt idx="7">
                  <c:v>23.436214004831971</c:v>
                </c:pt>
                <c:pt idx="8">
                  <c:v>25.114352240731669</c:v>
                </c:pt>
                <c:pt idx="9">
                  <c:v>26.930307921382955</c:v>
                </c:pt>
                <c:pt idx="10">
                  <c:v>29.060977115128217</c:v>
                </c:pt>
                <c:pt idx="11">
                  <c:v>31.528079649388904</c:v>
                </c:pt>
                <c:pt idx="12">
                  <c:v>33.771821359868973</c:v>
                </c:pt>
                <c:pt idx="13">
                  <c:v>35.208918983426216</c:v>
                </c:pt>
                <c:pt idx="14">
                  <c:v>35.943108609260207</c:v>
                </c:pt>
                <c:pt idx="15">
                  <c:v>36.28351420103499</c:v>
                </c:pt>
                <c:pt idx="16">
                  <c:v>36.415519182167593</c:v>
                </c:pt>
                <c:pt idx="17">
                  <c:v>36.425346675324761</c:v>
                </c:pt>
                <c:pt idx="18">
                  <c:v>36.354982951012417</c:v>
                </c:pt>
                <c:pt idx="19">
                  <c:v>36.22800773079846</c:v>
                </c:pt>
                <c:pt idx="20">
                  <c:v>36.059533185483701</c:v>
                </c:pt>
                <c:pt idx="21">
                  <c:v>35.860084843157331</c:v>
                </c:pt>
                <c:pt idx="22">
                  <c:v>35.646449311702767</c:v>
                </c:pt>
                <c:pt idx="23">
                  <c:v>35.429728848426507</c:v>
                </c:pt>
                <c:pt idx="24">
                  <c:v>35.227240870643598</c:v>
                </c:pt>
                <c:pt idx="25">
                  <c:v>35.01496678413681</c:v>
                </c:pt>
                <c:pt idx="26">
                  <c:v>34.927431858634641</c:v>
                </c:pt>
                <c:pt idx="27">
                  <c:v>34.847725294478323</c:v>
                </c:pt>
                <c:pt idx="28">
                  <c:v>34.775591391326287</c:v>
                </c:pt>
                <c:pt idx="29">
                  <c:v>34.710756419032606</c:v>
                </c:pt>
                <c:pt idx="30">
                  <c:v>34.652930454539188</c:v>
                </c:pt>
                <c:pt idx="31">
                  <c:v>34.601809030803409</c:v>
                </c:pt>
                <c:pt idx="32">
                  <c:v>34.557074629480645</c:v>
                </c:pt>
                <c:pt idx="33">
                  <c:v>34.518398036462379</c:v>
                </c:pt>
                <c:pt idx="34">
                  <c:v>34.485439574695462</c:v>
                </c:pt>
                <c:pt idx="35">
                  <c:v>34.457850226385766</c:v>
                </c:pt>
                <c:pt idx="36">
                  <c:v>34.435272655137304</c:v>
                </c:pt>
                <c:pt idx="37">
                  <c:v>34.417342137334344</c:v>
                </c:pt>
                <c:pt idx="38">
                  <c:v>34.403687411005897</c:v>
                </c:pt>
                <c:pt idx="39">
                  <c:v>34.393931449464297</c:v>
                </c:pt>
                <c:pt idx="40">
                  <c:v>34.387692166167241</c:v>
                </c:pt>
                <c:pt idx="41">
                  <c:v>34.384583056498208</c:v>
                </c:pt>
                <c:pt idx="42">
                  <c:v>34.384213781486736</c:v>
                </c:pt>
                <c:pt idx="43">
                  <c:v>34.386190697887713</c:v>
                </c:pt>
                <c:pt idx="44">
                  <c:v>34.390117338502186</c:v>
                </c:pt>
                <c:pt idx="45">
                  <c:v>34.39559484614562</c:v>
                </c:pt>
                <c:pt idx="46">
                  <c:v>34.402222364245155</c:v>
                </c:pt>
                <c:pt idx="47">
                  <c:v>34.409597386674271</c:v>
                </c:pt>
                <c:pt idx="48">
                  <c:v>34.417316069104849</c:v>
                </c:pt>
                <c:pt idx="49">
                  <c:v>34.424973503870078</c:v>
                </c:pt>
                <c:pt idx="50">
                  <c:v>34.432163960084679</c:v>
                </c:pt>
                <c:pt idx="51">
                  <c:v>34.438481090556053</c:v>
                </c:pt>
                <c:pt idx="52">
                  <c:v>34.443518106844479</c:v>
                </c:pt>
                <c:pt idx="53">
                  <c:v>34.44686792368153</c:v>
                </c:pt>
                <c:pt idx="54">
                  <c:v>34.448123273842</c:v>
                </c:pt>
                <c:pt idx="55">
                  <c:v>34.446876794473866</c:v>
                </c:pt>
                <c:pt idx="56">
                  <c:v>34.442721085830968</c:v>
                </c:pt>
                <c:pt idx="57">
                  <c:v>34.43524874331564</c:v>
                </c:pt>
                <c:pt idx="58">
                  <c:v>34.424052363727249</c:v>
                </c:pt>
                <c:pt idx="59">
                  <c:v>34.408724526624539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8672"/>
        <c:axId val="511809064"/>
      </c:scatterChart>
      <c:valAx>
        <c:axId val="511808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9064"/>
        <c:crosses val="autoZero"/>
        <c:crossBetween val="midCat"/>
      </c:valAx>
      <c:valAx>
        <c:axId val="511809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QGUT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Mean Body surface area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BSA!$B$5:$B$65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BSA!$E$5:$E$65</c:f>
              <c:numCache>
                <c:formatCode>0.00</c:formatCode>
                <c:ptCount val="61"/>
                <c:pt idx="0">
                  <c:v>0.36748268225543174</c:v>
                </c:pt>
                <c:pt idx="1">
                  <c:v>0.45488969149254993</c:v>
                </c:pt>
                <c:pt idx="2">
                  <c:v>0.57453062042081449</c:v>
                </c:pt>
                <c:pt idx="3">
                  <c:v>0.6572257425427771</c:v>
                </c:pt>
                <c:pt idx="4">
                  <c:v>0.72810004813477081</c:v>
                </c:pt>
                <c:pt idx="5">
                  <c:v>0.79391924933230318</c:v>
                </c:pt>
                <c:pt idx="6">
                  <c:v>0.85943090178124271</c:v>
                </c:pt>
                <c:pt idx="7">
                  <c:v>0.9293519035452813</c:v>
                </c:pt>
                <c:pt idx="8">
                  <c:v>1.0076015116435706</c:v>
                </c:pt>
                <c:pt idx="9">
                  <c:v>1.0972045864183075</c:v>
                </c:pt>
                <c:pt idx="10">
                  <c:v>1.1999235621706403</c:v>
                </c:pt>
                <c:pt idx="11">
                  <c:v>1.3126591016380704</c:v>
                </c:pt>
                <c:pt idx="12">
                  <c:v>1.4207481694198665</c:v>
                </c:pt>
                <c:pt idx="13">
                  <c:v>1.508666182635569</c:v>
                </c:pt>
                <c:pt idx="14">
                  <c:v>1.5745960905913443</c:v>
                </c:pt>
                <c:pt idx="15">
                  <c:v>1.622878505732064</c:v>
                </c:pt>
                <c:pt idx="16">
                  <c:v>1.6576234310245059</c:v>
                </c:pt>
                <c:pt idx="17">
                  <c:v>1.6821945571748413</c:v>
                </c:pt>
                <c:pt idx="18">
                  <c:v>1.6993651099713358</c:v>
                </c:pt>
                <c:pt idx="19">
                  <c:v>1.7113198688105276</c:v>
                </c:pt>
                <c:pt idx="20">
                  <c:v>1.7196845916164114</c:v>
                </c:pt>
                <c:pt idx="21">
                  <c:v>1.7256150326524335</c:v>
                </c:pt>
                <c:pt idx="22">
                  <c:v>1.731071208698802</c:v>
                </c:pt>
                <c:pt idx="23">
                  <c:v>1.7372636054462667</c:v>
                </c:pt>
                <c:pt idx="24">
                  <c:v>1.7462454098904858</c:v>
                </c:pt>
                <c:pt idx="25">
                  <c:v>1.7548335398437895</c:v>
                </c:pt>
                <c:pt idx="26">
                  <c:v>1.7630342860504022</c:v>
                </c:pt>
                <c:pt idx="27">
                  <c:v>1.7708535756905106</c:v>
                </c:pt>
                <c:pt idx="28">
                  <c:v>1.7782969989458648</c:v>
                </c:pt>
                <c:pt idx="29">
                  <c:v>1.7853698292494875</c:v>
                </c:pt>
                <c:pt idx="30">
                  <c:v>1.7920770406669644</c:v>
                </c:pt>
                <c:pt idx="31">
                  <c:v>1.7984233234828528</c:v>
                </c:pt>
                <c:pt idx="32">
                  <c:v>1.8044130983837079</c:v>
                </c:pt>
                <c:pt idx="33">
                  <c:v>1.8100505294266482</c:v>
                </c:pt>
                <c:pt idx="34">
                  <c:v>1.8153395359164715</c:v>
                </c:pt>
                <c:pt idx="35">
                  <c:v>1.8202838032880166</c:v>
                </c:pt>
                <c:pt idx="36">
                  <c:v>1.8248867930763126</c:v>
                </c:pt>
                <c:pt idx="37">
                  <c:v>1.829151752047012</c:v>
                </c:pt>
                <c:pt idx="38">
                  <c:v>1.8330817205514862</c:v>
                </c:pt>
                <c:pt idx="39">
                  <c:v>1.836679540163896</c:v>
                </c:pt>
                <c:pt idx="40">
                  <c:v>1.8399478606513409</c:v>
                </c:pt>
                <c:pt idx="41">
                  <c:v>1.8428891463226258</c:v>
                </c:pt>
                <c:pt idx="42">
                  <c:v>1.8455056817962137</c:v>
                </c:pt>
                <c:pt idx="43">
                  <c:v>1.8477995772234119</c:v>
                </c:pt>
                <c:pt idx="44">
                  <c:v>1.8497727729988007</c:v>
                </c:pt>
                <c:pt idx="45">
                  <c:v>1.8514270439862035</c:v>
                </c:pt>
                <c:pt idx="46">
                  <c:v>1.8527640032851145</c:v>
                </c:pt>
                <c:pt idx="47">
                  <c:v>1.8537851055594012</c:v>
                </c:pt>
                <c:pt idx="48">
                  <c:v>1.8544916499472395</c:v>
                </c:pt>
                <c:pt idx="49">
                  <c:v>1.8548847825685495</c:v>
                </c:pt>
                <c:pt idx="50">
                  <c:v>1.854965498643766</c:v>
                </c:pt>
                <c:pt idx="51">
                  <c:v>1.8547346442353214</c:v>
                </c:pt>
                <c:pt idx="52">
                  <c:v>1.854192917621122</c:v>
                </c:pt>
                <c:pt idx="53">
                  <c:v>1.8533408703070131</c:v>
                </c:pt>
                <c:pt idx="54">
                  <c:v>1.8521789076832842</c:v>
                </c:pt>
                <c:pt idx="55">
                  <c:v>1.8507072893281238</c:v>
                </c:pt>
                <c:pt idx="56">
                  <c:v>1.8489261289590395</c:v>
                </c:pt>
                <c:pt idx="57">
                  <c:v>1.8468353940311877</c:v>
                </c:pt>
                <c:pt idx="58">
                  <c:v>1.8444349049795887</c:v>
                </c:pt>
                <c:pt idx="59">
                  <c:v>1.8417243341001681</c:v>
                </c:pt>
                <c:pt idx="60">
                  <c:v>1.8387032040624416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3D-4D11-9CB5-5CC5EAB81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1744"/>
        <c:axId val="500902136"/>
      </c:scatterChart>
      <c:valAx>
        <c:axId val="500901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2136"/>
        <c:crosses val="autoZero"/>
        <c:crossBetween val="midCat"/>
      </c:valAx>
      <c:valAx>
        <c:axId val="500902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Body surface</a:t>
                </a:r>
                <a:r>
                  <a:rPr lang="en-US" baseline="0"/>
                  <a:t> area (m^2)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665069829434604E-2"/>
              <c:y val="0.18229392020584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QGUTC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flow '!$B$9:$B$68</c:f>
              <c:numCache>
                <c:formatCode>0</c:formatCode>
                <c:ptCount val="60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'GUT flow '!$D$9:$D$68</c:f>
              <c:numCache>
                <c:formatCode>0.000</c:formatCode>
                <c:ptCount val="60"/>
                <c:pt idx="0">
                  <c:v>0.16832020894520333</c:v>
                </c:pt>
                <c:pt idx="1">
                  <c:v>0.16781862943194917</c:v>
                </c:pt>
                <c:pt idx="2">
                  <c:v>0.17250442840712277</c:v>
                </c:pt>
                <c:pt idx="3">
                  <c:v>0.17735729552692728</c:v>
                </c:pt>
                <c:pt idx="4">
                  <c:v>0.18367042143547965</c:v>
                </c:pt>
                <c:pt idx="5">
                  <c:v>0.18863609780069845</c:v>
                </c:pt>
                <c:pt idx="6">
                  <c:v>0.1915329280094907</c:v>
                </c:pt>
                <c:pt idx="7">
                  <c:v>0.19255856777644767</c:v>
                </c:pt>
                <c:pt idx="8">
                  <c:v>0.19209548793938711</c:v>
                </c:pt>
                <c:pt idx="9">
                  <c:v>0.19085243707129493</c:v>
                </c:pt>
                <c:pt idx="10">
                  <c:v>0.1899294166722334</c:v>
                </c:pt>
                <c:pt idx="11">
                  <c:v>0.18989110169221243</c:v>
                </c:pt>
                <c:pt idx="12">
                  <c:v>0.18938791511808759</c:v>
                </c:pt>
                <c:pt idx="13">
                  <c:v>0.18731107995870272</c:v>
                </c:pt>
                <c:pt idx="14">
                  <c:v>0.1844903942525048</c:v>
                </c:pt>
                <c:pt idx="15">
                  <c:v>0.18189035877772181</c:v>
                </c:pt>
                <c:pt idx="16">
                  <c:v>0.17983878857229529</c:v>
                </c:pt>
                <c:pt idx="17">
                  <c:v>0.17829775245637294</c:v>
                </c:pt>
                <c:pt idx="18">
                  <c:v>0.17712210040077239</c:v>
                </c:pt>
                <c:pt idx="19">
                  <c:v>0.17616911055886184</c:v>
                </c:pt>
                <c:pt idx="20">
                  <c:v>0.1753296553953243</c:v>
                </c:pt>
                <c:pt idx="21">
                  <c:v>0.17452938700978582</c:v>
                </c:pt>
                <c:pt idx="22">
                  <c:v>0.17364899326101813</c:v>
                </c:pt>
                <c:pt idx="23">
                  <c:v>0.17262307562435811</c:v>
                </c:pt>
                <c:pt idx="24">
                  <c:v>0.17133873788206733</c:v>
                </c:pt>
                <c:pt idx="25">
                  <c:v>0.16999999946958635</c:v>
                </c:pt>
                <c:pt idx="26">
                  <c:v>0.16925962293136104</c:v>
                </c:pt>
                <c:pt idx="27">
                  <c:v>0.16854939183290868</c:v>
                </c:pt>
                <c:pt idx="28">
                  <c:v>0.16786860632907277</c:v>
                </c:pt>
                <c:pt idx="29">
                  <c:v>0.16721659669045155</c:v>
                </c:pt>
                <c:pt idx="30">
                  <c:v>0.16659272316462281</c:v>
                </c:pt>
                <c:pt idx="31">
                  <c:v>0.16599637577254539</c:v>
                </c:pt>
                <c:pt idx="32">
                  <c:v>0.16542697408714918</c:v>
                </c:pt>
                <c:pt idx="33">
                  <c:v>0.16488396700732538</c:v>
                </c:pt>
                <c:pt idx="34">
                  <c:v>0.16436683253102907</c:v>
                </c:pt>
                <c:pt idx="35">
                  <c:v>0.16387507752853731</c:v>
                </c:pt>
                <c:pt idx="36">
                  <c:v>0.16340823751615566</c:v>
                </c:pt>
                <c:pt idx="37">
                  <c:v>0.16296587643045454</c:v>
                </c:pt>
                <c:pt idx="38">
                  <c:v>0.16254758640306</c:v>
                </c:pt>
                <c:pt idx="39">
                  <c:v>0.16215298753600393</c:v>
                </c:pt>
                <c:pt idx="40">
                  <c:v>0.16178172767763666</c:v>
                </c:pt>
                <c:pt idx="41">
                  <c:v>0.16143348219910161</c:v>
                </c:pt>
                <c:pt idx="42">
                  <c:v>0.16110795377137238</c:v>
                </c:pt>
                <c:pt idx="43">
                  <c:v>0.16080487214285336</c:v>
                </c:pt>
                <c:pt idx="44">
                  <c:v>0.16052399391754146</c:v>
                </c:pt>
                <c:pt idx="45">
                  <c:v>0.16026510233375169</c:v>
                </c:pt>
                <c:pt idx="46">
                  <c:v>0.16002800704340495</c:v>
                </c:pt>
                <c:pt idx="47">
                  <c:v>0.15981254389187821</c:v>
                </c:pt>
                <c:pt idx="48">
                  <c:v>0.15961857469841748</c:v>
                </c:pt>
                <c:pt idx="49">
                  <c:v>0.15944598703711357</c:v>
                </c:pt>
                <c:pt idx="50">
                  <c:v>0.15929469401844012</c:v>
                </c:pt>
                <c:pt idx="51">
                  <c:v>0.15916463407135453</c:v>
                </c:pt>
                <c:pt idx="52">
                  <c:v>0.15905577072596117</c:v>
                </c:pt>
                <c:pt idx="53">
                  <c:v>0.15896809239673759</c:v>
                </c:pt>
                <c:pt idx="54">
                  <c:v>0.15890161216632298</c:v>
                </c:pt>
                <c:pt idx="55">
                  <c:v>0.15885636756986976</c:v>
                </c:pt>
                <c:pt idx="56">
                  <c:v>0.15883242037995696</c:v>
                </c:pt>
                <c:pt idx="57">
                  <c:v>0.15882985639206701</c:v>
                </c:pt>
                <c:pt idx="58">
                  <c:v>0.15884878521062479</c:v>
                </c:pt>
                <c:pt idx="59">
                  <c:v>0.15888934003559918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9848"/>
        <c:axId val="511810240"/>
      </c:scatterChart>
      <c:valAx>
        <c:axId val="511809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0240"/>
        <c:crosses val="autoZero"/>
        <c:crossBetween val="midCat"/>
      </c:valAx>
      <c:valAx>
        <c:axId val="5118102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QGUTC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9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QRAPC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tissues flow'!$B$8:$B$68</c:f>
              <c:numCache>
                <c:formatCode>0</c:formatCode>
                <c:ptCount val="61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'Rap perf tissues flow'!$D$8:$D$68</c:f>
              <c:numCache>
                <c:formatCode>0.000</c:formatCode>
                <c:ptCount val="61"/>
                <c:pt idx="0">
                  <c:v>0.21313266890360816</c:v>
                </c:pt>
                <c:pt idx="1">
                  <c:v>0.21249755217581207</c:v>
                </c:pt>
                <c:pt idx="2">
                  <c:v>0.21843086730049602</c:v>
                </c:pt>
                <c:pt idx="3">
                  <c:v>0.2245757296884415</c:v>
                </c:pt>
                <c:pt idx="4">
                  <c:v>0.23256962051382851</c:v>
                </c:pt>
                <c:pt idx="5">
                  <c:v>0.23885732573510229</c:v>
                </c:pt>
                <c:pt idx="6">
                  <c:v>0.24252538887279415</c:v>
                </c:pt>
                <c:pt idx="7">
                  <c:v>0.24382408819259105</c:v>
                </c:pt>
                <c:pt idx="8">
                  <c:v>0.24323772104032421</c:v>
                </c:pt>
                <c:pt idx="9">
                  <c:v>0.24166372852475121</c:v>
                </c:pt>
                <c:pt idx="10">
                  <c:v>0.24049496927512065</c:v>
                </c:pt>
                <c:pt idx="11">
                  <c:v>0.24044645356805236</c:v>
                </c:pt>
                <c:pt idx="12">
                  <c:v>0.23980930192612077</c:v>
                </c:pt>
                <c:pt idx="13">
                  <c:v>0.23717954390023427</c:v>
                </c:pt>
                <c:pt idx="14">
                  <c:v>0.23360789747424907</c:v>
                </c:pt>
                <c:pt idx="15">
                  <c:v>0.23031564573895702</c:v>
                </c:pt>
                <c:pt idx="16">
                  <c:v>0.22771787904138827</c:v>
                </c:pt>
                <c:pt idx="17">
                  <c:v>0.2257665676550632</c:v>
                </c:pt>
                <c:pt idx="18">
                  <c:v>0.22427791776636366</c:v>
                </c:pt>
                <c:pt idx="19">
                  <c:v>0.22307121020749565</c:v>
                </c:pt>
                <c:pt idx="20">
                  <c:v>0.22200826404939103</c:v>
                </c:pt>
                <c:pt idx="21">
                  <c:v>0.22099493749806454</c:v>
                </c:pt>
                <c:pt idx="22">
                  <c:v>0.21988015353637161</c:v>
                </c:pt>
                <c:pt idx="23">
                  <c:v>0.21858110236867839</c:v>
                </c:pt>
                <c:pt idx="24">
                  <c:v>0.21695483103439564</c:v>
                </c:pt>
                <c:pt idx="25">
                  <c:v>0.21525967575503918</c:v>
                </c:pt>
                <c:pt idx="26">
                  <c:v>0.21432218626061397</c:v>
                </c:pt>
                <c:pt idx="27">
                  <c:v>0.21342286792860807</c:v>
                </c:pt>
                <c:pt idx="28">
                  <c:v>0.21256083459171582</c:v>
                </c:pt>
                <c:pt idx="29">
                  <c:v>0.21173523821620602</c:v>
                </c:pt>
                <c:pt idx="30">
                  <c:v>0.21094526872619981</c:v>
                </c:pt>
                <c:pt idx="31">
                  <c:v>0.21019015374586758</c:v>
                </c:pt>
                <c:pt idx="32">
                  <c:v>0.20946915831907234</c:v>
                </c:pt>
                <c:pt idx="33">
                  <c:v>0.20878158462318847</c:v>
                </c:pt>
                <c:pt idx="34">
                  <c:v>0.20812677168179658</c:v>
                </c:pt>
                <c:pt idx="35">
                  <c:v>0.20750409507757558</c:v>
                </c:pt>
                <c:pt idx="36">
                  <c:v>0.20691296666576209</c:v>
                </c:pt>
                <c:pt idx="37">
                  <c:v>0.20635283428828108</c:v>
                </c:pt>
                <c:pt idx="38">
                  <c:v>0.20582318148857839</c:v>
                </c:pt>
                <c:pt idx="39">
                  <c:v>0.20532352722716188</c:v>
                </c:pt>
                <c:pt idx="40">
                  <c:v>0.20485342559785394</c:v>
                </c:pt>
                <c:pt idx="41">
                  <c:v>0.20441246554475681</c:v>
                </c:pt>
                <c:pt idx="42">
                  <c:v>0.20400027057992931</c:v>
                </c:pt>
                <c:pt idx="43">
                  <c:v>0.20361649850177718</c:v>
                </c:pt>
                <c:pt idx="44">
                  <c:v>0.20326084111415396</c:v>
                </c:pt>
                <c:pt idx="45">
                  <c:v>0.20293302394617649</c:v>
                </c:pt>
                <c:pt idx="46">
                  <c:v>0.20263280597275105</c:v>
                </c:pt>
                <c:pt idx="47">
                  <c:v>0.20235997933581271</c:v>
                </c:pt>
                <c:pt idx="48">
                  <c:v>0.20211436906627683</c:v>
                </c:pt>
                <c:pt idx="49">
                  <c:v>0.20189583280670326</c:v>
                </c:pt>
                <c:pt idx="50">
                  <c:v>0.20170426053467233</c:v>
                </c:pt>
                <c:pt idx="51">
                  <c:v>0.201539574286874</c:v>
                </c:pt>
                <c:pt idx="52">
                  <c:v>0.20140172788390864</c:v>
                </c:pt>
                <c:pt idx="53">
                  <c:v>0.20129070665580101</c:v>
                </c:pt>
                <c:pt idx="54">
                  <c:v>0.20120652716822565</c:v>
                </c:pt>
                <c:pt idx="55">
                  <c:v>0.20114923694944581</c:v>
                </c:pt>
                <c:pt idx="56">
                  <c:v>0.20111891421796368</c:v>
                </c:pt>
                <c:pt idx="57">
                  <c:v>0.20111566761088401</c:v>
                </c:pt>
                <c:pt idx="58">
                  <c:v>0.20113963591298922</c:v>
                </c:pt>
                <c:pt idx="59">
                  <c:v>0.20119098778652758</c:v>
                </c:pt>
                <c:pt idx="60">
                  <c:v>0.20126992150171333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85-4F63-BA9E-DC02A5E8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11024"/>
        <c:axId val="511811416"/>
      </c:scatterChart>
      <c:valAx>
        <c:axId val="51181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1416"/>
        <c:crosses val="autoZero"/>
        <c:crossBetween val="midCat"/>
      </c:valAx>
      <c:valAx>
        <c:axId val="51181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QRapC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1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QRAP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tissues flow'!$B$8:$B$68</c:f>
              <c:numCache>
                <c:formatCode>0</c:formatCode>
                <c:ptCount val="61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'Rap perf tissues flow'!$F$8:$F$68</c:f>
              <c:numCache>
                <c:formatCode>0.000</c:formatCode>
                <c:ptCount val="61"/>
                <c:pt idx="0">
                  <c:v>10.543000453779632</c:v>
                </c:pt>
                <c:pt idx="1">
                  <c:v>13.011799154622571</c:v>
                </c:pt>
                <c:pt idx="2">
                  <c:v>17.3148957505292</c:v>
                </c:pt>
                <c:pt idx="3">
                  <c:v>20.137681379886729</c:v>
                </c:pt>
                <c:pt idx="4">
                  <c:v>22.85492328743285</c:v>
                </c:pt>
                <c:pt idx="5">
                  <c:v>25.329106589906978</c:v>
                </c:pt>
                <c:pt idx="6">
                  <c:v>27.561896730938425</c:v>
                </c:pt>
                <c:pt idx="7">
                  <c:v>29.675716725566133</c:v>
                </c:pt>
                <c:pt idx="8">
                  <c:v>31.800631394148411</c:v>
                </c:pt>
                <c:pt idx="9">
                  <c:v>34.100055113102307</c:v>
                </c:pt>
                <c:pt idx="10">
                  <c:v>36.797979590854503</c:v>
                </c:pt>
                <c:pt idx="11">
                  <c:v>39.921907198127229</c:v>
                </c:pt>
                <c:pt idx="12">
                  <c:v>42.763007872144598</c:v>
                </c:pt>
                <c:pt idx="13">
                  <c:v>44.582708868853217</c:v>
                </c:pt>
                <c:pt idx="14">
                  <c:v>45.512364288222869</c:v>
                </c:pt>
                <c:pt idx="15">
                  <c:v>45.943397214924431</c:v>
                </c:pt>
                <c:pt idx="16">
                  <c:v>46.110546329779233</c:v>
                </c:pt>
                <c:pt idx="17">
                  <c:v>46.122990229762145</c:v>
                </c:pt>
                <c:pt idx="18">
                  <c:v>46.033893332540664</c:v>
                </c:pt>
                <c:pt idx="19">
                  <c:v>45.873113068908552</c:v>
                </c:pt>
                <c:pt idx="20">
                  <c:v>45.659784974140408</c:v>
                </c:pt>
                <c:pt idx="21">
                  <c:v>45.407236823357998</c:v>
                </c:pt>
                <c:pt idx="22">
                  <c:v>45.136724379980656</c:v>
                </c:pt>
                <c:pt idx="23">
                  <c:v>44.862305692922504</c:v>
                </c:pt>
                <c:pt idx="24">
                  <c:v>44.605908654229331</c:v>
                </c:pt>
                <c:pt idx="25">
                  <c:v>44.337120117904533</c:v>
                </c:pt>
                <c:pt idx="26">
                  <c:v>44.22628047237729</c:v>
                </c:pt>
                <c:pt idx="27">
                  <c:v>44.125353359381002</c:v>
                </c:pt>
                <c:pt idx="28">
                  <c:v>44.034015002605123</c:v>
                </c:pt>
                <c:pt idx="29">
                  <c:v>43.951918795798832</c:v>
                </c:pt>
                <c:pt idx="30">
                  <c:v>43.878697628705233</c:v>
                </c:pt>
                <c:pt idx="31">
                  <c:v>43.813965974988548</c:v>
                </c:pt>
                <c:pt idx="32">
                  <c:v>43.75732178231867</c:v>
                </c:pt>
                <c:pt idx="33">
                  <c:v>43.708348188798688</c:v>
                </c:pt>
                <c:pt idx="34">
                  <c:v>43.666615084001819</c:v>
                </c:pt>
                <c:pt idx="35">
                  <c:v>43.631680529943189</c:v>
                </c:pt>
                <c:pt idx="36">
                  <c:v>43.603092055346458</c:v>
                </c:pt>
                <c:pt idx="37">
                  <c:v>43.580387834991001</c:v>
                </c:pt>
                <c:pt idx="38">
                  <c:v>43.563097764572426</c:v>
                </c:pt>
                <c:pt idx="39">
                  <c:v>43.550744440309643</c:v>
                </c:pt>
                <c:pt idx="40">
                  <c:v>43.542844051464591</c:v>
                </c:pt>
                <c:pt idx="41">
                  <c:v>43.538907192986159</c:v>
                </c:pt>
                <c:pt idx="42">
                  <c:v>43.538439604636274</c:v>
                </c:pt>
                <c:pt idx="43">
                  <c:v>43.540942842193914</c:v>
                </c:pt>
                <c:pt idx="44">
                  <c:v>43.545914885653396</c:v>
                </c:pt>
                <c:pt idx="45">
                  <c:v>43.552850688729578</c:v>
                </c:pt>
                <c:pt idx="46">
                  <c:v>43.56124267344498</c:v>
                </c:pt>
                <c:pt idx="47">
                  <c:v>43.570581173102219</c:v>
                </c:pt>
                <c:pt idx="48">
                  <c:v>43.580354826528378</c:v>
                </c:pt>
                <c:pt idx="49">
                  <c:v>43.590050926115566</c:v>
                </c:pt>
                <c:pt idx="50">
                  <c:v>43.599155721869188</c:v>
                </c:pt>
                <c:pt idx="51">
                  <c:v>43.607154683405732</c:v>
                </c:pt>
                <c:pt idx="52">
                  <c:v>43.613532721619848</c:v>
                </c:pt>
                <c:pt idx="53">
                  <c:v>43.617774371551803</c:v>
                </c:pt>
                <c:pt idx="54">
                  <c:v>43.619363937842081</c:v>
                </c:pt>
                <c:pt idx="55">
                  <c:v>43.617785604045274</c:v>
                </c:pt>
                <c:pt idx="56">
                  <c:v>43.61252350699943</c:v>
                </c:pt>
                <c:pt idx="57">
                  <c:v>43.603061777399446</c:v>
                </c:pt>
                <c:pt idx="58">
                  <c:v>43.588884547709164</c:v>
                </c:pt>
                <c:pt idx="59">
                  <c:v>43.569475928561801</c:v>
                </c:pt>
                <c:pt idx="60">
                  <c:v>43.54431995484213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3F-4557-845B-CEB206D88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12984"/>
        <c:axId val="511813376"/>
      </c:scatterChart>
      <c:valAx>
        <c:axId val="51181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3376"/>
        <c:crosses val="autoZero"/>
        <c:crossBetween val="midCat"/>
      </c:valAx>
      <c:valAx>
        <c:axId val="51181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QRap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QLIV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flow'!$B$9:$B$68</c:f>
              <c:numCache>
                <c:formatCode>0</c:formatCode>
                <c:ptCount val="60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'Liver flow'!$I$9:$I$68</c:f>
              <c:numCache>
                <c:formatCode>0.00</c:formatCode>
                <c:ptCount val="60"/>
                <c:pt idx="0">
                  <c:v>13.618336929003787</c:v>
                </c:pt>
                <c:pt idx="1">
                  <c:v>16.404283396741992</c:v>
                </c:pt>
                <c:pt idx="2">
                  <c:v>21.065829658825351</c:v>
                </c:pt>
                <c:pt idx="3">
                  <c:v>23.935846280734065</c:v>
                </c:pt>
                <c:pt idx="4">
                  <c:v>26.603528723202466</c:v>
                </c:pt>
                <c:pt idx="5">
                  <c:v>29.012964526297452</c:v>
                </c:pt>
                <c:pt idx="6">
                  <c:v>31.199293731221616</c:v>
                </c:pt>
                <c:pt idx="7">
                  <c:v>33.293418511566195</c:v>
                </c:pt>
                <c:pt idx="8">
                  <c:v>35.424884605258065</c:v>
                </c:pt>
                <c:pt idx="9">
                  <c:v>37.74506306692529</c:v>
                </c:pt>
                <c:pt idx="10">
                  <c:v>40.448946401507023</c:v>
                </c:pt>
                <c:pt idx="11">
                  <c:v>43.540655687443042</c:v>
                </c:pt>
                <c:pt idx="12">
                  <c:v>46.350348029912972</c:v>
                </c:pt>
                <c:pt idx="13">
                  <c:v>48.190195205561764</c:v>
                </c:pt>
                <c:pt idx="14">
                  <c:v>49.176027910649864</c:v>
                </c:pt>
                <c:pt idx="15">
                  <c:v>49.665936683171495</c:v>
                </c:pt>
                <c:pt idx="16">
                  <c:v>49.879500599594849</c:v>
                </c:pt>
                <c:pt idx="17">
                  <c:v>49.924822204446741</c:v>
                </c:pt>
                <c:pt idx="18">
                  <c:v>49.859262167410613</c:v>
                </c:pt>
                <c:pt idx="19">
                  <c:v>49.717506642957588</c:v>
                </c:pt>
                <c:pt idx="20">
                  <c:v>49.522527200095041</c:v>
                </c:pt>
                <c:pt idx="21">
                  <c:v>49.290242383899042</c:v>
                </c:pt>
                <c:pt idx="22">
                  <c:v>49.046200057844985</c:v>
                </c:pt>
                <c:pt idx="23">
                  <c:v>48.891292106913099</c:v>
                </c:pt>
                <c:pt idx="24">
                  <c:v>48.662588215351711</c:v>
                </c:pt>
                <c:pt idx="25">
                  <c:v>48.427314492670831</c:v>
                </c:pt>
                <c:pt idx="26">
                  <c:v>48.319898379881884</c:v>
                </c:pt>
                <c:pt idx="27">
                  <c:v>48.223325217261667</c:v>
                </c:pt>
                <c:pt idx="28">
                  <c:v>48.137229993385908</c:v>
                </c:pt>
                <c:pt idx="29">
                  <c:v>48.061224671917159</c:v>
                </c:pt>
                <c:pt idx="30">
                  <c:v>47.994900422918903</c:v>
                </c:pt>
                <c:pt idx="31">
                  <c:v>47.937829625271775</c:v>
                </c:pt>
                <c:pt idx="32">
                  <c:v>47.889567680237967</c:v>
                </c:pt>
                <c:pt idx="33">
                  <c:v>47.849654659862246</c:v>
                </c:pt>
                <c:pt idx="34">
                  <c:v>47.817616807904265</c:v>
                </c:pt>
                <c:pt idx="35">
                  <c:v>47.792967908069201</c:v>
                </c:pt>
                <c:pt idx="36">
                  <c:v>47.775210532380171</c:v>
                </c:pt>
                <c:pt idx="37">
                  <c:v>47.763837181009748</c:v>
                </c:pt>
                <c:pt idx="38">
                  <c:v>47.75833132358872</c:v>
                </c:pt>
                <c:pt idx="39">
                  <c:v>47.758168350862483</c:v>
                </c:pt>
                <c:pt idx="40">
                  <c:v>47.762816444550886</c:v>
                </c:pt>
                <c:pt idx="41">
                  <c:v>47.77173737236177</c:v>
                </c:pt>
                <c:pt idx="42">
                  <c:v>47.784387214303067</c:v>
                </c:pt>
                <c:pt idx="43">
                  <c:v>47.80021702571954</c:v>
                </c:pt>
                <c:pt idx="44">
                  <c:v>47.818673441842364</c:v>
                </c:pt>
                <c:pt idx="45">
                  <c:v>47.839199228072779</c:v>
                </c:pt>
                <c:pt idx="46">
                  <c:v>47.8612337797178</c:v>
                </c:pt>
                <c:pt idx="47">
                  <c:v>47.88421357445268</c:v>
                </c:pt>
                <c:pt idx="48">
                  <c:v>47.907572580395119</c:v>
                </c:pt>
                <c:pt idx="49">
                  <c:v>47.930742622334243</c:v>
                </c:pt>
                <c:pt idx="50">
                  <c:v>47.953153708363182</c:v>
                </c:pt>
                <c:pt idx="51">
                  <c:v>47.974234318906937</c:v>
                </c:pt>
                <c:pt idx="52">
                  <c:v>47.993411659925748</c:v>
                </c:pt>
                <c:pt idx="53">
                  <c:v>48.010111881889678</c:v>
                </c:pt>
                <c:pt idx="54">
                  <c:v>48.02376026597878</c:v>
                </c:pt>
                <c:pt idx="55">
                  <c:v>48.033781378844424</c:v>
                </c:pt>
                <c:pt idx="56">
                  <c:v>48.039599197186419</c:v>
                </c:pt>
                <c:pt idx="57">
                  <c:v>48.040637203341483</c:v>
                </c:pt>
                <c:pt idx="58">
                  <c:v>48.036318453051138</c:v>
                </c:pt>
                <c:pt idx="59">
                  <c:v>48.026065616573142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69832"/>
        <c:axId val="512739608"/>
      </c:scatterChart>
      <c:valAx>
        <c:axId val="503369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739608"/>
        <c:crosses val="autoZero"/>
        <c:crossBetween val="midCat"/>
      </c:valAx>
      <c:valAx>
        <c:axId val="512739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QLIV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69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QLIVC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flow'!$B$9:$B$68</c:f>
              <c:numCache>
                <c:formatCode>0</c:formatCode>
                <c:ptCount val="60"/>
                <c:pt idx="0" formatCode="0.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</c:numCache>
            </c:numRef>
          </c:xVal>
          <c:yVal>
            <c:numRef>
              <c:f>'Liver flow'!$H$9:$H$68</c:f>
              <c:numCache>
                <c:formatCode>0.000</c:formatCode>
                <c:ptCount val="60"/>
                <c:pt idx="0">
                  <c:v>0.27530232104529623</c:v>
                </c:pt>
                <c:pt idx="1">
                  <c:v>0.26790069732728689</c:v>
                </c:pt>
                <c:pt idx="2">
                  <c:v>0.2657496475334597</c:v>
                </c:pt>
                <c:pt idx="3">
                  <c:v>0.26693292255458539</c:v>
                </c:pt>
                <c:pt idx="4">
                  <c:v>0.27071508845912651</c:v>
                </c:pt>
                <c:pt idx="5">
                  <c:v>0.27359666610429184</c:v>
                </c:pt>
                <c:pt idx="6">
                  <c:v>0.27453193510544815</c:v>
                </c:pt>
                <c:pt idx="7">
                  <c:v>0.27354815004024458</c:v>
                </c:pt>
                <c:pt idx="8">
                  <c:v>0.27095902885390438</c:v>
                </c:pt>
                <c:pt idx="9">
                  <c:v>0.26749554051747665</c:v>
                </c:pt>
                <c:pt idx="10">
                  <c:v>0.26435603884239073</c:v>
                </c:pt>
                <c:pt idx="11">
                  <c:v>0.26224188624346201</c:v>
                </c:pt>
                <c:pt idx="12">
                  <c:v>0.25992663187583065</c:v>
                </c:pt>
                <c:pt idx="13">
                  <c:v>0.2563713334005942</c:v>
                </c:pt>
                <c:pt idx="14">
                  <c:v>0.25241291385327136</c:v>
                </c:pt>
                <c:pt idx="15">
                  <c:v>0.24897684916297302</c:v>
                </c:pt>
                <c:pt idx="16">
                  <c:v>0.24633093702574169</c:v>
                </c:pt>
                <c:pt idx="17">
                  <c:v>0.24437608432885322</c:v>
                </c:pt>
                <c:pt idx="18">
                  <c:v>0.24291518033234571</c:v>
                </c:pt>
                <c:pt idx="19">
                  <c:v>0.24176568001138335</c:v>
                </c:pt>
                <c:pt idx="20">
                  <c:v>0.24078979568691738</c:v>
                </c:pt>
                <c:pt idx="21">
                  <c:v>0.23989334733732998</c:v>
                </c:pt>
                <c:pt idx="22">
                  <c:v>0.2389248698755303</c:v>
                </c:pt>
                <c:pt idx="23">
                  <c:v>0.23821139729436758</c:v>
                </c:pt>
                <c:pt idx="24">
                  <c:v>0.23668576478952594</c:v>
                </c:pt>
                <c:pt idx="25">
                  <c:v>0.23511784228786564</c:v>
                </c:pt>
                <c:pt idx="26">
                  <c:v>0.23416000961543937</c:v>
                </c:pt>
                <c:pt idx="27">
                  <c:v>0.23324369291954672</c:v>
                </c:pt>
                <c:pt idx="28">
                  <c:v>0.23236785884099231</c:v>
                </c:pt>
                <c:pt idx="29">
                  <c:v>0.23153152657907805</c:v>
                </c:pt>
                <c:pt idx="30">
                  <c:v>0.23073376636813764</c:v>
                </c:pt>
                <c:pt idx="31">
                  <c:v>0.22997369799691394</c:v>
                </c:pt>
                <c:pt idx="32">
                  <c:v>0.22925048941859943</c:v>
                </c:pt>
                <c:pt idx="33">
                  <c:v>0.22856335545799886</c:v>
                </c:pt>
                <c:pt idx="34">
                  <c:v>0.22791155661141455</c:v>
                </c:pt>
                <c:pt idx="35">
                  <c:v>0.22729439793247455</c:v>
                </c:pt>
                <c:pt idx="36">
                  <c:v>0.22671122799705307</c:v>
                </c:pt>
                <c:pt idx="37">
                  <c:v>0.2261614379409384</c:v>
                </c:pt>
                <c:pt idx="38">
                  <c:v>0.22564446056452614</c:v>
                </c:pt>
                <c:pt idx="39">
                  <c:v>0.22515976949940686</c:v>
                </c:pt>
                <c:pt idx="40">
                  <c:v>0.22470687843227036</c:v>
                </c:pt>
                <c:pt idx="41">
                  <c:v>0.22428534038204279</c:v>
                </c:pt>
                <c:pt idx="42">
                  <c:v>0.22389474702662296</c:v>
                </c:pt>
                <c:pt idx="43">
                  <c:v>0.22353472807599015</c:v>
                </c:pt>
                <c:pt idx="44">
                  <c:v>0.22320495068882262</c:v>
                </c:pt>
                <c:pt idx="45">
                  <c:v>0.22290511893010567</c:v>
                </c:pt>
                <c:pt idx="46">
                  <c:v>0.22263497326751219</c:v>
                </c:pt>
                <c:pt idx="47">
                  <c:v>0.22239429010462225</c:v>
                </c:pt>
                <c:pt idx="48">
                  <c:v>0.22218288134931091</c:v>
                </c:pt>
                <c:pt idx="49">
                  <c:v>0.22200059401587549</c:v>
                </c:pt>
                <c:pt idx="50">
                  <c:v>0.22184730985970114</c:v>
                </c:pt>
                <c:pt idx="51">
                  <c:v>0.22172294504347873</c:v>
                </c:pt>
                <c:pt idx="52">
                  <c:v>0.22162744983419383</c:v>
                </c:pt>
                <c:pt idx="53">
                  <c:v>0.22156080833029956</c:v>
                </c:pt>
                <c:pt idx="54">
                  <c:v>0.22152303821867797</c:v>
                </c:pt>
                <c:pt idx="55">
                  <c:v>0.22151419056117716</c:v>
                </c:pt>
                <c:pt idx="56">
                  <c:v>0.22153434961069562</c:v>
                </c:pt>
                <c:pt idx="57">
                  <c:v>0.22158363265696646</c:v>
                </c:pt>
                <c:pt idx="58">
                  <c:v>0.22166218990237735</c:v>
                </c:pt>
                <c:pt idx="59">
                  <c:v>0.22177020436834732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70-470D-A807-BF094A1A4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740392"/>
        <c:axId val="512740784"/>
      </c:scatterChart>
      <c:valAx>
        <c:axId val="512740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740784"/>
        <c:crosses val="autoZero"/>
        <c:crossBetween val="midCat"/>
      </c:valAx>
      <c:valAx>
        <c:axId val="512740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QLIVC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740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15048118985124"/>
          <c:y val="0.17261201533798085"/>
          <c:w val="0.78962729658792663"/>
          <c:h val="0.6207407934004467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'BMI '!$B$4:$B$64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'BMI '!$E$4:$E$64</c:f>
              <c:numCache>
                <c:formatCode>0.00</c:formatCode>
                <c:ptCount val="61"/>
                <c:pt idx="0">
                  <c:v>16.964168662850781</c:v>
                </c:pt>
                <c:pt idx="1">
                  <c:v>17.506167762644072</c:v>
                </c:pt>
                <c:pt idx="2">
                  <c:v>17.506342167803354</c:v>
                </c:pt>
                <c:pt idx="3">
                  <c:v>17.342773088008471</c:v>
                </c:pt>
                <c:pt idx="4">
                  <c:v>16.711565151873849</c:v>
                </c:pt>
                <c:pt idx="5">
                  <c:v>16.199183250167831</c:v>
                </c:pt>
                <c:pt idx="6">
                  <c:v>16.030757521199039</c:v>
                </c:pt>
                <c:pt idx="7">
                  <c:v>16.234110238204511</c:v>
                </c:pt>
                <c:pt idx="8">
                  <c:v>16.777293000360807</c:v>
                </c:pt>
                <c:pt idx="9">
                  <c:v>17.512802860963603</c:v>
                </c:pt>
                <c:pt idx="10">
                  <c:v>18.133539975038094</c:v>
                </c:pt>
                <c:pt idx="11">
                  <c:v>18.441330826878712</c:v>
                </c:pt>
                <c:pt idx="12">
                  <c:v>18.845495052169746</c:v>
                </c:pt>
                <c:pt idx="13">
                  <c:v>19.746996083623863</c:v>
                </c:pt>
                <c:pt idx="14">
                  <c:v>20.907138609080363</c:v>
                </c:pt>
                <c:pt idx="15">
                  <c:v>21.991333813781456</c:v>
                </c:pt>
                <c:pt idx="16">
                  <c:v>22.860913275373928</c:v>
                </c:pt>
                <c:pt idx="17">
                  <c:v>23.507785214278012</c:v>
                </c:pt>
                <c:pt idx="18">
                  <c:v>23.971428084135376</c:v>
                </c:pt>
                <c:pt idx="19">
                  <c:v>24.298672041994461</c:v>
                </c:pt>
                <c:pt idx="20">
                  <c:v>24.529456975508758</c:v>
                </c:pt>
                <c:pt idx="21">
                  <c:v>24.69387555862237</c:v>
                </c:pt>
                <c:pt idx="22">
                  <c:v>24.845681620759532</c:v>
                </c:pt>
                <c:pt idx="23">
                  <c:v>25.01854287793514</c:v>
                </c:pt>
                <c:pt idx="24">
                  <c:v>25.270313180366859</c:v>
                </c:pt>
                <c:pt idx="25">
                  <c:v>25.512193206702584</c:v>
                </c:pt>
                <c:pt idx="26">
                  <c:v>25.744206137163623</c:v>
                </c:pt>
                <c:pt idx="27">
                  <c:v>25.966375753402669</c:v>
                </c:pt>
                <c:pt idx="28">
                  <c:v>26.178726007807487</c:v>
                </c:pt>
                <c:pt idx="29">
                  <c:v>26.381280901209532</c:v>
                </c:pt>
                <c:pt idx="30">
                  <c:v>26.574064448178611</c:v>
                </c:pt>
                <c:pt idx="31">
                  <c:v>26.757100667178864</c:v>
                </c:pt>
                <c:pt idx="32">
                  <c:v>26.930413577777752</c:v>
                </c:pt>
                <c:pt idx="33">
                  <c:v>27.094027199855198</c:v>
                </c:pt>
                <c:pt idx="34">
                  <c:v>27.24796555337959</c:v>
                </c:pt>
                <c:pt idx="35">
                  <c:v>27.392252658344347</c:v>
                </c:pt>
                <c:pt idx="36">
                  <c:v>27.52691253474994</c:v>
                </c:pt>
                <c:pt idx="37">
                  <c:v>27.65196920259886</c:v>
                </c:pt>
                <c:pt idx="38">
                  <c:v>27.767446681894178</c:v>
                </c:pt>
                <c:pt idx="39">
                  <c:v>27.87336899263909</c:v>
                </c:pt>
                <c:pt idx="40">
                  <c:v>27.96976015483688</c:v>
                </c:pt>
                <c:pt idx="41">
                  <c:v>28.056644188490804</c:v>
                </c:pt>
                <c:pt idx="42">
                  <c:v>28.134045113604138</c:v>
                </c:pt>
                <c:pt idx="43">
                  <c:v>28.201986950180167</c:v>
                </c:pt>
                <c:pt idx="44">
                  <c:v>28.260493718222154</c:v>
                </c:pt>
                <c:pt idx="45">
                  <c:v>28.309589437733397</c:v>
                </c:pt>
                <c:pt idx="46">
                  <c:v>28.349298128717159</c:v>
                </c:pt>
                <c:pt idx="47">
                  <c:v>28.37964381117672</c:v>
                </c:pt>
                <c:pt idx="48">
                  <c:v>28.400650505115365</c:v>
                </c:pt>
                <c:pt idx="49">
                  <c:v>28.41234223053636</c:v>
                </c:pt>
                <c:pt idx="50">
                  <c:v>28.414743007443004</c:v>
                </c:pt>
                <c:pt idx="51">
                  <c:v>28.407876855838541</c:v>
                </c:pt>
                <c:pt idx="52">
                  <c:v>28.391767795726278</c:v>
                </c:pt>
                <c:pt idx="53">
                  <c:v>28.366439847109483</c:v>
                </c:pt>
                <c:pt idx="54">
                  <c:v>28.331917029991434</c:v>
                </c:pt>
                <c:pt idx="55">
                  <c:v>28.288223364375405</c:v>
                </c:pt>
                <c:pt idx="56">
                  <c:v>28.235382870264672</c:v>
                </c:pt>
                <c:pt idx="57">
                  <c:v>28.173419567662528</c:v>
                </c:pt>
                <c:pt idx="58">
                  <c:v>28.10235747657223</c:v>
                </c:pt>
                <c:pt idx="59">
                  <c:v>28.022220616997071</c:v>
                </c:pt>
                <c:pt idx="60">
                  <c:v>27.933033008940331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4A-4D16-A3E9-D90FBE2894C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'BMI '!$F$6:$F$64</c:f>
              <c:numCache>
                <c:formatCode>General</c:formatCode>
                <c:ptCount val="59"/>
                <c:pt idx="0">
                  <c:v>16.515000000000001</c:v>
                </c:pt>
                <c:pt idx="1">
                  <c:v>15.93</c:v>
                </c:pt>
                <c:pt idx="2">
                  <c:v>15.89</c:v>
                </c:pt>
                <c:pt idx="3">
                  <c:v>15.86</c:v>
                </c:pt>
                <c:pt idx="4">
                  <c:v>16.094999999999999</c:v>
                </c:pt>
                <c:pt idx="5">
                  <c:v>16.68</c:v>
                </c:pt>
                <c:pt idx="6">
                  <c:v>17.094999999999999</c:v>
                </c:pt>
                <c:pt idx="7">
                  <c:v>18.79</c:v>
                </c:pt>
                <c:pt idx="8">
                  <c:v>19.945</c:v>
                </c:pt>
                <c:pt idx="9">
                  <c:v>21.54</c:v>
                </c:pt>
                <c:pt idx="10">
                  <c:v>19.905000000000001</c:v>
                </c:pt>
                <c:pt idx="11">
                  <c:v>21.91</c:v>
                </c:pt>
                <c:pt idx="12">
                  <c:v>21.745000000000001</c:v>
                </c:pt>
                <c:pt idx="13">
                  <c:v>22.79</c:v>
                </c:pt>
                <c:pt idx="14">
                  <c:v>22.25</c:v>
                </c:pt>
                <c:pt idx="15">
                  <c:v>23.88</c:v>
                </c:pt>
                <c:pt idx="16">
                  <c:v>24.21</c:v>
                </c:pt>
                <c:pt idx="17">
                  <c:v>24.465</c:v>
                </c:pt>
                <c:pt idx="18">
                  <c:v>26.22</c:v>
                </c:pt>
                <c:pt idx="19">
                  <c:v>24.34</c:v>
                </c:pt>
                <c:pt idx="20">
                  <c:v>24.65</c:v>
                </c:pt>
                <c:pt idx="21">
                  <c:v>25.64</c:v>
                </c:pt>
                <c:pt idx="22">
                  <c:v>25.734999999999999</c:v>
                </c:pt>
                <c:pt idx="23">
                  <c:v>23.81</c:v>
                </c:pt>
                <c:pt idx="24">
                  <c:v>24.48</c:v>
                </c:pt>
                <c:pt idx="25">
                  <c:v>26.614999999999998</c:v>
                </c:pt>
                <c:pt idx="26">
                  <c:v>29.545000000000002</c:v>
                </c:pt>
                <c:pt idx="27">
                  <c:v>26.925000000000001</c:v>
                </c:pt>
                <c:pt idx="28">
                  <c:v>27.445</c:v>
                </c:pt>
                <c:pt idx="29">
                  <c:v>29.73</c:v>
                </c:pt>
                <c:pt idx="30">
                  <c:v>27.39</c:v>
                </c:pt>
                <c:pt idx="31">
                  <c:v>28.3</c:v>
                </c:pt>
                <c:pt idx="32">
                  <c:v>25.02</c:v>
                </c:pt>
                <c:pt idx="33">
                  <c:v>27.95</c:v>
                </c:pt>
                <c:pt idx="34">
                  <c:v>28.045000000000002</c:v>
                </c:pt>
                <c:pt idx="35">
                  <c:v>24.79</c:v>
                </c:pt>
                <c:pt idx="36">
                  <c:v>28.39</c:v>
                </c:pt>
                <c:pt idx="37">
                  <c:v>28.315000000000001</c:v>
                </c:pt>
                <c:pt idx="38">
                  <c:v>29.56</c:v>
                </c:pt>
                <c:pt idx="39">
                  <c:v>28.96</c:v>
                </c:pt>
                <c:pt idx="40">
                  <c:v>28.03</c:v>
                </c:pt>
                <c:pt idx="41">
                  <c:v>28.905000000000001</c:v>
                </c:pt>
                <c:pt idx="42">
                  <c:v>28.734999999999999</c:v>
                </c:pt>
                <c:pt idx="43">
                  <c:v>30.234999999999999</c:v>
                </c:pt>
                <c:pt idx="44">
                  <c:v>29.565000000000001</c:v>
                </c:pt>
                <c:pt idx="45">
                  <c:v>27.97</c:v>
                </c:pt>
                <c:pt idx="46">
                  <c:v>29.96</c:v>
                </c:pt>
                <c:pt idx="47">
                  <c:v>29.45</c:v>
                </c:pt>
                <c:pt idx="48">
                  <c:v>31.145</c:v>
                </c:pt>
                <c:pt idx="49">
                  <c:v>27.975000000000001</c:v>
                </c:pt>
                <c:pt idx="50">
                  <c:v>29.155000000000001</c:v>
                </c:pt>
                <c:pt idx="51">
                  <c:v>27.405000000000001</c:v>
                </c:pt>
                <c:pt idx="52">
                  <c:v>28.4</c:v>
                </c:pt>
                <c:pt idx="53">
                  <c:v>28.75</c:v>
                </c:pt>
                <c:pt idx="54">
                  <c:v>29</c:v>
                </c:pt>
                <c:pt idx="55">
                  <c:v>25.15</c:v>
                </c:pt>
                <c:pt idx="56">
                  <c:v>29.67</c:v>
                </c:pt>
                <c:pt idx="57">
                  <c:v>32.36</c:v>
                </c:pt>
                <c:pt idx="58">
                  <c:v>29.36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DF-4365-A782-19E155DE8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2920"/>
        <c:axId val="500903312"/>
      </c:scatterChart>
      <c:valAx>
        <c:axId val="500902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(Year)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3312"/>
        <c:crosses val="autoZero"/>
        <c:crossBetween val="midCat"/>
      </c:valAx>
      <c:valAx>
        <c:axId val="500903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BMI (kg / m^2)</a:t>
                </a:r>
              </a:p>
            </c:rich>
          </c:tx>
          <c:layout>
            <c:manualLayout>
              <c:xMode val="edge"/>
              <c:yMode val="edge"/>
              <c:x val="5.5555555555555552E-2"/>
              <c:y val="0.268136532068458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2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HCT!$B$3:$B$63</c:f>
              <c:numCache>
                <c:formatCode>General</c:formatCode>
                <c:ptCount val="61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HCT!$D$3:$D$63</c:f>
              <c:numCache>
                <c:formatCode>General</c:formatCode>
                <c:ptCount val="61"/>
                <c:pt idx="0">
                  <c:v>0.35899999999999999</c:v>
                </c:pt>
                <c:pt idx="1">
                  <c:v>0.35899999999999999</c:v>
                </c:pt>
                <c:pt idx="2">
                  <c:v>0.34298785720000002</c:v>
                </c:pt>
                <c:pt idx="3">
                  <c:v>0.35030012205</c:v>
                </c:pt>
                <c:pt idx="4">
                  <c:v>0.35728796960000003</c:v>
                </c:pt>
                <c:pt idx="5">
                  <c:v>0.36395816875000003</c:v>
                </c:pt>
                <c:pt idx="6">
                  <c:v>0.37031748840000001</c:v>
                </c:pt>
                <c:pt idx="7">
                  <c:v>0.37637269745000002</c:v>
                </c:pt>
                <c:pt idx="8">
                  <c:v>0.38213056480000002</c:v>
                </c:pt>
                <c:pt idx="9">
                  <c:v>0.38759785935000002</c:v>
                </c:pt>
                <c:pt idx="10">
                  <c:v>0.39278135000000003</c:v>
                </c:pt>
                <c:pt idx="11">
                  <c:v>0.39768780565</c:v>
                </c:pt>
                <c:pt idx="12">
                  <c:v>0.40232399520000001</c:v>
                </c:pt>
                <c:pt idx="13">
                  <c:v>0.40669668754999999</c:v>
                </c:pt>
                <c:pt idx="14">
                  <c:v>0.41081265160000002</c:v>
                </c:pt>
                <c:pt idx="15">
                  <c:v>0.41467865625</c:v>
                </c:pt>
                <c:pt idx="16">
                  <c:v>0.41830147039999999</c:v>
                </c:pt>
                <c:pt idx="17">
                  <c:v>0.42168786294999999</c:v>
                </c:pt>
                <c:pt idx="18">
                  <c:v>0.42484460280000003</c:v>
                </c:pt>
                <c:pt idx="19">
                  <c:v>0.42777845884999999</c:v>
                </c:pt>
                <c:pt idx="20">
                  <c:v>0.4304962</c:v>
                </c:pt>
                <c:pt idx="21">
                  <c:v>0.43300459515</c:v>
                </c:pt>
                <c:pt idx="22">
                  <c:v>0.43531041319999997</c:v>
                </c:pt>
                <c:pt idx="23">
                  <c:v>0.43742042305000001</c:v>
                </c:pt>
                <c:pt idx="24">
                  <c:v>0.43934139360000002</c:v>
                </c:pt>
                <c:pt idx="25">
                  <c:v>0.44108009375000001</c:v>
                </c:pt>
                <c:pt idx="26">
                  <c:v>0.4426432924</c:v>
                </c:pt>
                <c:pt idx="27">
                  <c:v>0.44403775844999999</c:v>
                </c:pt>
                <c:pt idx="28">
                  <c:v>0.44527026079999998</c:v>
                </c:pt>
                <c:pt idx="29">
                  <c:v>0.44634756835</c:v>
                </c:pt>
                <c:pt idx="30">
                  <c:v>0.44727644999999999</c:v>
                </c:pt>
                <c:pt idx="31">
                  <c:v>0.44806367465000002</c:v>
                </c:pt>
                <c:pt idx="32">
                  <c:v>0.44871601119999999</c:v>
                </c:pt>
                <c:pt idx="33">
                  <c:v>0.44924022855000001</c:v>
                </c:pt>
                <c:pt idx="34">
                  <c:v>0.44964309559999999</c:v>
                </c:pt>
                <c:pt idx="35">
                  <c:v>0.44993138125000004</c:v>
                </c:pt>
                <c:pt idx="36">
                  <c:v>0.45011185440000001</c:v>
                </c:pt>
                <c:pt idx="37">
                  <c:v>0.45019128395000002</c:v>
                </c:pt>
                <c:pt idx="38">
                  <c:v>0.45017643880000002</c:v>
                </c:pt>
                <c:pt idx="39">
                  <c:v>0.45007408785000003</c:v>
                </c:pt>
                <c:pt idx="40">
                  <c:v>0.44989099999999999</c:v>
                </c:pt>
                <c:pt idx="41">
                  <c:v>0.44963394415000002</c:v>
                </c:pt>
                <c:pt idx="42">
                  <c:v>0.44930968920000003</c:v>
                </c:pt>
                <c:pt idx="43">
                  <c:v>0.44892500404999996</c:v>
                </c:pt>
                <c:pt idx="44">
                  <c:v>0.44848665759999995</c:v>
                </c:pt>
                <c:pt idx="45">
                  <c:v>0.44800141874999999</c:v>
                </c:pt>
                <c:pt idx="46">
                  <c:v>0.44747605639999999</c:v>
                </c:pt>
                <c:pt idx="47">
                  <c:v>0.44691733945000001</c:v>
                </c:pt>
                <c:pt idx="48">
                  <c:v>0.4463320368</c:v>
                </c:pt>
                <c:pt idx="49">
                  <c:v>0.44572691734999997</c:v>
                </c:pt>
                <c:pt idx="50">
                  <c:v>0.44510874999999994</c:v>
                </c:pt>
                <c:pt idx="51">
                  <c:v>0.44448430365000002</c:v>
                </c:pt>
                <c:pt idx="52">
                  <c:v>0.4438603472</c:v>
                </c:pt>
                <c:pt idx="53">
                  <c:v>0.44324364954999995</c:v>
                </c:pt>
                <c:pt idx="54">
                  <c:v>0.44264097959999998</c:v>
                </c:pt>
                <c:pt idx="55">
                  <c:v>0.44205910625</c:v>
                </c:pt>
                <c:pt idx="56">
                  <c:v>0.44150479839999995</c:v>
                </c:pt>
                <c:pt idx="57">
                  <c:v>0.44098482495000008</c:v>
                </c:pt>
                <c:pt idx="58">
                  <c:v>0.44050595479999999</c:v>
                </c:pt>
                <c:pt idx="59">
                  <c:v>0.44007495685000003</c:v>
                </c:pt>
                <c:pt idx="60">
                  <c:v>0.43969860000000005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DD-422B-81E7-D7CC6BB15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0176"/>
        <c:axId val="500904096"/>
      </c:scatterChart>
      <c:valAx>
        <c:axId val="50090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4096"/>
        <c:crosses val="autoZero"/>
        <c:crossBetween val="midCat"/>
      </c:valAx>
      <c:valAx>
        <c:axId val="500904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017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Dead space</a:t>
            </a:r>
          </a:p>
        </c:rich>
      </c:tx>
      <c:layout>
        <c:manualLayout>
          <c:xMode val="edge"/>
          <c:yMode val="edge"/>
          <c:x val="0.73397726812295683"/>
          <c:y val="3.2407407407407406E-2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parameters'!$H$3:$H$64</c:f>
              <c:numCache>
                <c:formatCode>General</c:formatCode>
                <c:ptCount val="62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xVal>
          <c:yVal>
            <c:numRef>
              <c:f>'Pulmonary parameters'!$I$3:$I$64</c:f>
              <c:numCache>
                <c:formatCode>General</c:formatCode>
                <c:ptCount val="62"/>
                <c:pt idx="0">
                  <c:v>1.4696718870561946E-2</c:v>
                </c:pt>
                <c:pt idx="1">
                  <c:v>1.6002971636388953E-2</c:v>
                </c:pt>
                <c:pt idx="2">
                  <c:v>1.8786444266168375E-2</c:v>
                </c:pt>
                <c:pt idx="3">
                  <c:v>2.4968842505434873E-2</c:v>
                </c:pt>
                <c:pt idx="4">
                  <c:v>3.1811878656488393E-2</c:v>
                </c:pt>
                <c:pt idx="5">
                  <c:v>3.9097272184781359E-2</c:v>
                </c:pt>
                <c:pt idx="6">
                  <c:v>4.6600799289301283E-2</c:v>
                </c:pt>
                <c:pt idx="7">
                  <c:v>5.4113826522727712E-2</c:v>
                </c:pt>
                <c:pt idx="8">
                  <c:v>6.1457557135658786E-2</c:v>
                </c:pt>
                <c:pt idx="9">
                  <c:v>6.8490194392898648E-2</c:v>
                </c:pt>
                <c:pt idx="10">
                  <c:v>7.5108370527865231E-2</c:v>
                </c:pt>
                <c:pt idx="11">
                  <c:v>8.1244591779651487E-2</c:v>
                </c:pt>
                <c:pt idx="12">
                  <c:v>8.6862361985254696E-2</c:v>
                </c:pt>
                <c:pt idx="13">
                  <c:v>9.1950315234904823E-2</c:v>
                </c:pt>
                <c:pt idx="14">
                  <c:v>9.6516289811889672E-2</c:v>
                </c:pt>
                <c:pt idx="15">
                  <c:v>0.10058191321539968</c:v>
                </c:pt>
                <c:pt idx="16">
                  <c:v>0.10417798503137558</c:v>
                </c:pt>
                <c:pt idx="17">
                  <c:v>0.10734074761075682</c:v>
                </c:pt>
                <c:pt idx="18">
                  <c:v>0.11010901229876653</c:v>
                </c:pt>
                <c:pt idx="19">
                  <c:v>0.11252204328992306</c:v>
                </c:pt>
                <c:pt idx="20">
                  <c:v>0.11461807427260852</c:v>
                </c:pt>
                <c:pt idx="21">
                  <c:v>0.1164333302456125</c:v>
                </c:pt>
                <c:pt idx="22">
                  <c:v>0.11800143747890274</c:v>
                </c:pt>
                <c:pt idx="23">
                  <c:v>0.11935312130043983</c:v>
                </c:pt>
                <c:pt idx="24">
                  <c:v>0.1205161097213802</c:v>
                </c:pt>
                <c:pt idx="25">
                  <c:v>0.12151517833192617</c:v>
                </c:pt>
                <c:pt idx="26">
                  <c:v>0.12237228718165492</c:v>
                </c:pt>
                <c:pt idx="27">
                  <c:v>0.1231067730776145</c:v>
                </c:pt>
                <c:pt idx="28">
                  <c:v>0.12373557092290143</c:v>
                </c:pt>
                <c:pt idx="29">
                  <c:v>0.12427344563867948</c:v>
                </c:pt>
                <c:pt idx="30">
                  <c:v>0.12473322221423393</c:v>
                </c:pt>
                <c:pt idx="31">
                  <c:v>0.12512600587385228</c:v>
                </c:pt>
                <c:pt idx="32">
                  <c:v>0.12546138756728403</c:v>
                </c:pt>
                <c:pt idx="33">
                  <c:v>0.12574763226634367</c:v>
                </c:pt>
                <c:pt idx="34">
                  <c:v>0.12599184911705252</c:v>
                </c:pt>
                <c:pt idx="35">
                  <c:v>0.12620014353997625</c:v>
                </c:pt>
                <c:pt idx="36">
                  <c:v>0.12637775203497922</c:v>
                </c:pt>
                <c:pt idx="37">
                  <c:v>0.12652916083993904</c:v>
                </c:pt>
                <c:pt idx="38">
                  <c:v>0.12665820979789813</c:v>
                </c:pt>
                <c:pt idx="39">
                  <c:v>0.12676818286396122</c:v>
                </c:pt>
                <c:pt idx="40">
                  <c:v>0.12686188667571027</c:v>
                </c:pt>
                <c:pt idx="41">
                  <c:v>0.1269417185502624</c:v>
                </c:pt>
                <c:pt idx="42">
                  <c:v>0.1270097251793097</c:v>
                </c:pt>
                <c:pt idx="43">
                  <c:v>0.12706765318570715</c:v>
                </c:pt>
                <c:pt idx="44">
                  <c:v>0.12711699259161419</c:v>
                </c:pt>
                <c:pt idx="45">
                  <c:v>0.12715901413550706</c:v>
                </c:pt>
                <c:pt idx="46">
                  <c:v>0.12719480126771116</c:v>
                </c:pt>
                <c:pt idx="47">
                  <c:v>0.12722527755385585</c:v>
                </c:pt>
                <c:pt idx="48">
                  <c:v>0.12725123012404246</c:v>
                </c:pt>
                <c:pt idx="49">
                  <c:v>0.12727332972294519</c:v>
                </c:pt>
                <c:pt idx="50">
                  <c:v>0.12729214784243464</c:v>
                </c:pt>
                <c:pt idx="51">
                  <c:v>0.12730817135319969</c:v>
                </c:pt>
                <c:pt idx="52">
                  <c:v>0.12732181499463927</c:v>
                </c:pt>
                <c:pt idx="53">
                  <c:v>0.12733343203231029</c:v>
                </c:pt>
                <c:pt idx="54">
                  <c:v>0.12734332334872664</c:v>
                </c:pt>
                <c:pt idx="55">
                  <c:v>0.12735174519559811</c:v>
                </c:pt>
                <c:pt idx="56">
                  <c:v>0.1273589158030039</c:v>
                </c:pt>
                <c:pt idx="57">
                  <c:v>0.12736502101288669</c:v>
                </c:pt>
                <c:pt idx="58">
                  <c:v>0.12737021908006227</c:v>
                </c:pt>
                <c:pt idx="59">
                  <c:v>0.12737464476315699</c:v>
                </c:pt>
                <c:pt idx="60">
                  <c:v>0.12737841281005188</c:v>
                </c:pt>
                <c:pt idx="61">
                  <c:v>0.12738162092713276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CC-4FF8-9CD0-97677FCEBDBE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'Pulmonary parameters'!$B$4:$B$9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parameters'!$C$4:$C$9</c:f>
              <c:numCache>
                <c:formatCode>General</c:formatCode>
                <c:ptCount val="6"/>
                <c:pt idx="0">
                  <c:v>1.4E-2</c:v>
                </c:pt>
                <c:pt idx="1">
                  <c:v>0.02</c:v>
                </c:pt>
                <c:pt idx="2">
                  <c:v>4.5999999999999999E-2</c:v>
                </c:pt>
                <c:pt idx="3">
                  <c:v>7.8E-2</c:v>
                </c:pt>
                <c:pt idx="4">
                  <c:v>0.11</c:v>
                </c:pt>
                <c:pt idx="5">
                  <c:v>0.12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CC-4FF8-9CD0-97677FCEB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5272"/>
        <c:axId val="500905664"/>
      </c:scatterChart>
      <c:valAx>
        <c:axId val="500905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5664"/>
        <c:crosses val="autoZero"/>
        <c:crossBetween val="midCat"/>
      </c:valAx>
      <c:valAx>
        <c:axId val="500905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Dead space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5272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TV at resting</a:t>
            </a:r>
          </a:p>
        </c:rich>
      </c:tx>
      <c:layout>
        <c:manualLayout>
          <c:xMode val="edge"/>
          <c:yMode val="edge"/>
          <c:x val="0.67748411198116687"/>
          <c:y val="2.4201685796691231E-2"/>
        </c:manualLayout>
      </c:layout>
      <c:overlay val="0"/>
      <c:spPr>
        <a:noFill/>
        <a:ln>
          <a:solidFill>
            <a:srgbClr val="5B9BD5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parameters'!$B$71:$B$132</c:f>
              <c:numCache>
                <c:formatCode>General</c:formatCode>
                <c:ptCount val="62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xVal>
          <c:yVal>
            <c:numRef>
              <c:f>'Pulmonary parameters'!$C$71:$C$132</c:f>
              <c:numCache>
                <c:formatCode>General</c:formatCode>
                <c:ptCount val="62"/>
                <c:pt idx="0">
                  <c:v>3.966559704469344E-2</c:v>
                </c:pt>
                <c:pt idx="1">
                  <c:v>5.0533515530634981E-2</c:v>
                </c:pt>
                <c:pt idx="2">
                  <c:v>7.0373512732948784E-2</c:v>
                </c:pt>
                <c:pt idx="3">
                  <c:v>0.10557496731573351</c:v>
                </c:pt>
                <c:pt idx="4">
                  <c:v>0.136766796243807</c:v>
                </c:pt>
                <c:pt idx="5">
                  <c:v>0.16498467428087915</c:v>
                </c:pt>
                <c:pt idx="6">
                  <c:v>0.19080462370617624</c:v>
                </c:pt>
                <c:pt idx="7">
                  <c:v>0.2105753042777555</c:v>
                </c:pt>
                <c:pt idx="8">
                  <c:v>0.24057879625523504</c:v>
                </c:pt>
                <c:pt idx="9">
                  <c:v>0.26856772686598995</c:v>
                </c:pt>
                <c:pt idx="10">
                  <c:v>0.29413316653580179</c:v>
                </c:pt>
                <c:pt idx="11">
                  <c:v>0.31708184865149769</c:v>
                </c:pt>
                <c:pt idx="12">
                  <c:v>0.33738721520106352</c:v>
                </c:pt>
                <c:pt idx="13">
                  <c:v>0.35514123714527446</c:v>
                </c:pt>
                <c:pt idx="14">
                  <c:v>0.37051258688828209</c:v>
                </c:pt>
                <c:pt idx="15">
                  <c:v>0.38371331110330154</c:v>
                </c:pt>
                <c:pt idx="16">
                  <c:v>0.3949740450806723</c:v>
                </c:pt>
                <c:pt idx="17">
                  <c:v>0.40452672562638747</c:v>
                </c:pt>
                <c:pt idx="18">
                  <c:v>0.41259335294505389</c:v>
                </c:pt>
                <c:pt idx="19">
                  <c:v>0.41937933711489428</c:v>
                </c:pt>
                <c:pt idx="20">
                  <c:v>0.42507014184365133</c:v>
                </c:pt>
                <c:pt idx="21">
                  <c:v>0.42983018361703773</c:v>
                </c:pt>
                <c:pt idx="22">
                  <c:v>0.43380319039655862</c:v>
                </c:pt>
                <c:pt idx="23">
                  <c:v>0.43711343913167361</c:v>
                </c:pt>
                <c:pt idx="24">
                  <c:v>0.43986746508858982</c:v>
                </c:pt>
                <c:pt idx="25">
                  <c:v>0.44215596896603776</c:v>
                </c:pt>
                <c:pt idx="26">
                  <c:v>0.4440557454516687</c:v>
                </c:pt>
                <c:pt idx="27">
                  <c:v>0.44563152621106872</c:v>
                </c:pt>
                <c:pt idx="28">
                  <c:v>0.44693767797740414</c:v>
                </c:pt>
                <c:pt idx="29">
                  <c:v>0.44801972813258095</c:v>
                </c:pt>
                <c:pt idx="30">
                  <c:v>0.4489157104928681</c:v>
                </c:pt>
                <c:pt idx="31">
                  <c:v>0.449657336400267</c:v>
                </c:pt>
                <c:pt idx="32">
                  <c:v>0.4502710032286294</c:v>
                </c:pt>
                <c:pt idx="33">
                  <c:v>0.45077865587126342</c:v>
                </c:pt>
                <c:pt idx="34">
                  <c:v>0.45119851796742338</c:v>
                </c:pt>
                <c:pt idx="35">
                  <c:v>0.45154570942887906</c:v>
                </c:pt>
                <c:pt idx="36">
                  <c:v>0.45183276583586046</c:v>
                </c:pt>
                <c:pt idx="37">
                  <c:v>0.4520700738718133</c:v>
                </c:pt>
                <c:pt idx="38">
                  <c:v>0.452266235405761</c:v>
                </c:pt>
                <c:pt idx="39">
                  <c:v>0.45242837126132474</c:v>
                </c:pt>
                <c:pt idx="40">
                  <c:v>0.45256237422060491</c:v>
                </c:pt>
                <c:pt idx="41">
                  <c:v>0.45267311944555183</c:v>
                </c:pt>
                <c:pt idx="42">
                  <c:v>0.45276463927903549</c:v>
                </c:pt>
                <c:pt idx="43">
                  <c:v>0.45284026831611596</c:v>
                </c:pt>
                <c:pt idx="44">
                  <c:v>0.45290276370702998</c:v>
                </c:pt>
                <c:pt idx="45">
                  <c:v>0.45295440485600674</c:v>
                </c:pt>
                <c:pt idx="46">
                  <c:v>0.45299707600073302</c:v>
                </c:pt>
                <c:pt idx="47">
                  <c:v>0.45303233458202569</c:v>
                </c:pt>
                <c:pt idx="48">
                  <c:v>0.45306146782838302</c:v>
                </c:pt>
                <c:pt idx="49">
                  <c:v>0.45308553957290049</c:v>
                </c:pt>
                <c:pt idx="50">
                  <c:v>0.45310542897912137</c:v>
                </c:pt>
                <c:pt idx="51">
                  <c:v>0.4531218625676548</c:v>
                </c:pt>
                <c:pt idx="52">
                  <c:v>0.45313544069803807</c:v>
                </c:pt>
                <c:pt idx="53">
                  <c:v>0.45314665946278182</c:v>
                </c:pt>
                <c:pt idx="54">
                  <c:v>0.45315592878634514</c:v>
                </c:pt>
                <c:pt idx="55">
                  <c:v>0.45316358738546297</c:v>
                </c:pt>
                <c:pt idx="56">
                  <c:v>0.45316991513415578</c:v>
                </c:pt>
                <c:pt idx="57">
                  <c:v>0.45317514328300157</c:v>
                </c:pt>
                <c:pt idx="58">
                  <c:v>0.45317946290457878</c:v>
                </c:pt>
                <c:pt idx="59">
                  <c:v>0.45318303187267084</c:v>
                </c:pt>
                <c:pt idx="60">
                  <c:v>0.45318598062958115</c:v>
                </c:pt>
                <c:pt idx="61">
                  <c:v>0.45318841695185297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8A-4C8A-BFCE-B8242B615F96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'Pulmonary parameters'!$B$4:$B$9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parameters'!$D$4:$D$9</c:f>
              <c:numCache>
                <c:formatCode>General</c:formatCode>
                <c:ptCount val="6"/>
                <c:pt idx="0">
                  <c:v>3.9E-2</c:v>
                </c:pt>
                <c:pt idx="1">
                  <c:v>7.3999999999999996E-2</c:v>
                </c:pt>
                <c:pt idx="2">
                  <c:v>0.17</c:v>
                </c:pt>
                <c:pt idx="3">
                  <c:v>0.3</c:v>
                </c:pt>
                <c:pt idx="4">
                  <c:v>0.42</c:v>
                </c:pt>
                <c:pt idx="5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8A-4C8A-BFCE-B8242B615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69048"/>
        <c:axId val="503369440"/>
      </c:scatterChart>
      <c:valAx>
        <c:axId val="503369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69440"/>
        <c:crosses val="autoZero"/>
        <c:crossBetween val="midCat"/>
      </c:valAx>
      <c:valAx>
        <c:axId val="503369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Tidal Volume at resting (L)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6904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RESPR at resting</a:t>
            </a:r>
          </a:p>
        </c:rich>
      </c:tx>
      <c:layout>
        <c:manualLayout>
          <c:xMode val="edge"/>
          <c:yMode val="edge"/>
          <c:x val="0.63701923076923084"/>
          <c:y val="2.7965050293051078E-2"/>
        </c:manualLayout>
      </c:layout>
      <c:overlay val="0"/>
      <c:spPr>
        <a:noFill/>
        <a:ln>
          <a:solidFill>
            <a:srgbClr val="5B9BD5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parameters'!$B$138:$B$199</c:f>
              <c:numCache>
                <c:formatCode>General</c:formatCode>
                <c:ptCount val="62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xVal>
          <c:yVal>
            <c:numRef>
              <c:f>'Pulmonary parameters'!$C$138:$C$199</c:f>
              <c:numCache>
                <c:formatCode>General</c:formatCode>
                <c:ptCount val="62"/>
                <c:pt idx="0">
                  <c:v>98.575108747755152</c:v>
                </c:pt>
                <c:pt idx="1">
                  <c:v>109.63989472815658</c:v>
                </c:pt>
                <c:pt idx="2">
                  <c:v>131.945342397964</c:v>
                </c:pt>
                <c:pt idx="3">
                  <c:v>174.78862083812825</c:v>
                </c:pt>
                <c:pt idx="4">
                  <c:v>212.13089213754728</c:v>
                </c:pt>
                <c:pt idx="5">
                  <c:v>242.38654734451913</c:v>
                </c:pt>
                <c:pt idx="6">
                  <c:v>265.69379111911081</c:v>
                </c:pt>
                <c:pt idx="7">
                  <c:v>283.03343048073123</c:v>
                </c:pt>
                <c:pt idx="8">
                  <c:v>295.62697811845226</c:v>
                </c:pt>
                <c:pt idx="9">
                  <c:v>304.62314213146016</c:v>
                </c:pt>
                <c:pt idx="10">
                  <c:v>310.97652923242873</c:v>
                </c:pt>
                <c:pt idx="11">
                  <c:v>315.42832146177966</c:v>
                </c:pt>
                <c:pt idx="12">
                  <c:v>318.5308058695083</c:v>
                </c:pt>
                <c:pt idx="13">
                  <c:v>320.68488835667438</c:v>
                </c:pt>
                <c:pt idx="14">
                  <c:v>322.17664483829867</c:v>
                </c:pt>
                <c:pt idx="15">
                  <c:v>323.20789538175381</c:v>
                </c:pt>
                <c:pt idx="16">
                  <c:v>323.91992921342694</c:v>
                </c:pt>
                <c:pt idx="17">
                  <c:v>324.41114488526313</c:v>
                </c:pt>
                <c:pt idx="18">
                  <c:v>324.74982722474084</c:v>
                </c:pt>
                <c:pt idx="19">
                  <c:v>324.98324819729345</c:v>
                </c:pt>
                <c:pt idx="20">
                  <c:v>325.14407856628753</c:v>
                </c:pt>
                <c:pt idx="21">
                  <c:v>325.25487204600768</c:v>
                </c:pt>
                <c:pt idx="22">
                  <c:v>325.33118598207949</c:v>
                </c:pt>
                <c:pt idx="23">
                  <c:v>325.38374589101767</c:v>
                </c:pt>
                <c:pt idx="24">
                  <c:v>325.41994339020846</c:v>
                </c:pt>
                <c:pt idx="25">
                  <c:v>325.444871197829</c:v>
                </c:pt>
                <c:pt idx="26">
                  <c:v>325.46203750581134</c:v>
                </c:pt>
                <c:pt idx="27">
                  <c:v>325.47385868959287</c:v>
                </c:pt>
                <c:pt idx="28">
                  <c:v>325.48199896345182</c:v>
                </c:pt>
                <c:pt idx="29">
                  <c:v>325.48760444484446</c:v>
                </c:pt>
                <c:pt idx="30">
                  <c:v>325.49146441510749</c:v>
                </c:pt>
                <c:pt idx="31">
                  <c:v>325.49412240323102</c:v>
                </c:pt>
                <c:pt idx="32">
                  <c:v>325.49595269682277</c:v>
                </c:pt>
                <c:pt idx="33">
                  <c:v>325.49721303632924</c:v>
                </c:pt>
                <c:pt idx="34">
                  <c:v>325.49808090437523</c:v>
                </c:pt>
                <c:pt idx="35">
                  <c:v>325.49867851650646</c:v>
                </c:pt>
                <c:pt idx="36">
                  <c:v>325.49909003068842</c:v>
                </c:pt>
                <c:pt idx="37">
                  <c:v>325.49937339816273</c:v>
                </c:pt>
                <c:pt idx="38">
                  <c:v>325.49956852412021</c:v>
                </c:pt>
                <c:pt idx="39">
                  <c:v>325.4997028872142</c:v>
                </c:pt>
                <c:pt idx="40">
                  <c:v>325.4997954091852</c:v>
                </c:pt>
                <c:pt idx="41">
                  <c:v>325.49985911949386</c:v>
                </c:pt>
                <c:pt idx="42">
                  <c:v>325.49990299018839</c:v>
                </c:pt>
                <c:pt idx="43">
                  <c:v>325.49993319939279</c:v>
                </c:pt>
                <c:pt idx="44">
                  <c:v>325.49995400134293</c:v>
                </c:pt>
                <c:pt idx="45">
                  <c:v>325.49996832549107</c:v>
                </c:pt>
                <c:pt idx="46">
                  <c:v>325.49997818904779</c:v>
                </c:pt>
                <c:pt idx="47">
                  <c:v>325.49998498105731</c:v>
                </c:pt>
                <c:pt idx="48">
                  <c:v>325.49998965801052</c:v>
                </c:pt>
                <c:pt idx="49">
                  <c:v>325.49999287854359</c:v>
                </c:pt>
                <c:pt idx="50">
                  <c:v>325.49999509619096</c:v>
                </c:pt>
                <c:pt idx="51">
                  <c:v>325.4999966232549</c:v>
                </c:pt>
                <c:pt idx="52">
                  <c:v>325.49999767478556</c:v>
                </c:pt>
                <c:pt idx="53">
                  <c:v>325.49999839886578</c:v>
                </c:pt>
                <c:pt idx="54">
                  <c:v>325.49999889746476</c:v>
                </c:pt>
                <c:pt idx="55">
                  <c:v>325.49999924079827</c:v>
                </c:pt>
                <c:pt idx="56">
                  <c:v>325.49999947721642</c:v>
                </c:pt>
                <c:pt idx="57">
                  <c:v>325.49999964001313</c:v>
                </c:pt>
                <c:pt idx="58">
                  <c:v>325.49999975211438</c:v>
                </c:pt>
                <c:pt idx="59">
                  <c:v>325.49999982930683</c:v>
                </c:pt>
                <c:pt idx="60">
                  <c:v>325.49999988246134</c:v>
                </c:pt>
                <c:pt idx="61">
                  <c:v>325.49999991906333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FA-4D35-AD73-9C0D300A4BA4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'Pulmonary parameters'!$B$4:$B$9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parameters'!$E$4:$E$9</c:f>
              <c:numCache>
                <c:formatCode>General</c:formatCode>
                <c:ptCount val="6"/>
                <c:pt idx="0">
                  <c:v>90</c:v>
                </c:pt>
                <c:pt idx="1">
                  <c:v>150</c:v>
                </c:pt>
                <c:pt idx="2">
                  <c:v>240</c:v>
                </c:pt>
                <c:pt idx="3">
                  <c:v>310</c:v>
                </c:pt>
                <c:pt idx="4">
                  <c:v>350</c:v>
                </c:pt>
                <c:pt idx="5">
                  <c:v>320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FA-4D35-AD73-9C0D300A4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1400"/>
        <c:axId val="503371792"/>
      </c:scatterChart>
      <c:valAx>
        <c:axId val="503371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1792"/>
        <c:crosses val="autoZero"/>
        <c:crossBetween val="midCat"/>
      </c:valAx>
      <c:valAx>
        <c:axId val="503371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RESPR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1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TV at light excercice</a:t>
            </a:r>
          </a:p>
        </c:rich>
      </c:tx>
      <c:layout>
        <c:manualLayout>
          <c:xMode val="edge"/>
          <c:yMode val="edge"/>
          <c:x val="0.70773379354593213"/>
          <c:y val="3.3523821590876912E-2"/>
        </c:manualLayout>
      </c:layout>
      <c:overlay val="0"/>
      <c:spPr>
        <a:noFill/>
        <a:ln>
          <a:solidFill>
            <a:srgbClr val="5B9BD5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'Pulmonary parameters'!$H$71:$H$132</c:f>
              <c:numCache>
                <c:formatCode>General</c:formatCode>
                <c:ptCount val="62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</c:numCache>
            </c:numRef>
          </c:xVal>
          <c:yVal>
            <c:numRef>
              <c:f>'Pulmonary parameters'!$I$71:$I$132</c:f>
              <c:numCache>
                <c:formatCode>General</c:formatCode>
                <c:ptCount val="62"/>
                <c:pt idx="0">
                  <c:v>7.9527946435074437E-2</c:v>
                </c:pt>
                <c:pt idx="1">
                  <c:v>8.6990571277000411E-2</c:v>
                </c:pt>
                <c:pt idx="2">
                  <c:v>0.1031593642082161</c:v>
                </c:pt>
                <c:pt idx="3">
                  <c:v>0.11136703196481797</c:v>
                </c:pt>
                <c:pt idx="4">
                  <c:v>0.12997243786748075</c:v>
                </c:pt>
                <c:pt idx="5">
                  <c:v>0.16487177554851426</c:v>
                </c:pt>
                <c:pt idx="6">
                  <c:v>0.21777762381837842</c:v>
                </c:pt>
                <c:pt idx="7">
                  <c:v>0.28676605925309867</c:v>
                </c:pt>
                <c:pt idx="8">
                  <c:v>0.36675846885687746</c:v>
                </c:pt>
                <c:pt idx="9">
                  <c:v>0.45118838885461143</c:v>
                </c:pt>
                <c:pt idx="10">
                  <c:v>0.53392434274110057</c:v>
                </c:pt>
                <c:pt idx="11">
                  <c:v>0.61052484129080198</c:v>
                </c:pt>
                <c:pt idx="12">
                  <c:v>0.67855025702988214</c:v>
                </c:pt>
                <c:pt idx="13">
                  <c:v>0.73722248608136776</c:v>
                </c:pt>
                <c:pt idx="14">
                  <c:v>0.78685739280598999</c:v>
                </c:pt>
                <c:pt idx="15">
                  <c:v>0.82834995263900446</c:v>
                </c:pt>
                <c:pt idx="16">
                  <c:v>0.86281302458072218</c:v>
                </c:pt>
                <c:pt idx="17">
                  <c:v>0.89136475866302434</c:v>
                </c:pt>
                <c:pt idx="18">
                  <c:v>0.91502325921662941</c:v>
                </c:pt>
                <c:pt idx="19">
                  <c:v>0.93466693762355202</c:v>
                </c:pt>
                <c:pt idx="20">
                  <c:v>0.95103028211595808</c:v>
                </c:pt>
                <c:pt idx="21">
                  <c:v>0.96471621078639869</c:v>
                </c:pt>
                <c:pt idx="22">
                  <c:v>0.9762144782906077</c:v>
                </c:pt>
                <c:pt idx="23">
                  <c:v>0.98592079352908546</c:v>
                </c:pt>
                <c:pt idx="24">
                  <c:v>0.99415425496543175</c:v>
                </c:pt>
                <c:pt idx="25">
                  <c:v>1.0011722657060185</c:v>
                </c:pt>
                <c:pt idx="26">
                  <c:v>1.0071828473907005</c:v>
                </c:pt>
                <c:pt idx="27">
                  <c:v>1.0123545989172826</c:v>
                </c:pt>
                <c:pt idx="28">
                  <c:v>1.0168246546788522</c:v>
                </c:pt>
                <c:pt idx="29">
                  <c:v>1.0207050026041948</c:v>
                </c:pt>
                <c:pt idx="30">
                  <c:v>1.0240874848391681</c:v>
                </c:pt>
                <c:pt idx="31">
                  <c:v>1.0270477530666033</c:v>
                </c:pt>
                <c:pt idx="32">
                  <c:v>1.0296483999019048</c:v>
                </c:pt>
                <c:pt idx="33">
                  <c:v>1.0319414430439848</c:v>
                </c:pt>
                <c:pt idx="34">
                  <c:v>1.0339703014772734</c:v>
                </c:pt>
                <c:pt idx="35">
                  <c:v>1.0357713728001572</c:v>
                </c:pt>
                <c:pt idx="36">
                  <c:v>1.0373752967949614</c:v>
                </c:pt>
                <c:pt idx="37">
                  <c:v>1.0388079715773473</c:v>
                </c:pt>
                <c:pt idx="38">
                  <c:v>1.0400913740465108</c:v>
                </c:pt>
                <c:pt idx="39">
                  <c:v>1.0412442250202172</c:v>
                </c:pt>
                <c:pt idx="40">
                  <c:v>1.0422825306567205</c:v>
                </c:pt>
                <c:pt idx="41">
                  <c:v>1.0432200249619774</c:v>
                </c:pt>
                <c:pt idx="42">
                  <c:v>1.0440685329030934</c:v>
                </c:pt>
                <c:pt idx="43">
                  <c:v>1.0448382695470595</c:v>
                </c:pt>
                <c:pt idx="44">
                  <c:v>1.0455380874475924</c:v>
                </c:pt>
                <c:pt idx="45">
                  <c:v>1.0461756820049617</c:v>
                </c:pt>
                <c:pt idx="46">
                  <c:v>1.0467577625652678</c:v>
                </c:pt>
                <c:pt idx="47">
                  <c:v>1.0472901954849558</c:v>
                </c:pt>
                <c:pt idx="48">
                  <c:v>1.047778124170071</c:v>
                </c:pt>
                <c:pt idx="49">
                  <c:v>1.0482260701360966</c:v>
                </c:pt>
                <c:pt idx="50">
                  <c:v>1.0486380183679642</c:v>
                </c:pt>
                <c:pt idx="51">
                  <c:v>1.0490174896483229</c:v>
                </c:pt>
                <c:pt idx="52">
                  <c:v>1.0493676020323672</c:v>
                </c:pt>
                <c:pt idx="53">
                  <c:v>1.049691123253875</c:v>
                </c:pt>
                <c:pt idx="54">
                  <c:v>1.0499905155295337</c:v>
                </c:pt>
                <c:pt idx="55">
                  <c:v>1.0502679739716179</c:v>
                </c:pt>
                <c:pt idx="56">
                  <c:v>1.0505254596103069</c:v>
                </c:pt>
                <c:pt idx="57">
                  <c:v>1.0507647278568126</c:v>
                </c:pt>
                <c:pt idx="58">
                  <c:v>1.0509873530993916</c:v>
                </c:pt>
                <c:pt idx="59">
                  <c:v>1.0511947500102319</c:v>
                </c:pt>
                <c:pt idx="60">
                  <c:v>1.0513881920473374</c:v>
                </c:pt>
                <c:pt idx="61">
                  <c:v>1.0515688275580599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48-4A00-A060-F15A60731195}"/>
            </c:ext>
          </c:extLst>
        </c:ser>
        <c:ser>
          <c:idx val="1"/>
          <c:order val="1"/>
          <c:tx>
            <c:v>Observed mean (IRCP, 2003)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'Pulmonary parameters'!$B$25:$B$30</c:f>
              <c:numCache>
                <c:formatCode>General</c:formatCode>
                <c:ptCount val="6"/>
                <c:pt idx="0">
                  <c:v>0.25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25</c:v>
                </c:pt>
              </c:numCache>
            </c:numRef>
          </c:xVal>
          <c:yVal>
            <c:numRef>
              <c:f>'Pulmonary parameters'!$D$25:$D$30</c:f>
              <c:numCache>
                <c:formatCode>General</c:formatCode>
                <c:ptCount val="6"/>
                <c:pt idx="0">
                  <c:v>6.6000000000000003E-2</c:v>
                </c:pt>
                <c:pt idx="1">
                  <c:v>0.13</c:v>
                </c:pt>
                <c:pt idx="2">
                  <c:v>0.24</c:v>
                </c:pt>
                <c:pt idx="3">
                  <c:v>0.57999999999999996</c:v>
                </c:pt>
                <c:pt idx="4">
                  <c:v>0.9</c:v>
                </c:pt>
                <c:pt idx="5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48-4A00-A060-F15A60731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3360"/>
        <c:axId val="503373752"/>
      </c:scatterChart>
      <c:valAx>
        <c:axId val="503373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3752"/>
        <c:crosses val="autoZero"/>
        <c:crossBetween val="midCat"/>
      </c:valAx>
      <c:valAx>
        <c:axId val="503373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Tidal volume at light exercise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3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178593</xdr:colOff>
      <xdr:row>13</xdr:row>
      <xdr:rowOff>381003</xdr:rowOff>
    </xdr:from>
    <xdr:to>
      <xdr:col>21</xdr:col>
      <xdr:colOff>571500</xdr:colOff>
      <xdr:row>33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204108</xdr:colOff>
      <xdr:row>0</xdr:row>
      <xdr:rowOff>315686</xdr:rowOff>
    </xdr:from>
    <xdr:to>
      <xdr:col>16</xdr:col>
      <xdr:colOff>517072</xdr:colOff>
      <xdr:row>11</xdr:row>
      <xdr:rowOff>176892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217716</xdr:colOff>
      <xdr:row>12</xdr:row>
      <xdr:rowOff>84363</xdr:rowOff>
    </xdr:from>
    <xdr:to>
      <xdr:col>16</xdr:col>
      <xdr:colOff>598715</xdr:colOff>
      <xdr:row>29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107156</xdr:colOff>
      <xdr:row>1</xdr:row>
      <xdr:rowOff>88106</xdr:rowOff>
    </xdr:from>
    <xdr:to>
      <xdr:col>13</xdr:col>
      <xdr:colOff>411956</xdr:colOff>
      <xdr:row>12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119063</xdr:colOff>
      <xdr:row>12</xdr:row>
      <xdr:rowOff>166687</xdr:rowOff>
    </xdr:from>
    <xdr:to>
      <xdr:col>13</xdr:col>
      <xdr:colOff>423863</xdr:colOff>
      <xdr:row>26</xdr:row>
      <xdr:rowOff>107157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292553</xdr:colOff>
      <xdr:row>1</xdr:row>
      <xdr:rowOff>95250</xdr:rowOff>
    </xdr:from>
    <xdr:to>
      <xdr:col>16</xdr:col>
      <xdr:colOff>259897</xdr:colOff>
      <xdr:row>9</xdr:row>
      <xdr:rowOff>92528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302078</xdr:colOff>
      <xdr:row>9</xdr:row>
      <xdr:rowOff>204106</xdr:rowOff>
    </xdr:from>
    <xdr:to>
      <xdr:col>16</xdr:col>
      <xdr:colOff>266700</xdr:colOff>
      <xdr:row>22</xdr:row>
      <xdr:rowOff>133349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342899</xdr:colOff>
      <xdr:row>1</xdr:row>
      <xdr:rowOff>156482</xdr:rowOff>
    </xdr:from>
    <xdr:to>
      <xdr:col>16</xdr:col>
      <xdr:colOff>95250</xdr:colOff>
      <xdr:row>9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583404</xdr:colOff>
      <xdr:row>19</xdr:row>
      <xdr:rowOff>190500</xdr:rowOff>
    </xdr:from>
    <xdr:to>
      <xdr:col>12</xdr:col>
      <xdr:colOff>95250</xdr:colOff>
      <xdr:row>35</xdr:row>
      <xdr:rowOff>11906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619123</xdr:colOff>
      <xdr:row>6</xdr:row>
      <xdr:rowOff>214313</xdr:rowOff>
    </xdr:from>
    <xdr:to>
      <xdr:col>12</xdr:col>
      <xdr:colOff>83342</xdr:colOff>
      <xdr:row>19</xdr:row>
      <xdr:rowOff>71437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0</xdr:row>
      <xdr:rowOff>92868</xdr:rowOff>
    </xdr:from>
    <xdr:to>
      <xdr:col>15</xdr:col>
      <xdr:colOff>0</xdr:colOff>
      <xdr:row>7</xdr:row>
      <xdr:rowOff>192880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138112</xdr:colOff>
      <xdr:row>3</xdr:row>
      <xdr:rowOff>152399</xdr:rowOff>
    </xdr:from>
    <xdr:to>
      <xdr:col>13</xdr:col>
      <xdr:colOff>309562</xdr:colOff>
      <xdr:row>7</xdr:row>
      <xdr:rowOff>121443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172518</xdr:colOff>
      <xdr:row>7</xdr:row>
      <xdr:rowOff>201921</xdr:rowOff>
    </xdr:from>
    <xdr:to>
      <xdr:col>13</xdr:col>
      <xdr:colOff>343968</xdr:colOff>
      <xdr:row>20</xdr:row>
      <xdr:rowOff>183115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88106</xdr:colOff>
      <xdr:row>1</xdr:row>
      <xdr:rowOff>47624</xdr:rowOff>
    </xdr:from>
    <xdr:to>
      <xdr:col>13</xdr:col>
      <xdr:colOff>392906</xdr:colOff>
      <xdr:row>5</xdr:row>
      <xdr:rowOff>183356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6</xdr:row>
      <xdr:rowOff>95250</xdr:rowOff>
    </xdr:from>
    <xdr:to>
      <xdr:col>13</xdr:col>
      <xdr:colOff>438150</xdr:colOff>
      <xdr:row>17</xdr:row>
      <xdr:rowOff>285750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373857</xdr:colOff>
      <xdr:row>1</xdr:row>
      <xdr:rowOff>33337</xdr:rowOff>
    </xdr:from>
    <xdr:to>
      <xdr:col>14</xdr:col>
      <xdr:colOff>71438</xdr:colOff>
      <xdr:row>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373856</xdr:colOff>
      <xdr:row>9</xdr:row>
      <xdr:rowOff>126207</xdr:rowOff>
    </xdr:from>
    <xdr:to>
      <xdr:col>14</xdr:col>
      <xdr:colOff>71437</xdr:colOff>
      <xdr:row>23</xdr:row>
      <xdr:rowOff>69056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1014304</xdr:colOff>
      <xdr:row>0</xdr:row>
      <xdr:rowOff>81113</xdr:rowOff>
    </xdr:from>
    <xdr:to>
      <xdr:col>8</xdr:col>
      <xdr:colOff>557893</xdr:colOff>
      <xdr:row>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830037</xdr:colOff>
      <xdr:row>0</xdr:row>
      <xdr:rowOff>95250</xdr:rowOff>
    </xdr:from>
    <xdr:to>
      <xdr:col>15</xdr:col>
      <xdr:colOff>163285</xdr:colOff>
      <xdr:row>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591910</xdr:colOff>
      <xdr:row>1</xdr:row>
      <xdr:rowOff>157163</xdr:rowOff>
    </xdr:from>
    <xdr:to>
      <xdr:col>19</xdr:col>
      <xdr:colOff>353784</xdr:colOff>
      <xdr:row>15</xdr:row>
      <xdr:rowOff>163286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382360</xdr:colOff>
      <xdr:row>0</xdr:row>
      <xdr:rowOff>213632</xdr:rowOff>
    </xdr:from>
    <xdr:to>
      <xdr:col>17</xdr:col>
      <xdr:colOff>136071</xdr:colOff>
      <xdr:row>15</xdr:row>
      <xdr:rowOff>163286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544286</xdr:colOff>
      <xdr:row>0</xdr:row>
      <xdr:rowOff>149679</xdr:rowOff>
    </xdr:from>
    <xdr:to>
      <xdr:col>20</xdr:col>
      <xdr:colOff>244927</xdr:colOff>
      <xdr:row>19</xdr:row>
      <xdr:rowOff>149677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139699</xdr:colOff>
      <xdr:row>1</xdr:row>
      <xdr:rowOff>333375</xdr:rowOff>
    </xdr:from>
    <xdr:to>
      <xdr:col>15</xdr:col>
      <xdr:colOff>333374</xdr:colOff>
      <xdr:row>19</xdr:row>
      <xdr:rowOff>95249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42333</xdr:colOff>
      <xdr:row>12</xdr:row>
      <xdr:rowOff>185472</xdr:rowOff>
    </xdr:from>
    <xdr:to>
      <xdr:col>12</xdr:col>
      <xdr:colOff>476250</xdr:colOff>
      <xdr:row>27</xdr:row>
      <xdr:rowOff>71172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154782</xdr:colOff>
      <xdr:row>85</xdr:row>
      <xdr:rowOff>30426</xdr:rowOff>
    </xdr:from>
    <xdr:to>
      <xdr:col>6</xdr:col>
      <xdr:colOff>35718</xdr:colOff>
      <xdr:row>101</xdr:row>
      <xdr:rowOff>130967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154781</xdr:colOff>
      <xdr:row>151</xdr:row>
      <xdr:rowOff>59531</xdr:rowOff>
    </xdr:from>
    <xdr:to>
      <xdr:col>5</xdr:col>
      <xdr:colOff>940594</xdr:colOff>
      <xdr:row>168</xdr:row>
      <xdr:rowOff>-1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381000</xdr:colOff>
      <xdr:row>84</xdr:row>
      <xdr:rowOff>142876</xdr:rowOff>
    </xdr:from>
    <xdr:to>
      <xdr:col>14</xdr:col>
      <xdr:colOff>821531</xdr:colOff>
      <xdr:row>106</xdr:row>
      <xdr:rowOff>119062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</xdr:row>
          <xdr:rowOff>0</xdr:rowOff>
        </xdr:from>
        <xdr:to>
          <xdr:col>12</xdr:col>
          <xdr:colOff>638175</xdr:colOff>
          <xdr:row>12</xdr:row>
          <xdr:rowOff>57150</xdr:rowOff>
        </xdr:to>
        <xdr:sp macro="" textlink="">
          <xdr:nvSpPr>
            <xdr:cNvPr id="58374" name="Object 6" hidden="1">
              <a:extLst>
                <a:ext uri="{63B3BB69-23CF-44E3-9099-C40C66FF867C}">
                  <a14:compatExt spid="_x0000_s58374"/>
                </a:ext>
                <a:ext uri="{FF2B5EF4-FFF2-40B4-BE49-F238E27FC236}">
                  <a16:creationId xmlns:a16="http://schemas.microsoft.com/office/drawing/2014/main" id="{00000000-0008-0000-0500-000006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69</xdr:row>
          <xdr:rowOff>95250</xdr:rowOff>
        </xdr:from>
        <xdr:to>
          <xdr:col>5</xdr:col>
          <xdr:colOff>914400</xdr:colOff>
          <xdr:row>83</xdr:row>
          <xdr:rowOff>180975</xdr:rowOff>
        </xdr:to>
        <xdr:sp macro="" textlink="">
          <xdr:nvSpPr>
            <xdr:cNvPr id="58376" name="Object 8" hidden="1">
              <a:extLst>
                <a:ext uri="{63B3BB69-23CF-44E3-9099-C40C66FF867C}">
                  <a14:compatExt spid="_x0000_s58376"/>
                </a:ext>
                <a:ext uri="{FF2B5EF4-FFF2-40B4-BE49-F238E27FC236}">
                  <a16:creationId xmlns:a16="http://schemas.microsoft.com/office/drawing/2014/main" id="{00000000-0008-0000-0500-000008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352425</xdr:colOff>
          <xdr:row>69</xdr:row>
          <xdr:rowOff>38100</xdr:rowOff>
        </xdr:from>
        <xdr:to>
          <xdr:col>12</xdr:col>
          <xdr:colOff>685800</xdr:colOff>
          <xdr:row>83</xdr:row>
          <xdr:rowOff>123825</xdr:rowOff>
        </xdr:to>
        <xdr:sp macro="" textlink="">
          <xdr:nvSpPr>
            <xdr:cNvPr id="58377" name="Object 9" hidden="1">
              <a:extLst>
                <a:ext uri="{63B3BB69-23CF-44E3-9099-C40C66FF867C}">
                  <a14:compatExt spid="_x0000_s58377"/>
                </a:ext>
                <a:ext uri="{FF2B5EF4-FFF2-40B4-BE49-F238E27FC236}">
                  <a16:creationId xmlns:a16="http://schemas.microsoft.com/office/drawing/2014/main" id="{00000000-0008-0000-0500-000009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136</xdr:row>
          <xdr:rowOff>104775</xdr:rowOff>
        </xdr:from>
        <xdr:to>
          <xdr:col>5</xdr:col>
          <xdr:colOff>1057275</xdr:colOff>
          <xdr:row>151</xdr:row>
          <xdr:rowOff>0</xdr:rowOff>
        </xdr:to>
        <xdr:sp macro="" textlink="">
          <xdr:nvSpPr>
            <xdr:cNvPr id="58378" name="Object 10" hidden="1">
              <a:extLst>
                <a:ext uri="{63B3BB69-23CF-44E3-9099-C40C66FF867C}">
                  <a14:compatExt spid="_x0000_s58378"/>
                </a:ext>
                <a:ext uri="{FF2B5EF4-FFF2-40B4-BE49-F238E27FC236}">
                  <a16:creationId xmlns:a16="http://schemas.microsoft.com/office/drawing/2014/main" id="{00000000-0008-0000-0500-00000A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136</xdr:row>
          <xdr:rowOff>0</xdr:rowOff>
        </xdr:from>
        <xdr:to>
          <xdr:col>13</xdr:col>
          <xdr:colOff>66675</xdr:colOff>
          <xdr:row>150</xdr:row>
          <xdr:rowOff>85725</xdr:rowOff>
        </xdr:to>
        <xdr:sp macro="" textlink="">
          <xdr:nvSpPr>
            <xdr:cNvPr id="58379" name="Object 11" hidden="1">
              <a:extLst>
                <a:ext uri="{63B3BB69-23CF-44E3-9099-C40C66FF867C}">
                  <a14:compatExt spid="_x0000_s58379"/>
                </a:ext>
                <a:ext uri="{FF2B5EF4-FFF2-40B4-BE49-F238E27FC236}">
                  <a16:creationId xmlns:a16="http://schemas.microsoft.com/office/drawing/2014/main" id="{00000000-0008-0000-0500-00000B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559593</xdr:colOff>
      <xdr:row>152</xdr:row>
      <xdr:rowOff>80962</xdr:rowOff>
    </xdr:from>
    <xdr:to>
      <xdr:col>13</xdr:col>
      <xdr:colOff>809624</xdr:colOff>
      <xdr:row>166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443591</xdr:colOff>
      <xdr:row>0</xdr:row>
      <xdr:rowOff>117021</xdr:rowOff>
    </xdr:from>
    <xdr:to>
      <xdr:col>13</xdr:col>
      <xdr:colOff>138793</xdr:colOff>
      <xdr:row>9</xdr:row>
      <xdr:rowOff>100693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408213</xdr:colOff>
      <xdr:row>9</xdr:row>
      <xdr:rowOff>176892</xdr:rowOff>
    </xdr:from>
    <xdr:to>
      <xdr:col>13</xdr:col>
      <xdr:colOff>100693</xdr:colOff>
      <xdr:row>23</xdr:row>
      <xdr:rowOff>115660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373061</xdr:colOff>
      <xdr:row>1</xdr:row>
      <xdr:rowOff>60325</xdr:rowOff>
    </xdr:from>
    <xdr:to>
      <xdr:col>21</xdr:col>
      <xdr:colOff>206375</xdr:colOff>
      <xdr:row>8</xdr:row>
      <xdr:rowOff>174625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8</xdr:row>
      <xdr:rowOff>333374</xdr:rowOff>
    </xdr:from>
    <xdr:to>
      <xdr:col>21</xdr:col>
      <xdr:colOff>222250</xdr:colOff>
      <xdr:row>25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269873</xdr:colOff>
      <xdr:row>1</xdr:row>
      <xdr:rowOff>70302</xdr:rowOff>
    </xdr:from>
    <xdr:to>
      <xdr:col>16</xdr:col>
      <xdr:colOff>444500</xdr:colOff>
      <xdr:row>11</xdr:row>
      <xdr:rowOff>79374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281215</xdr:colOff>
      <xdr:row>12</xdr:row>
      <xdr:rowOff>13607</xdr:rowOff>
    </xdr:from>
    <xdr:to>
      <xdr:col>16</xdr:col>
      <xdr:colOff>492124</xdr:colOff>
      <xdr:row>28</xdr:row>
      <xdr:rowOff>174625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ncbi.nlm.nih.gov/pubmed/1282617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J74"/>
  <sheetViews>
    <sheetView topLeftCell="A11" zoomScale="80" zoomScaleNormal="80" workbookViewId="0">
      <selection activeCell="E14" sqref="E14:E74"/>
    </sheetView>
  </sheetViews>
  <sheetFormatPr defaultColWidth="9.140625" defaultRowHeight="15" x14ac:dyDescent="0.25"/>
  <cols>
    <col min="1" max="1" width="9.140625" style="20"/>
    <col min="2" max="2" width="18.85546875" style="20" bestFit="1" customWidth="1"/>
    <col min="3" max="3" width="51.85546875" style="21" customWidth="1"/>
    <col min="4" max="4" width="18.85546875" style="21" customWidth="1"/>
    <col min="5" max="5" width="18.85546875" style="20" customWidth="1"/>
    <col min="6" max="6" width="13.140625" style="20" bestFit="1" customWidth="1"/>
    <col min="7" max="7" width="9.140625" style="20"/>
    <col min="8" max="8" width="12.5703125" style="20" customWidth="1"/>
    <col min="9" max="9" width="13.140625" style="20" customWidth="1"/>
    <col min="10" max="10" width="12.140625" style="20" customWidth="1"/>
    <col min="11" max="16384" width="9.140625" style="20"/>
  </cols>
  <sheetData>
    <row r="1" spans="1:36" x14ac:dyDescent="0.25">
      <c r="B1" s="197" t="s">
        <v>204</v>
      </c>
      <c r="C1" s="187" t="s">
        <v>205</v>
      </c>
      <c r="D1" s="187"/>
      <c r="E1" s="187"/>
      <c r="F1" s="197">
        <v>3.4</v>
      </c>
    </row>
    <row r="2" spans="1:36" x14ac:dyDescent="0.25">
      <c r="B2" s="197" t="s">
        <v>206</v>
      </c>
      <c r="C2" s="187" t="s">
        <v>207</v>
      </c>
      <c r="D2" s="187"/>
      <c r="E2" s="187"/>
      <c r="F2" s="197">
        <v>22</v>
      </c>
    </row>
    <row r="3" spans="1:36" ht="30" x14ac:dyDescent="0.25">
      <c r="B3" s="197" t="s">
        <v>208</v>
      </c>
      <c r="C3" s="187" t="s">
        <v>209</v>
      </c>
      <c r="D3" s="187"/>
      <c r="E3" s="187"/>
      <c r="F3" s="197">
        <v>42.853999999999999</v>
      </c>
    </row>
    <row r="4" spans="1:36" ht="63.75" customHeight="1" x14ac:dyDescent="0.25">
      <c r="B4" s="197" t="s">
        <v>222</v>
      </c>
      <c r="C4" s="187"/>
      <c r="D4" s="187" t="s">
        <v>223</v>
      </c>
      <c r="E4" s="187"/>
      <c r="F4" s="197">
        <f>(((F10/100)^2)*(F3/(1.6215^2)-0.9722*(F9-11.2536)))</f>
        <v>42.668003448857739</v>
      </c>
    </row>
    <row r="5" spans="1:36" ht="30" x14ac:dyDescent="0.25">
      <c r="B5" s="197" t="s">
        <v>210</v>
      </c>
      <c r="C5" s="187" t="s">
        <v>211</v>
      </c>
      <c r="D5" s="187"/>
      <c r="E5" s="187"/>
      <c r="F5" s="197">
        <v>3</v>
      </c>
    </row>
    <row r="6" spans="1:36" ht="120" x14ac:dyDescent="0.25">
      <c r="B6" s="198" t="s">
        <v>212</v>
      </c>
      <c r="C6" s="187" t="s">
        <v>213</v>
      </c>
      <c r="D6" s="187" t="s">
        <v>337</v>
      </c>
      <c r="E6" s="187"/>
      <c r="F6" s="198">
        <f>F1 + (F2 * 22.3333) / (F5 + 22.3333) + (F3 / (1 + 142.11536 * EXP(-0.01028 * F3 * 22.3333)))</f>
        <v>65.326283369176394</v>
      </c>
    </row>
    <row r="7" spans="1:36" x14ac:dyDescent="0.25">
      <c r="B7" s="197" t="s">
        <v>214</v>
      </c>
      <c r="C7" s="187" t="s">
        <v>215</v>
      </c>
      <c r="D7" s="187"/>
      <c r="E7" s="187"/>
      <c r="F7" s="197">
        <v>142</v>
      </c>
    </row>
    <row r="8" spans="1:36" ht="30" x14ac:dyDescent="0.25">
      <c r="B8" s="198" t="s">
        <v>216</v>
      </c>
      <c r="C8" s="187" t="s">
        <v>217</v>
      </c>
      <c r="D8" s="187" t="s">
        <v>218</v>
      </c>
      <c r="E8" s="187" t="s">
        <v>218</v>
      </c>
      <c r="F8" s="198">
        <f>LN(F7^2)/(2*11.3*F4)</f>
        <v>1.027863341871799E-2</v>
      </c>
    </row>
    <row r="9" spans="1:36" x14ac:dyDescent="0.25">
      <c r="B9" s="198" t="s">
        <v>220</v>
      </c>
      <c r="C9" s="187" t="s">
        <v>221</v>
      </c>
      <c r="D9" s="187"/>
      <c r="E9" s="187"/>
      <c r="F9" s="198">
        <v>11.5</v>
      </c>
    </row>
    <row r="10" spans="1:36" x14ac:dyDescent="0.25">
      <c r="B10" s="198" t="s">
        <v>90</v>
      </c>
      <c r="C10" s="187" t="s">
        <v>224</v>
      </c>
      <c r="D10" s="187"/>
      <c r="E10" s="187"/>
      <c r="F10" s="198">
        <v>163</v>
      </c>
    </row>
    <row r="12" spans="1:36" ht="30" customHeight="1" x14ac:dyDescent="0.25">
      <c r="B12" s="230" t="s">
        <v>14</v>
      </c>
      <c r="C12" s="231"/>
      <c r="D12" s="231"/>
      <c r="E12" s="232"/>
      <c r="H12" s="228" t="s">
        <v>15</v>
      </c>
      <c r="I12" s="226" t="s">
        <v>273</v>
      </c>
      <c r="J12" s="226" t="s">
        <v>274</v>
      </c>
    </row>
    <row r="13" spans="1:36" ht="30" customHeight="1" x14ac:dyDescent="0.25">
      <c r="B13" s="199" t="s">
        <v>15</v>
      </c>
      <c r="C13" s="199" t="s">
        <v>16</v>
      </c>
      <c r="D13" s="199" t="s">
        <v>15</v>
      </c>
      <c r="E13" s="199" t="s">
        <v>219</v>
      </c>
      <c r="H13" s="229"/>
      <c r="I13" s="227"/>
      <c r="J13" s="227"/>
    </row>
    <row r="14" spans="1:36" s="22" customFormat="1" ht="43.5" x14ac:dyDescent="0.25">
      <c r="A14" s="20"/>
      <c r="B14" s="143">
        <v>0.5</v>
      </c>
      <c r="C14" s="142" t="s">
        <v>226</v>
      </c>
      <c r="D14" s="17">
        <v>0.5</v>
      </c>
      <c r="E14" s="85">
        <f>3.4 + (22 * D14) / (3 + D14) + (42.854 / (1 + 142.11536 * EXP(-0.010278634 * 42.854 * D14)))</f>
        <v>6.9154266062882783</v>
      </c>
      <c r="F14" s="20"/>
      <c r="G14" s="20"/>
      <c r="H14" s="191" t="s">
        <v>275</v>
      </c>
      <c r="I14" s="133">
        <v>6.9154266062882783</v>
      </c>
      <c r="J14" s="189"/>
      <c r="K14" s="20"/>
      <c r="L14" s="188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</row>
    <row r="15" spans="1:36" s="22" customFormat="1" x14ac:dyDescent="0.25">
      <c r="A15" s="20"/>
      <c r="B15" s="143">
        <v>1</v>
      </c>
      <c r="C15" s="17"/>
      <c r="D15" s="17">
        <v>1</v>
      </c>
      <c r="E15" s="85">
        <f t="shared" ref="E15:E35" si="0">3.4 + (22 * D15) / (3 + D15) + (42.854 / (1 + 142.11536 * EXP(-0.010278634 * 42.854 * D15)))</f>
        <v>9.363369181598614</v>
      </c>
      <c r="F15" s="20"/>
      <c r="G15" s="20"/>
      <c r="H15" s="192" t="s">
        <v>276</v>
      </c>
      <c r="I15" s="133">
        <v>11.309331187867842</v>
      </c>
      <c r="J15" s="189"/>
      <c r="K15" s="20"/>
      <c r="L15" s="188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</row>
    <row r="16" spans="1:36" x14ac:dyDescent="0.25">
      <c r="B16" s="144">
        <v>2</v>
      </c>
      <c r="C16" s="5"/>
      <c r="D16" s="5">
        <v>2</v>
      </c>
      <c r="E16" s="86">
        <f t="shared" si="0"/>
        <v>12.915540478557535</v>
      </c>
      <c r="H16" s="192" t="s">
        <v>277</v>
      </c>
      <c r="I16" s="133">
        <v>14.288178836856385</v>
      </c>
      <c r="J16" s="189">
        <v>13.7</v>
      </c>
      <c r="L16" s="188"/>
    </row>
    <row r="17" spans="1:36" x14ac:dyDescent="0.25">
      <c r="B17" s="144">
        <v>3</v>
      </c>
      <c r="C17" s="5"/>
      <c r="D17" s="5">
        <v>3</v>
      </c>
      <c r="E17" s="86">
        <f t="shared" si="0"/>
        <v>15.501380951815555</v>
      </c>
      <c r="H17" s="192" t="s">
        <v>278</v>
      </c>
      <c r="I17" s="133">
        <v>16.610251292594278</v>
      </c>
      <c r="J17" s="189">
        <v>15.6</v>
      </c>
      <c r="L17" s="188"/>
    </row>
    <row r="18" spans="1:36" x14ac:dyDescent="0.25">
      <c r="B18" s="144">
        <v>4</v>
      </c>
      <c r="C18" s="5"/>
      <c r="D18" s="5">
        <v>4</v>
      </c>
      <c r="E18" s="86">
        <f t="shared" si="0"/>
        <v>17.658377304122929</v>
      </c>
      <c r="H18" s="192" t="s">
        <v>279</v>
      </c>
      <c r="I18" s="133">
        <v>18.682376582644302</v>
      </c>
      <c r="J18" s="189">
        <v>17.8</v>
      </c>
      <c r="L18" s="188"/>
    </row>
    <row r="19" spans="1:36" s="22" customFormat="1" x14ac:dyDescent="0.25">
      <c r="A19" s="20"/>
      <c r="B19" s="143">
        <v>5</v>
      </c>
      <c r="C19" s="17"/>
      <c r="D19" s="17">
        <v>5</v>
      </c>
      <c r="E19" s="85">
        <f t="shared" si="0"/>
        <v>19.714719765531608</v>
      </c>
      <c r="F19" s="20"/>
      <c r="G19" s="20"/>
      <c r="H19" s="192" t="s">
        <v>280</v>
      </c>
      <c r="I19" s="133">
        <v>20.785450437307787</v>
      </c>
      <c r="J19" s="189">
        <v>20.5</v>
      </c>
      <c r="K19" s="20"/>
      <c r="L19" s="188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</row>
    <row r="20" spans="1:36" x14ac:dyDescent="0.25">
      <c r="B20" s="144">
        <v>6</v>
      </c>
      <c r="C20" s="5"/>
      <c r="D20" s="5">
        <v>6</v>
      </c>
      <c r="E20" s="86">
        <f t="shared" si="0"/>
        <v>21.92310304640738</v>
      </c>
      <c r="H20" s="192" t="s">
        <v>281</v>
      </c>
      <c r="I20" s="133">
        <v>23.154945076267232</v>
      </c>
      <c r="J20" s="189">
        <v>22.15</v>
      </c>
      <c r="L20" s="188"/>
    </row>
    <row r="21" spans="1:36" x14ac:dyDescent="0.25">
      <c r="B21" s="144">
        <v>7</v>
      </c>
      <c r="C21" s="5"/>
      <c r="D21" s="5">
        <v>7</v>
      </c>
      <c r="E21" s="86">
        <f t="shared" si="0"/>
        <v>24.506576900677818</v>
      </c>
      <c r="H21" s="192" t="s">
        <v>282</v>
      </c>
      <c r="I21" s="133">
        <v>26.000889857451373</v>
      </c>
      <c r="J21" s="189">
        <v>26.8</v>
      </c>
      <c r="L21" s="188"/>
    </row>
    <row r="22" spans="1:36" x14ac:dyDescent="0.25">
      <c r="B22" s="144">
        <v>8</v>
      </c>
      <c r="C22" s="5"/>
      <c r="D22" s="5">
        <v>8</v>
      </c>
      <c r="E22" s="86">
        <f t="shared" si="0"/>
        <v>27.656407916528913</v>
      </c>
      <c r="H22" s="192" t="s">
        <v>283</v>
      </c>
      <c r="I22" s="133">
        <v>29.485124650497674</v>
      </c>
      <c r="J22" s="189">
        <v>29.9</v>
      </c>
      <c r="L22" s="188"/>
    </row>
    <row r="23" spans="1:36" x14ac:dyDescent="0.25">
      <c r="B23" s="144">
        <v>9</v>
      </c>
      <c r="C23" s="5"/>
      <c r="D23" s="5">
        <v>9</v>
      </c>
      <c r="E23" s="86">
        <f t="shared" si="0"/>
        <v>31.490090721081462</v>
      </c>
      <c r="H23" s="192" t="s">
        <v>284</v>
      </c>
      <c r="I23" s="133">
        <v>33.663180306011462</v>
      </c>
      <c r="J23" s="189">
        <v>35.9</v>
      </c>
      <c r="L23" s="188"/>
    </row>
    <row r="24" spans="1:36" s="22" customFormat="1" x14ac:dyDescent="0.25">
      <c r="A24" s="20"/>
      <c r="B24" s="143">
        <v>10</v>
      </c>
      <c r="C24" s="17"/>
      <c r="D24" s="17">
        <v>10</v>
      </c>
      <c r="E24" s="85">
        <f t="shared" si="0"/>
        <v>35.983607211042894</v>
      </c>
      <c r="F24" s="20"/>
      <c r="G24" s="20"/>
      <c r="H24" s="192" t="s">
        <v>285</v>
      </c>
      <c r="I24" s="133">
        <v>38.417786492455321</v>
      </c>
      <c r="J24" s="189">
        <v>43.4</v>
      </c>
      <c r="K24" s="20"/>
      <c r="L24" s="188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</row>
    <row r="25" spans="1:36" x14ac:dyDescent="0.25">
      <c r="B25" s="144">
        <v>11</v>
      </c>
      <c r="C25" s="5"/>
      <c r="D25" s="5">
        <v>11</v>
      </c>
      <c r="E25" s="86">
        <f t="shared" si="0"/>
        <v>40.920968011983341</v>
      </c>
      <c r="H25" s="192" t="s">
        <v>286</v>
      </c>
      <c r="I25" s="133">
        <v>43.440691530917817</v>
      </c>
      <c r="J25" s="189">
        <v>49.4</v>
      </c>
    </row>
    <row r="26" spans="1:36" x14ac:dyDescent="0.25">
      <c r="B26" s="144">
        <v>12</v>
      </c>
      <c r="C26" s="5"/>
      <c r="D26" s="5">
        <v>12</v>
      </c>
      <c r="E26" s="86">
        <f t="shared" si="0"/>
        <v>45.921621798727614</v>
      </c>
      <c r="H26" s="192" t="s">
        <v>287</v>
      </c>
      <c r="I26" s="133">
        <v>48.31089938644034</v>
      </c>
      <c r="J26" s="189">
        <v>50.45</v>
      </c>
    </row>
    <row r="27" spans="1:36" x14ac:dyDescent="0.25">
      <c r="B27" s="144">
        <v>13</v>
      </c>
      <c r="C27" s="5"/>
      <c r="D27" s="5">
        <v>13</v>
      </c>
      <c r="E27" s="86">
        <f t="shared" si="0"/>
        <v>50.562974255063295</v>
      </c>
      <c r="H27" s="192" t="s">
        <v>288</v>
      </c>
      <c r="I27" s="133">
        <v>52.643053336574667</v>
      </c>
      <c r="J27" s="189">
        <v>54.2</v>
      </c>
    </row>
    <row r="28" spans="1:36" x14ac:dyDescent="0.25">
      <c r="B28" s="144">
        <v>14</v>
      </c>
      <c r="C28" s="5"/>
      <c r="D28" s="5">
        <v>14</v>
      </c>
      <c r="E28" s="86">
        <f t="shared" si="0"/>
        <v>54.528713185550821</v>
      </c>
      <c r="H28" s="192" t="s">
        <v>289</v>
      </c>
      <c r="I28" s="133">
        <v>56.20971903544342</v>
      </c>
      <c r="J28" s="189">
        <v>54.55</v>
      </c>
    </row>
    <row r="29" spans="1:36" x14ac:dyDescent="0.25">
      <c r="B29" s="144">
        <v>15</v>
      </c>
      <c r="C29" s="5"/>
      <c r="D29" s="5">
        <v>15</v>
      </c>
      <c r="E29" s="86">
        <f t="shared" si="0"/>
        <v>57.686468800180961</v>
      </c>
      <c r="H29" s="192" t="s">
        <v>290</v>
      </c>
      <c r="I29" s="133">
        <v>58.967650155819811</v>
      </c>
      <c r="J29" s="189">
        <v>59.6</v>
      </c>
    </row>
    <row r="30" spans="1:36" x14ac:dyDescent="0.25">
      <c r="B30" s="144">
        <v>16</v>
      </c>
      <c r="C30" s="5"/>
      <c r="D30" s="5">
        <v>16</v>
      </c>
      <c r="E30" s="86">
        <f t="shared" si="0"/>
        <v>60.067672365756145</v>
      </c>
      <c r="H30" s="192" t="s">
        <v>291</v>
      </c>
      <c r="I30" s="133">
        <v>61.004288259289723</v>
      </c>
      <c r="J30" s="189">
        <v>58.6</v>
      </c>
    </row>
    <row r="31" spans="1:36" x14ac:dyDescent="0.25">
      <c r="B31" s="144">
        <v>17</v>
      </c>
      <c r="C31" s="5"/>
      <c r="D31" s="5">
        <v>17</v>
      </c>
      <c r="E31" s="86">
        <f t="shared" si="0"/>
        <v>61.796641311133001</v>
      </c>
      <c r="H31" s="192" t="s">
        <v>292</v>
      </c>
      <c r="I31" s="133">
        <v>62.463817521092977</v>
      </c>
      <c r="J31" s="189">
        <v>62.9</v>
      </c>
    </row>
    <row r="32" spans="1:36" x14ac:dyDescent="0.25">
      <c r="B32" s="144">
        <v>18</v>
      </c>
      <c r="C32" s="5"/>
      <c r="D32" s="5">
        <v>18</v>
      </c>
      <c r="E32" s="86">
        <f t="shared" si="0"/>
        <v>63.023876884237708</v>
      </c>
      <c r="H32" s="192" t="s">
        <v>293</v>
      </c>
      <c r="I32" s="133">
        <v>63.493284387505163</v>
      </c>
      <c r="J32" s="189">
        <v>63.2</v>
      </c>
    </row>
    <row r="33" spans="1:36" x14ac:dyDescent="0.25">
      <c r="B33" s="144">
        <v>19</v>
      </c>
      <c r="C33" s="5"/>
      <c r="D33" s="5">
        <v>19</v>
      </c>
      <c r="E33" s="86">
        <f t="shared" si="0"/>
        <v>63.886643111966308</v>
      </c>
      <c r="H33" s="192" t="s">
        <v>294</v>
      </c>
      <c r="I33" s="133">
        <v>64.21663731687326</v>
      </c>
      <c r="J33" s="189">
        <v>64.5</v>
      </c>
    </row>
    <row r="34" spans="1:36" x14ac:dyDescent="0.25">
      <c r="B34" s="144">
        <v>20</v>
      </c>
      <c r="C34" s="5"/>
      <c r="D34" s="5">
        <v>20</v>
      </c>
      <c r="E34" s="86">
        <f t="shared" si="0"/>
        <v>64.494109284869964</v>
      </c>
      <c r="H34" s="192" t="s">
        <v>295</v>
      </c>
      <c r="I34" s="133">
        <v>64.728212344405605</v>
      </c>
      <c r="J34" s="189">
        <v>67.7</v>
      </c>
    </row>
    <row r="35" spans="1:36" x14ac:dyDescent="0.25">
      <c r="B35" s="144">
        <v>21</v>
      </c>
      <c r="C35" s="5"/>
      <c r="D35" s="5">
        <v>21</v>
      </c>
      <c r="E35" s="86">
        <f t="shared" si="0"/>
        <v>64.926599621061627</v>
      </c>
      <c r="H35" s="192" t="s">
        <v>296</v>
      </c>
      <c r="I35" s="133">
        <v>65.095621974779874</v>
      </c>
      <c r="J35" s="189">
        <v>62</v>
      </c>
    </row>
    <row r="36" spans="1:36" ht="43.5" x14ac:dyDescent="0.25">
      <c r="B36" s="144">
        <v>22</v>
      </c>
      <c r="C36" s="4" t="s">
        <v>225</v>
      </c>
      <c r="D36" s="5">
        <v>22</v>
      </c>
      <c r="E36" s="86">
        <f>3.4 + (22 * 22.333) / (3 + 22.333) + (42.854 / (1 + 142.11536 * EXP(-0.010278634 * 42.854 * 22.333)))</f>
        <v>65.325791514810419</v>
      </c>
      <c r="H36" s="192" t="s">
        <v>297</v>
      </c>
      <c r="I36" s="133">
        <v>65.365594049919366</v>
      </c>
      <c r="J36" s="189">
        <v>65.099999999999994</v>
      </c>
    </row>
    <row r="37" spans="1:36" ht="43.5" x14ac:dyDescent="0.25">
      <c r="B37" s="144">
        <v>23</v>
      </c>
      <c r="C37" s="4" t="s">
        <v>227</v>
      </c>
      <c r="D37" s="5">
        <f>B37*12</f>
        <v>276</v>
      </c>
      <c r="E37" s="86">
        <f>((6.17*10^-9*D37^3)-(9.68*10^-5*D37^2)+(0.109*D37)+43.79)*65.32628337/66.17</f>
        <v>65.780304330831555</v>
      </c>
      <c r="H37" s="192" t="s">
        <v>298</v>
      </c>
      <c r="I37" s="133">
        <v>66.114546407426118</v>
      </c>
      <c r="J37" s="189">
        <v>68.599999999999994</v>
      </c>
    </row>
    <row r="38" spans="1:36" x14ac:dyDescent="0.25">
      <c r="B38" s="144">
        <v>24</v>
      </c>
      <c r="C38" s="5"/>
      <c r="D38" s="5">
        <f t="shared" ref="D38:D74" si="1">B38*12</f>
        <v>288</v>
      </c>
      <c r="E38" s="190">
        <f t="shared" ref="E38:E74" si="2">((6.17*10^-9*D38^3)-(9.68*10^-5*D38^2)+(0.109*D38)+43.79)*65.32628337/66.17</f>
        <v>66.442278786561701</v>
      </c>
      <c r="H38" s="192" t="s">
        <v>299</v>
      </c>
      <c r="I38" s="133">
        <v>66.763509362599251</v>
      </c>
      <c r="J38" s="189">
        <v>70.45</v>
      </c>
    </row>
    <row r="39" spans="1:36" s="22" customFormat="1" x14ac:dyDescent="0.25">
      <c r="A39" s="20"/>
      <c r="B39" s="143">
        <v>25</v>
      </c>
      <c r="C39" s="17"/>
      <c r="D39" s="17">
        <f t="shared" si="1"/>
        <v>300</v>
      </c>
      <c r="E39" s="85">
        <f t="shared" si="2"/>
        <v>67.078246029899788</v>
      </c>
      <c r="F39" s="20"/>
      <c r="G39" s="20"/>
      <c r="H39" s="192" t="s">
        <v>300</v>
      </c>
      <c r="I39" s="133">
        <v>67.38649668282423</v>
      </c>
      <c r="J39" s="189">
        <v>61.2</v>
      </c>
      <c r="K39" s="20"/>
      <c r="L39" s="188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</row>
    <row r="40" spans="1:36" x14ac:dyDescent="0.25">
      <c r="B40" s="144">
        <v>26</v>
      </c>
      <c r="C40" s="5"/>
      <c r="D40" s="5">
        <f t="shared" si="1"/>
        <v>312</v>
      </c>
      <c r="E40" s="190">
        <f t="shared" si="2"/>
        <v>67.688269215733612</v>
      </c>
      <c r="H40" s="192" t="s">
        <v>301</v>
      </c>
      <c r="I40" s="133">
        <v>67.98357152298891</v>
      </c>
      <c r="J40" s="189">
        <v>67.5</v>
      </c>
    </row>
    <row r="41" spans="1:36" x14ac:dyDescent="0.25">
      <c r="B41" s="144">
        <v>27</v>
      </c>
      <c r="C41" s="5"/>
      <c r="D41" s="5">
        <f t="shared" si="1"/>
        <v>324</v>
      </c>
      <c r="E41" s="190">
        <f t="shared" si="2"/>
        <v>68.272411498951101</v>
      </c>
      <c r="H41" s="192" t="s">
        <v>302</v>
      </c>
      <c r="I41" s="133">
        <v>68.55479703798116</v>
      </c>
      <c r="J41" s="189">
        <v>69.55</v>
      </c>
    </row>
    <row r="42" spans="1:36" x14ac:dyDescent="0.25">
      <c r="B42" s="144">
        <v>28</v>
      </c>
      <c r="C42" s="5"/>
      <c r="D42" s="5">
        <f t="shared" si="1"/>
        <v>336</v>
      </c>
      <c r="E42" s="190">
        <f t="shared" si="2"/>
        <v>68.830736034440065</v>
      </c>
      <c r="H42" s="192" t="s">
        <v>303</v>
      </c>
      <c r="I42" s="133">
        <v>69.100236382688834</v>
      </c>
      <c r="J42" s="189">
        <v>81</v>
      </c>
    </row>
    <row r="43" spans="1:36" x14ac:dyDescent="0.25">
      <c r="B43" s="144">
        <v>29</v>
      </c>
      <c r="C43" s="5"/>
      <c r="D43" s="5">
        <f t="shared" si="1"/>
        <v>348</v>
      </c>
      <c r="E43" s="190">
        <f t="shared" si="2"/>
        <v>69.363305977088416</v>
      </c>
      <c r="H43" s="192" t="s">
        <v>304</v>
      </c>
      <c r="I43" s="133">
        <v>69.619952711999801</v>
      </c>
      <c r="J43" s="189">
        <v>71.05</v>
      </c>
    </row>
    <row r="44" spans="1:36" x14ac:dyDescent="0.25">
      <c r="B44" s="144">
        <v>30</v>
      </c>
      <c r="C44" s="5"/>
      <c r="D44" s="5">
        <f t="shared" si="1"/>
        <v>360</v>
      </c>
      <c r="E44" s="190">
        <f t="shared" si="2"/>
        <v>69.87018448178398</v>
      </c>
      <c r="H44" s="192" t="s">
        <v>305</v>
      </c>
      <c r="I44" s="133">
        <v>70.114009180801929</v>
      </c>
      <c r="J44" s="189">
        <v>75.349999999999994</v>
      </c>
    </row>
    <row r="45" spans="1:36" x14ac:dyDescent="0.25">
      <c r="B45" s="144">
        <v>31</v>
      </c>
      <c r="C45" s="5"/>
      <c r="D45" s="5">
        <f t="shared" si="1"/>
        <v>372</v>
      </c>
      <c r="E45" s="190">
        <f t="shared" si="2"/>
        <v>70.351434703414611</v>
      </c>
      <c r="H45" s="192" t="s">
        <v>306</v>
      </c>
      <c r="I45" s="133">
        <v>70.582468943983045</v>
      </c>
      <c r="J45" s="189">
        <v>74.5</v>
      </c>
    </row>
    <row r="46" spans="1:36" x14ac:dyDescent="0.25">
      <c r="B46" s="144">
        <v>32</v>
      </c>
      <c r="C46" s="5"/>
      <c r="D46" s="5">
        <f t="shared" si="1"/>
        <v>384</v>
      </c>
      <c r="E46" s="190">
        <f t="shared" si="2"/>
        <v>70.807119796868221</v>
      </c>
      <c r="H46" s="192" t="s">
        <v>307</v>
      </c>
      <c r="I46" s="133">
        <v>71.025395156431088</v>
      </c>
      <c r="J46" s="189">
        <v>74.099999999999994</v>
      </c>
    </row>
    <row r="47" spans="1:36" x14ac:dyDescent="0.25">
      <c r="B47" s="144">
        <v>33</v>
      </c>
      <c r="C47" s="5"/>
      <c r="D47" s="5">
        <f t="shared" si="1"/>
        <v>396</v>
      </c>
      <c r="E47" s="190">
        <f t="shared" si="2"/>
        <v>71.237302917032622</v>
      </c>
      <c r="H47" s="192" t="s">
        <v>308</v>
      </c>
      <c r="I47" s="133">
        <v>71.442850973033842</v>
      </c>
      <c r="J47" s="189">
        <v>73.900000000000006</v>
      </c>
    </row>
    <row r="48" spans="1:36" x14ac:dyDescent="0.25">
      <c r="B48" s="144">
        <v>34</v>
      </c>
      <c r="C48" s="5"/>
      <c r="D48" s="5">
        <f t="shared" si="1"/>
        <v>408</v>
      </c>
      <c r="E48" s="190">
        <f t="shared" si="2"/>
        <v>71.64204721879571</v>
      </c>
      <c r="H48" s="192" t="s">
        <v>309</v>
      </c>
      <c r="I48" s="133">
        <v>71.834899548679203</v>
      </c>
      <c r="J48" s="189">
        <v>71</v>
      </c>
    </row>
    <row r="49" spans="2:10" x14ac:dyDescent="0.25">
      <c r="B49" s="144">
        <v>35</v>
      </c>
      <c r="C49" s="5"/>
      <c r="D49" s="5">
        <f t="shared" si="1"/>
        <v>420</v>
      </c>
      <c r="E49" s="190">
        <f t="shared" si="2"/>
        <v>72.021415857045355</v>
      </c>
      <c r="H49" s="192" t="s">
        <v>310</v>
      </c>
      <c r="I49" s="133">
        <v>72.20160403825507</v>
      </c>
      <c r="J49" s="189">
        <v>75.5</v>
      </c>
    </row>
    <row r="50" spans="2:10" x14ac:dyDescent="0.25">
      <c r="B50" s="144">
        <v>36</v>
      </c>
      <c r="C50" s="5"/>
      <c r="D50" s="5">
        <f t="shared" si="1"/>
        <v>432</v>
      </c>
      <c r="E50" s="190">
        <f t="shared" si="2"/>
        <v>72.375471986669368</v>
      </c>
      <c r="H50" s="192" t="s">
        <v>311</v>
      </c>
      <c r="I50" s="133">
        <v>72.543027596649239</v>
      </c>
      <c r="J50" s="189">
        <v>75.45</v>
      </c>
    </row>
    <row r="51" spans="2:10" x14ac:dyDescent="0.25">
      <c r="B51" s="144">
        <v>37</v>
      </c>
      <c r="C51" s="5"/>
      <c r="D51" s="5">
        <f t="shared" si="1"/>
        <v>444</v>
      </c>
      <c r="E51" s="190">
        <f t="shared" si="2"/>
        <v>72.70427876255566</v>
      </c>
      <c r="H51" s="192" t="s">
        <v>312</v>
      </c>
      <c r="I51" s="133">
        <v>72.859233378749622</v>
      </c>
      <c r="J51" s="189">
        <v>66.55</v>
      </c>
    </row>
    <row r="52" spans="2:10" x14ac:dyDescent="0.25">
      <c r="B52" s="144">
        <v>38</v>
      </c>
      <c r="C52" s="5"/>
      <c r="D52" s="5">
        <f t="shared" si="1"/>
        <v>456</v>
      </c>
      <c r="E52" s="190">
        <f t="shared" si="2"/>
        <v>73.0078993395921</v>
      </c>
      <c r="H52" s="192" t="s">
        <v>313</v>
      </c>
      <c r="I52" s="133">
        <v>73.150284539444044</v>
      </c>
      <c r="J52" s="189">
        <v>76.650000000000006</v>
      </c>
    </row>
    <row r="53" spans="2:10" x14ac:dyDescent="0.25">
      <c r="B53" s="144">
        <v>39</v>
      </c>
      <c r="C53" s="5"/>
      <c r="D53" s="5">
        <f t="shared" si="1"/>
        <v>468</v>
      </c>
      <c r="E53" s="190">
        <f t="shared" si="2"/>
        <v>73.286396872666501</v>
      </c>
      <c r="H53" s="192" t="s">
        <v>314</v>
      </c>
      <c r="I53" s="133">
        <v>73.416244233620418</v>
      </c>
      <c r="J53" s="189">
        <v>71.55</v>
      </c>
    </row>
    <row r="54" spans="2:10" x14ac:dyDescent="0.25">
      <c r="B54" s="144">
        <v>40</v>
      </c>
      <c r="C54" s="5"/>
      <c r="D54" s="5">
        <f t="shared" si="1"/>
        <v>480</v>
      </c>
      <c r="E54" s="190">
        <f t="shared" si="2"/>
        <v>73.539834516666772</v>
      </c>
      <c r="H54" s="192" t="s">
        <v>315</v>
      </c>
      <c r="I54" s="133">
        <v>73.657175616166555</v>
      </c>
      <c r="J54" s="189">
        <v>74.7</v>
      </c>
    </row>
    <row r="55" spans="2:10" x14ac:dyDescent="0.25">
      <c r="B55" s="144">
        <v>41</v>
      </c>
      <c r="C55" s="5"/>
      <c r="D55" s="5">
        <f t="shared" si="1"/>
        <v>492</v>
      </c>
      <c r="E55" s="190">
        <f t="shared" si="2"/>
        <v>73.76827542648077</v>
      </c>
      <c r="H55" s="192" t="s">
        <v>316</v>
      </c>
      <c r="I55" s="133">
        <v>73.873141841970366</v>
      </c>
      <c r="J55" s="189">
        <v>73</v>
      </c>
    </row>
    <row r="56" spans="2:10" x14ac:dyDescent="0.25">
      <c r="B56" s="144">
        <v>42</v>
      </c>
      <c r="C56" s="5"/>
      <c r="D56" s="5">
        <f t="shared" si="1"/>
        <v>504</v>
      </c>
      <c r="E56" s="190">
        <f t="shared" si="2"/>
        <v>73.971782756996333</v>
      </c>
      <c r="H56" s="192" t="s">
        <v>317</v>
      </c>
      <c r="I56" s="133">
        <v>74.064206065919663</v>
      </c>
      <c r="J56" s="189">
        <v>72.099999999999994</v>
      </c>
    </row>
    <row r="57" spans="2:10" x14ac:dyDescent="0.25">
      <c r="B57" s="144">
        <v>43</v>
      </c>
      <c r="C57" s="5"/>
      <c r="D57" s="5">
        <f t="shared" si="1"/>
        <v>516</v>
      </c>
      <c r="E57" s="190">
        <f t="shared" si="2"/>
        <v>74.15041966310136</v>
      </c>
      <c r="H57" s="192" t="s">
        <v>318</v>
      </c>
      <c r="I57" s="133">
        <v>74.230431442902358</v>
      </c>
      <c r="J57" s="189">
        <v>75.05</v>
      </c>
    </row>
    <row r="58" spans="2:10" x14ac:dyDescent="0.25">
      <c r="B58" s="144">
        <v>44</v>
      </c>
      <c r="C58" s="5"/>
      <c r="D58" s="5">
        <f t="shared" si="1"/>
        <v>528</v>
      </c>
      <c r="E58" s="190">
        <f t="shared" si="2"/>
        <v>74.304249299683661</v>
      </c>
      <c r="H58" s="192" t="s">
        <v>319</v>
      </c>
      <c r="I58" s="133">
        <v>74.371881127806276</v>
      </c>
      <c r="J58" s="189">
        <v>76.900000000000006</v>
      </c>
    </row>
    <row r="59" spans="2:10" x14ac:dyDescent="0.25">
      <c r="B59" s="144">
        <v>45</v>
      </c>
      <c r="C59" s="5"/>
      <c r="D59" s="5">
        <f t="shared" si="1"/>
        <v>540</v>
      </c>
      <c r="E59" s="190">
        <f t="shared" si="2"/>
        <v>74.433334821631163</v>
      </c>
      <c r="H59" s="192" t="s">
        <v>320</v>
      </c>
      <c r="I59" s="133">
        <v>74.4886182755193</v>
      </c>
      <c r="J59" s="189">
        <v>80.75</v>
      </c>
    </row>
    <row r="60" spans="2:10" x14ac:dyDescent="0.25">
      <c r="B60" s="144">
        <v>46</v>
      </c>
      <c r="C60" s="5"/>
      <c r="D60" s="5">
        <f t="shared" si="1"/>
        <v>552</v>
      </c>
      <c r="E60" s="190">
        <f t="shared" si="2"/>
        <v>74.537739383831678</v>
      </c>
      <c r="H60" s="192" t="s">
        <v>321</v>
      </c>
      <c r="I60" s="133">
        <v>74.580706040929286</v>
      </c>
      <c r="J60" s="189">
        <v>81.05</v>
      </c>
    </row>
    <row r="61" spans="2:10" x14ac:dyDescent="0.25">
      <c r="B61" s="144">
        <v>47</v>
      </c>
      <c r="C61" s="5"/>
      <c r="D61" s="5">
        <f t="shared" si="1"/>
        <v>564</v>
      </c>
      <c r="E61" s="190">
        <f t="shared" si="2"/>
        <v>74.617526141173087</v>
      </c>
      <c r="H61" s="192" t="s">
        <v>322</v>
      </c>
      <c r="I61" s="133">
        <v>74.648207578924101</v>
      </c>
      <c r="J61" s="189">
        <v>71.25</v>
      </c>
    </row>
    <row r="62" spans="2:10" x14ac:dyDescent="0.25">
      <c r="B62" s="144">
        <v>48</v>
      </c>
      <c r="C62" s="5"/>
      <c r="D62" s="5">
        <f t="shared" si="1"/>
        <v>576</v>
      </c>
      <c r="E62" s="190">
        <f t="shared" si="2"/>
        <v>74.672758248543275</v>
      </c>
      <c r="H62" s="192" t="s">
        <v>323</v>
      </c>
      <c r="I62" s="133">
        <v>74.691186044391614</v>
      </c>
      <c r="J62" s="189">
        <v>76.3</v>
      </c>
    </row>
    <row r="63" spans="2:10" x14ac:dyDescent="0.25">
      <c r="B63" s="144">
        <v>49</v>
      </c>
      <c r="C63" s="5"/>
      <c r="D63" s="5">
        <f t="shared" si="1"/>
        <v>588</v>
      </c>
      <c r="E63" s="190">
        <f t="shared" si="2"/>
        <v>74.703498860830067</v>
      </c>
      <c r="H63" s="192" t="s">
        <v>324</v>
      </c>
      <c r="I63" s="133">
        <v>74.709704592219637</v>
      </c>
      <c r="J63" s="189">
        <v>77.7</v>
      </c>
    </row>
    <row r="64" spans="2:10" x14ac:dyDescent="0.25">
      <c r="B64" s="144">
        <v>50</v>
      </c>
      <c r="C64" s="5"/>
      <c r="D64" s="5">
        <f t="shared" si="1"/>
        <v>600</v>
      </c>
      <c r="E64" s="190">
        <f t="shared" si="2"/>
        <v>74.709811132921374</v>
      </c>
      <c r="H64" s="192" t="s">
        <v>325</v>
      </c>
      <c r="I64" s="133">
        <v>74.703826377296124</v>
      </c>
      <c r="J64" s="189">
        <v>80.2</v>
      </c>
    </row>
    <row r="65" spans="1:36" x14ac:dyDescent="0.25">
      <c r="B65" s="144">
        <v>51</v>
      </c>
      <c r="C65" s="5"/>
      <c r="D65" s="5">
        <f t="shared" si="1"/>
        <v>612</v>
      </c>
      <c r="E65" s="190">
        <f t="shared" si="2"/>
        <v>74.69175821970498</v>
      </c>
      <c r="H65" s="192" t="s">
        <v>326</v>
      </c>
      <c r="I65" s="133">
        <v>74.673614554508873</v>
      </c>
      <c r="J65" s="189">
        <v>68.8</v>
      </c>
    </row>
    <row r="66" spans="1:36" x14ac:dyDescent="0.25">
      <c r="B66" s="144">
        <v>52</v>
      </c>
      <c r="C66" s="5"/>
      <c r="D66" s="5">
        <f t="shared" si="1"/>
        <v>624</v>
      </c>
      <c r="E66" s="190">
        <f t="shared" si="2"/>
        <v>74.649403276068824</v>
      </c>
      <c r="H66" s="192" t="s">
        <v>327</v>
      </c>
      <c r="I66" s="133">
        <v>74.619132278745795</v>
      </c>
      <c r="J66" s="189">
        <v>73.75</v>
      </c>
    </row>
    <row r="67" spans="1:36" x14ac:dyDescent="0.25">
      <c r="B67" s="144">
        <v>53</v>
      </c>
      <c r="C67" s="5"/>
      <c r="D67" s="5">
        <f t="shared" si="1"/>
        <v>636</v>
      </c>
      <c r="E67" s="190">
        <f t="shared" si="2"/>
        <v>74.582809456900748</v>
      </c>
      <c r="H67" s="192" t="s">
        <v>328</v>
      </c>
      <c r="I67" s="133">
        <v>74.540442704894687</v>
      </c>
      <c r="J67" s="189">
        <v>71.25</v>
      </c>
    </row>
    <row r="68" spans="1:36" x14ac:dyDescent="0.25">
      <c r="B68" s="144">
        <v>54</v>
      </c>
      <c r="C68" s="5"/>
      <c r="D68" s="5">
        <f t="shared" si="1"/>
        <v>648</v>
      </c>
      <c r="E68" s="190">
        <f t="shared" si="2"/>
        <v>74.492039917088604</v>
      </c>
      <c r="H68" s="192" t="s">
        <v>329</v>
      </c>
      <c r="I68" s="133">
        <v>74.437608987843447</v>
      </c>
      <c r="J68" s="189">
        <v>75.099999999999994</v>
      </c>
    </row>
    <row r="69" spans="1:36" x14ac:dyDescent="0.25">
      <c r="B69" s="144">
        <v>55</v>
      </c>
      <c r="C69" s="5"/>
      <c r="D69" s="5">
        <f t="shared" si="1"/>
        <v>660</v>
      </c>
      <c r="E69" s="190">
        <f t="shared" si="2"/>
        <v>74.377157811520263</v>
      </c>
      <c r="H69" s="192" t="s">
        <v>330</v>
      </c>
      <c r="I69" s="133">
        <v>74.310694282479957</v>
      </c>
      <c r="J69" s="189">
        <v>74.599999999999994</v>
      </c>
    </row>
    <row r="70" spans="1:36" x14ac:dyDescent="0.25">
      <c r="B70" s="144">
        <v>56</v>
      </c>
      <c r="C70" s="5"/>
      <c r="D70" s="5">
        <f t="shared" si="1"/>
        <v>672</v>
      </c>
      <c r="E70" s="190">
        <f t="shared" si="2"/>
        <v>74.238226295083564</v>
      </c>
      <c r="H70" s="192" t="s">
        <v>331</v>
      </c>
      <c r="I70" s="133">
        <v>74.159761743692073</v>
      </c>
      <c r="J70" s="189">
        <v>74</v>
      </c>
    </row>
    <row r="71" spans="1:36" x14ac:dyDescent="0.25">
      <c r="B71" s="144">
        <v>57</v>
      </c>
      <c r="C71" s="5"/>
      <c r="D71" s="5">
        <f t="shared" si="1"/>
        <v>684</v>
      </c>
      <c r="E71" s="190">
        <f t="shared" si="2"/>
        <v>74.075308522666418</v>
      </c>
      <c r="H71" s="192" t="s">
        <v>332</v>
      </c>
      <c r="I71" s="133">
        <v>73.984874526367605</v>
      </c>
      <c r="J71" s="189">
        <v>65.3</v>
      </c>
    </row>
    <row r="72" spans="1:36" x14ac:dyDescent="0.25">
      <c r="B72" s="144">
        <v>58</v>
      </c>
      <c r="C72" s="5"/>
      <c r="D72" s="5">
        <f t="shared" si="1"/>
        <v>696</v>
      </c>
      <c r="E72" s="190">
        <f t="shared" si="2"/>
        <v>73.888467649156638</v>
      </c>
      <c r="H72" s="192" t="s">
        <v>333</v>
      </c>
      <c r="I72" s="133">
        <v>73.786095785394494</v>
      </c>
      <c r="J72" s="189">
        <v>80.7</v>
      </c>
    </row>
    <row r="73" spans="1:36" x14ac:dyDescent="0.25">
      <c r="B73" s="144">
        <v>59</v>
      </c>
      <c r="C73" s="5"/>
      <c r="D73" s="5">
        <f t="shared" si="1"/>
        <v>708</v>
      </c>
      <c r="E73" s="190">
        <f t="shared" si="2"/>
        <v>73.67776682944212</v>
      </c>
      <c r="H73" s="192" t="s">
        <v>334</v>
      </c>
      <c r="I73" s="133">
        <v>73.563488675660537</v>
      </c>
      <c r="J73" s="189">
        <v>82.6</v>
      </c>
    </row>
    <row r="74" spans="1:36" s="22" customFormat="1" x14ac:dyDescent="0.25">
      <c r="A74" s="20"/>
      <c r="B74" s="144">
        <v>60</v>
      </c>
      <c r="C74" s="193"/>
      <c r="D74" s="187">
        <f t="shared" si="1"/>
        <v>720</v>
      </c>
      <c r="E74" s="190">
        <f t="shared" si="2"/>
        <v>73.443269218410734</v>
      </c>
      <c r="F74" s="20"/>
      <c r="G74" s="20"/>
      <c r="H74" s="192" t="s">
        <v>335</v>
      </c>
      <c r="I74" s="133">
        <v>73.31711635205366</v>
      </c>
      <c r="J74" s="189">
        <v>73.2</v>
      </c>
      <c r="K74" s="20"/>
      <c r="L74" s="188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</row>
  </sheetData>
  <mergeCells count="4">
    <mergeCell ref="J12:J13"/>
    <mergeCell ref="I12:I13"/>
    <mergeCell ref="H12:H13"/>
    <mergeCell ref="B12:E1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U346"/>
  <sheetViews>
    <sheetView zoomScale="60" zoomScaleNormal="60" workbookViewId="0">
      <selection activeCell="E12" sqref="E12:E72"/>
    </sheetView>
  </sheetViews>
  <sheetFormatPr defaultColWidth="9.140625" defaultRowHeight="15.75" x14ac:dyDescent="0.25"/>
  <cols>
    <col min="1" max="1" width="9.140625" style="3"/>
    <col min="2" max="2" width="21" style="3" customWidth="1"/>
    <col min="3" max="3" width="46.140625" style="2" customWidth="1"/>
    <col min="4" max="4" width="33" style="3" customWidth="1"/>
    <col min="5" max="5" width="28.5703125" style="2" customWidth="1"/>
    <col min="6" max="6" width="18.85546875" style="3" customWidth="1"/>
    <col min="7" max="7" width="19.7109375" style="3" customWidth="1"/>
    <col min="8" max="16384" width="9.140625" style="3"/>
  </cols>
  <sheetData>
    <row r="1" spans="2:21" x14ac:dyDescent="0.25">
      <c r="B1" s="247" t="s">
        <v>82</v>
      </c>
      <c r="C1" s="247"/>
      <c r="D1" s="247"/>
      <c r="E1" s="247"/>
    </row>
    <row r="2" spans="2:21" x14ac:dyDescent="0.25">
      <c r="B2" s="14" t="s">
        <v>20</v>
      </c>
      <c r="C2" s="15" t="s">
        <v>87</v>
      </c>
      <c r="D2" s="15" t="s">
        <v>93</v>
      </c>
      <c r="E2" s="14"/>
    </row>
    <row r="3" spans="2:21" ht="47.25" x14ac:dyDescent="0.25">
      <c r="B3" s="14" t="s">
        <v>20</v>
      </c>
      <c r="C3" s="15" t="s">
        <v>88</v>
      </c>
      <c r="D3" s="15" t="s">
        <v>22</v>
      </c>
      <c r="E3" s="14"/>
    </row>
    <row r="4" spans="2:21" ht="31.5" x14ac:dyDescent="0.25">
      <c r="B4" s="8" t="s">
        <v>85</v>
      </c>
      <c r="C4" s="8" t="s">
        <v>83</v>
      </c>
      <c r="D4" s="8"/>
      <c r="E4" s="8">
        <v>1.75</v>
      </c>
    </row>
    <row r="5" spans="2:21" ht="31.5" x14ac:dyDescent="0.25">
      <c r="B5" s="8" t="s">
        <v>94</v>
      </c>
      <c r="C5" s="8" t="s">
        <v>95</v>
      </c>
      <c r="D5" s="8" t="s">
        <v>96</v>
      </c>
      <c r="E5" s="7">
        <f>0.05012 * (E7^0.78)</f>
        <v>1.3327652003002146</v>
      </c>
    </row>
    <row r="6" spans="2:21" x14ac:dyDescent="0.25">
      <c r="B6" s="8" t="s">
        <v>84</v>
      </c>
      <c r="C6" s="8" t="s">
        <v>3</v>
      </c>
      <c r="D6" s="8"/>
      <c r="E6" s="7">
        <v>162.15</v>
      </c>
      <c r="S6" s="244" t="s">
        <v>236</v>
      </c>
      <c r="T6" s="245"/>
      <c r="U6" s="246"/>
    </row>
    <row r="7" spans="2:21" ht="30" x14ac:dyDescent="0.25">
      <c r="B7" s="8" t="s">
        <v>86</v>
      </c>
      <c r="C7" s="8"/>
      <c r="D7" s="8"/>
      <c r="E7" s="7">
        <v>67.08</v>
      </c>
      <c r="S7" s="127" t="s">
        <v>15</v>
      </c>
      <c r="T7" s="128" t="s">
        <v>237</v>
      </c>
      <c r="U7" s="127" t="s">
        <v>238</v>
      </c>
    </row>
    <row r="8" spans="2:21" x14ac:dyDescent="0.25">
      <c r="C8" s="3"/>
      <c r="S8" s="127" t="s">
        <v>239</v>
      </c>
      <c r="T8" s="127">
        <v>130</v>
      </c>
      <c r="U8" s="127"/>
    </row>
    <row r="9" spans="2:21" x14ac:dyDescent="0.25">
      <c r="S9" s="127">
        <v>1</v>
      </c>
      <c r="T9" s="127">
        <v>330</v>
      </c>
      <c r="U9" s="127">
        <f>0.287*1000</f>
        <v>287</v>
      </c>
    </row>
    <row r="10" spans="2:21" ht="29.25" customHeight="1" x14ac:dyDescent="0.25">
      <c r="B10" s="215"/>
      <c r="C10" s="220"/>
      <c r="D10" s="209" t="s">
        <v>11</v>
      </c>
      <c r="E10" s="209" t="s">
        <v>79</v>
      </c>
      <c r="F10" s="218" t="s">
        <v>21</v>
      </c>
      <c r="G10" s="209" t="s">
        <v>70</v>
      </c>
      <c r="S10" s="127">
        <v>5</v>
      </c>
      <c r="T10" s="127">
        <v>570</v>
      </c>
      <c r="U10" s="127">
        <f>0.513*1000</f>
        <v>513</v>
      </c>
    </row>
    <row r="11" spans="2:21" x14ac:dyDescent="0.25">
      <c r="B11" s="167" t="s">
        <v>15</v>
      </c>
      <c r="C11" s="10" t="s">
        <v>73</v>
      </c>
      <c r="D11" s="10"/>
      <c r="E11" s="8"/>
      <c r="F11" s="7"/>
      <c r="G11" s="99"/>
      <c r="S11" s="127">
        <v>10</v>
      </c>
      <c r="T11" s="127">
        <v>830</v>
      </c>
      <c r="U11" s="127">
        <f>0.82*1000</f>
        <v>820</v>
      </c>
    </row>
    <row r="12" spans="2:21" s="25" customFormat="1" x14ac:dyDescent="0.25">
      <c r="B12" s="168">
        <v>0.5</v>
      </c>
      <c r="C12" s="16"/>
      <c r="D12" s="16"/>
      <c r="E12" s="95">
        <f t="shared" ref="E12:E34" si="0">0.05012 * F12^0.78</f>
        <v>0.22650086452056245</v>
      </c>
      <c r="F12" s="90">
        <v>6.9154266062882783</v>
      </c>
      <c r="G12" s="114">
        <f t="shared" ref="G12:G34" si="1">E12/F12</f>
        <v>3.275298508910536E-2</v>
      </c>
      <c r="S12" s="127">
        <v>15</v>
      </c>
      <c r="T12" s="127">
        <v>1300</v>
      </c>
      <c r="U12" s="127">
        <f>1.185*1000</f>
        <v>1185</v>
      </c>
    </row>
    <row r="13" spans="2:21" s="25" customFormat="1" ht="17.25" customHeight="1" x14ac:dyDescent="0.25">
      <c r="B13" s="168">
        <v>1</v>
      </c>
      <c r="C13" s="16"/>
      <c r="D13" s="16"/>
      <c r="E13" s="95">
        <f t="shared" si="0"/>
        <v>0.28689840720340182</v>
      </c>
      <c r="F13" s="90">
        <v>9.363369181598614</v>
      </c>
      <c r="G13" s="114">
        <f t="shared" si="1"/>
        <v>3.0640510017188007E-2</v>
      </c>
      <c r="S13" s="127" t="s">
        <v>240</v>
      </c>
      <c r="T13" s="127">
        <v>1400</v>
      </c>
      <c r="U13" s="127">
        <f>1.312*1000</f>
        <v>1312</v>
      </c>
    </row>
    <row r="14" spans="2:21" s="25" customFormat="1" x14ac:dyDescent="0.25">
      <c r="B14" s="169">
        <v>2</v>
      </c>
      <c r="C14" s="33"/>
      <c r="D14" s="33"/>
      <c r="E14" s="92">
        <f t="shared" si="0"/>
        <v>0.36870487386088646</v>
      </c>
      <c r="F14" s="45">
        <v>12.915540478557535</v>
      </c>
      <c r="G14" s="70">
        <f t="shared" si="1"/>
        <v>2.8547382470986229E-2</v>
      </c>
    </row>
    <row r="15" spans="2:21" s="25" customFormat="1" x14ac:dyDescent="0.25">
      <c r="B15" s="169">
        <v>3</v>
      </c>
      <c r="C15" s="33"/>
      <c r="D15" s="33"/>
      <c r="E15" s="92">
        <f t="shared" si="0"/>
        <v>0.42510867352637144</v>
      </c>
      <c r="F15" s="45">
        <v>15.501380951815555</v>
      </c>
      <c r="G15" s="70">
        <f t="shared" si="1"/>
        <v>2.7423922736159952E-2</v>
      </c>
    </row>
    <row r="16" spans="2:21" s="25" customFormat="1" x14ac:dyDescent="0.25">
      <c r="B16" s="169">
        <v>4</v>
      </c>
      <c r="C16" s="33"/>
      <c r="D16" s="33"/>
      <c r="E16" s="92">
        <f t="shared" si="0"/>
        <v>0.47057914915453142</v>
      </c>
      <c r="F16" s="45">
        <v>17.658377304122929</v>
      </c>
      <c r="G16" s="70">
        <f t="shared" si="1"/>
        <v>2.6649059596470352E-2</v>
      </c>
    </row>
    <row r="17" spans="2:7" s="25" customFormat="1" x14ac:dyDescent="0.25">
      <c r="B17" s="168">
        <v>5</v>
      </c>
      <c r="C17" s="96"/>
      <c r="D17" s="96"/>
      <c r="E17" s="95">
        <f t="shared" si="0"/>
        <v>0.51279966961523771</v>
      </c>
      <c r="F17" s="90">
        <v>19.714719765531608</v>
      </c>
      <c r="G17" s="114">
        <f t="shared" si="1"/>
        <v>2.6011004757561667E-2</v>
      </c>
    </row>
    <row r="18" spans="2:7" s="25" customFormat="1" x14ac:dyDescent="0.25">
      <c r="B18" s="169">
        <v>6</v>
      </c>
      <c r="C18" s="48"/>
      <c r="D18" s="48"/>
      <c r="E18" s="92">
        <f t="shared" si="0"/>
        <v>0.55707624811926204</v>
      </c>
      <c r="F18" s="45">
        <v>21.92310304640738</v>
      </c>
      <c r="G18" s="70">
        <f t="shared" si="1"/>
        <v>2.5410465249377741E-2</v>
      </c>
    </row>
    <row r="19" spans="2:7" s="25" customFormat="1" x14ac:dyDescent="0.25">
      <c r="B19" s="169">
        <v>7</v>
      </c>
      <c r="C19" s="48"/>
      <c r="D19" s="48"/>
      <c r="E19" s="92">
        <f t="shared" si="0"/>
        <v>0.60764724269907811</v>
      </c>
      <c r="F19" s="45">
        <v>24.506576900677818</v>
      </c>
      <c r="G19" s="70">
        <f t="shared" si="1"/>
        <v>2.4795272108454749E-2</v>
      </c>
    </row>
    <row r="20" spans="2:7" s="25" customFormat="1" x14ac:dyDescent="0.25">
      <c r="B20" s="169">
        <v>8</v>
      </c>
      <c r="C20" s="48"/>
      <c r="D20" s="48"/>
      <c r="E20" s="92">
        <f t="shared" si="0"/>
        <v>0.66774672184227346</v>
      </c>
      <c r="F20" s="45">
        <v>27.656407916528913</v>
      </c>
      <c r="G20" s="70">
        <f t="shared" si="1"/>
        <v>2.4144376372290676E-2</v>
      </c>
    </row>
    <row r="21" spans="2:7" s="25" customFormat="1" x14ac:dyDescent="0.25">
      <c r="B21" s="169">
        <v>9</v>
      </c>
      <c r="C21" s="48"/>
      <c r="D21" s="48"/>
      <c r="E21" s="92">
        <f t="shared" si="0"/>
        <v>0.73890178131143558</v>
      </c>
      <c r="F21" s="45">
        <v>31.490090721081462</v>
      </c>
      <c r="G21" s="70">
        <f t="shared" si="1"/>
        <v>2.3464580901215629E-2</v>
      </c>
    </row>
    <row r="22" spans="2:7" s="25" customFormat="1" x14ac:dyDescent="0.25">
      <c r="B22" s="168">
        <v>10</v>
      </c>
      <c r="C22" s="96"/>
      <c r="D22" s="96"/>
      <c r="E22" s="95">
        <f t="shared" si="0"/>
        <v>0.81992235277678782</v>
      </c>
      <c r="F22" s="90">
        <v>35.983607211042894</v>
      </c>
      <c r="G22" s="114">
        <f t="shared" si="1"/>
        <v>2.2785996633632784E-2</v>
      </c>
    </row>
    <row r="23" spans="2:7" s="25" customFormat="1" x14ac:dyDescent="0.25">
      <c r="B23" s="169">
        <v>11</v>
      </c>
      <c r="C23" s="48"/>
      <c r="D23" s="48"/>
      <c r="E23" s="92">
        <f t="shared" si="0"/>
        <v>0.90641871371146565</v>
      </c>
      <c r="F23" s="45">
        <v>40.920968011983341</v>
      </c>
      <c r="G23" s="70">
        <f t="shared" si="1"/>
        <v>2.2150470962613324E-2</v>
      </c>
    </row>
    <row r="24" spans="2:7" s="25" customFormat="1" x14ac:dyDescent="0.25">
      <c r="B24" s="169">
        <v>12</v>
      </c>
      <c r="C24" s="48"/>
      <c r="D24" s="48"/>
      <c r="E24" s="92">
        <f t="shared" si="0"/>
        <v>0.99170954207725048</v>
      </c>
      <c r="F24" s="45">
        <v>45.921621798727614</v>
      </c>
      <c r="G24" s="70">
        <f t="shared" si="1"/>
        <v>2.1595699438139805E-2</v>
      </c>
    </row>
    <row r="25" spans="2:7" s="25" customFormat="1" x14ac:dyDescent="0.25">
      <c r="B25" s="169">
        <v>13</v>
      </c>
      <c r="C25" s="48"/>
      <c r="D25" s="48"/>
      <c r="E25" s="92">
        <f t="shared" si="0"/>
        <v>1.0690561100758007</v>
      </c>
      <c r="F25" s="45">
        <v>50.562974255063295</v>
      </c>
      <c r="G25" s="70">
        <f t="shared" si="1"/>
        <v>2.1143062207594467E-2</v>
      </c>
    </row>
    <row r="26" spans="2:7" s="25" customFormat="1" x14ac:dyDescent="0.25">
      <c r="B26" s="169">
        <v>14</v>
      </c>
      <c r="C26" s="48"/>
      <c r="D26" s="48"/>
      <c r="E26" s="92">
        <f t="shared" si="0"/>
        <v>1.1339104468305861</v>
      </c>
      <c r="F26" s="45">
        <v>54.528713185550821</v>
      </c>
      <c r="G26" s="70">
        <f t="shared" si="1"/>
        <v>2.0794740616234694E-2</v>
      </c>
    </row>
    <row r="27" spans="2:7" s="25" customFormat="1" x14ac:dyDescent="0.25">
      <c r="B27" s="169">
        <v>15</v>
      </c>
      <c r="C27" s="48"/>
      <c r="D27" s="48"/>
      <c r="E27" s="92">
        <f t="shared" si="0"/>
        <v>1.1848100987230223</v>
      </c>
      <c r="F27" s="45">
        <v>57.686468800180961</v>
      </c>
      <c r="G27" s="70">
        <f t="shared" si="1"/>
        <v>2.0538787056407683E-2</v>
      </c>
    </row>
    <row r="28" spans="2:7" s="25" customFormat="1" x14ac:dyDescent="0.25">
      <c r="B28" s="169">
        <v>16</v>
      </c>
      <c r="C28" s="48"/>
      <c r="D28" s="48"/>
      <c r="E28" s="92">
        <f t="shared" si="0"/>
        <v>1.2227872139248779</v>
      </c>
      <c r="F28" s="45">
        <v>60.067672365756145</v>
      </c>
      <c r="G28" s="70">
        <f t="shared" si="1"/>
        <v>2.0356826988055129E-2</v>
      </c>
    </row>
    <row r="29" spans="2:7" s="25" customFormat="1" x14ac:dyDescent="0.25">
      <c r="B29" s="169">
        <v>17</v>
      </c>
      <c r="C29" s="48"/>
      <c r="D29" s="48"/>
      <c r="E29" s="92">
        <f t="shared" si="0"/>
        <v>1.2501544240910345</v>
      </c>
      <c r="F29" s="45">
        <v>61.796641311133001</v>
      </c>
      <c r="G29" s="70">
        <f t="shared" si="1"/>
        <v>2.0230135450190111E-2</v>
      </c>
    </row>
    <row r="30" spans="2:7" s="25" customFormat="1" x14ac:dyDescent="0.25">
      <c r="B30" s="169">
        <v>18</v>
      </c>
      <c r="C30" s="48"/>
      <c r="D30" s="48"/>
      <c r="E30" s="92">
        <f t="shared" si="0"/>
        <v>1.2694776291061773</v>
      </c>
      <c r="F30" s="45">
        <v>63.023876884237708</v>
      </c>
      <c r="G30" s="70">
        <f t="shared" si="1"/>
        <v>2.0142804471358602E-2</v>
      </c>
    </row>
    <row r="31" spans="2:7" s="25" customFormat="1" x14ac:dyDescent="0.25">
      <c r="B31" s="169">
        <v>19</v>
      </c>
      <c r="C31" s="48"/>
      <c r="D31" s="48"/>
      <c r="E31" s="92">
        <f t="shared" si="0"/>
        <v>1.283012584268505</v>
      </c>
      <c r="F31" s="45">
        <v>63.886643111966308</v>
      </c>
      <c r="G31" s="70">
        <f t="shared" si="1"/>
        <v>2.0082642032387358E-2</v>
      </c>
    </row>
    <row r="32" spans="2:7" s="25" customFormat="1" x14ac:dyDescent="0.25">
      <c r="B32" s="169">
        <v>20</v>
      </c>
      <c r="C32" s="48"/>
      <c r="D32" s="48"/>
      <c r="E32" s="92">
        <f t="shared" si="0"/>
        <v>1.2925182998646403</v>
      </c>
      <c r="F32" s="45">
        <v>64.494109284869964</v>
      </c>
      <c r="G32" s="70">
        <f t="shared" si="1"/>
        <v>2.0040873720041583E-2</v>
      </c>
    </row>
    <row r="33" spans="2:7" s="25" customFormat="1" x14ac:dyDescent="0.25">
      <c r="B33" s="169">
        <v>21</v>
      </c>
      <c r="C33" s="48"/>
      <c r="D33" s="48"/>
      <c r="E33" s="92">
        <f t="shared" si="0"/>
        <v>1.2992739641305378</v>
      </c>
      <c r="F33" s="45">
        <v>64.926599621061627</v>
      </c>
      <c r="G33" s="70">
        <f t="shared" si="1"/>
        <v>2.0011427854125054E-2</v>
      </c>
    </row>
    <row r="34" spans="2:7" s="25" customFormat="1" x14ac:dyDescent="0.25">
      <c r="B34" s="169">
        <v>22</v>
      </c>
      <c r="C34" s="48"/>
      <c r="D34" s="48"/>
      <c r="E34" s="92">
        <f t="shared" si="0"/>
        <v>1.3055007123485478</v>
      </c>
      <c r="F34" s="45">
        <v>65.325791514810419</v>
      </c>
      <c r="G34" s="70">
        <f t="shared" si="1"/>
        <v>1.9984460686596803E-2</v>
      </c>
    </row>
    <row r="35" spans="2:7" s="25" customFormat="1" ht="63" customHeight="1" x14ac:dyDescent="0.25">
      <c r="B35" s="84">
        <v>23</v>
      </c>
      <c r="C35" s="41" t="s">
        <v>22</v>
      </c>
      <c r="D35" s="170">
        <v>1.7372636054462667</v>
      </c>
      <c r="E35" s="171">
        <f>(1.0728 * D35 - 0.3457) * 1.3327652 / (1.0728 * 1.75 - 0.3457)</f>
        <v>1.3208762034466737</v>
      </c>
      <c r="F35" s="172">
        <v>65.780304330831555</v>
      </c>
      <c r="G35" s="173">
        <f>E35/F35</f>
        <v>2.0080116942049055E-2</v>
      </c>
    </row>
    <row r="36" spans="2:7" s="35" customFormat="1" x14ac:dyDescent="0.25">
      <c r="B36" s="84">
        <v>24</v>
      </c>
      <c r="C36" s="93"/>
      <c r="D36" s="32">
        <v>1.7462454098904858</v>
      </c>
      <c r="E36" s="171">
        <f t="shared" ref="E36:E72" si="2">(1.0728 * D36 - 0.3457) * 1.3327652 / (1.0728 * 1.75 - 0.3457)</f>
        <v>1.3292604162338533</v>
      </c>
      <c r="F36" s="45">
        <v>66.442278786561701</v>
      </c>
      <c r="G36" s="47">
        <f t="shared" ref="G36:G37" si="3">E36/F36</f>
        <v>2.0006243622437331E-2</v>
      </c>
    </row>
    <row r="37" spans="2:7" s="25" customFormat="1" x14ac:dyDescent="0.25">
      <c r="B37" s="168">
        <v>25</v>
      </c>
      <c r="C37" s="96"/>
      <c r="D37" s="97">
        <v>1.7548335398437895</v>
      </c>
      <c r="E37" s="252">
        <f t="shared" si="2"/>
        <v>1.3372771471056539</v>
      </c>
      <c r="F37" s="90">
        <v>67.078246029899788</v>
      </c>
      <c r="G37" s="101">
        <f t="shared" si="3"/>
        <v>1.9936078032057807E-2</v>
      </c>
    </row>
    <row r="38" spans="2:7" s="25" customFormat="1" x14ac:dyDescent="0.25">
      <c r="B38" s="84">
        <v>26</v>
      </c>
      <c r="C38" s="93"/>
      <c r="D38" s="32">
        <v>1.7630342860504022</v>
      </c>
      <c r="E38" s="171">
        <f t="shared" si="2"/>
        <v>1.3449322682605294</v>
      </c>
      <c r="F38" s="45">
        <v>67.688269215733612</v>
      </c>
      <c r="G38" s="47">
        <f>E38/F38</f>
        <v>1.9869503000202439E-2</v>
      </c>
    </row>
    <row r="39" spans="2:7" s="25" customFormat="1" x14ac:dyDescent="0.25">
      <c r="B39" s="84">
        <v>27</v>
      </c>
      <c r="C39" s="93"/>
      <c r="D39" s="32">
        <v>1.7708535756905106</v>
      </c>
      <c r="E39" s="171">
        <f t="shared" si="2"/>
        <v>1.3522313125221144</v>
      </c>
      <c r="F39" s="45">
        <v>68.272411498951101</v>
      </c>
      <c r="G39" s="47">
        <f t="shared" ref="G39:G72" si="4">E39/F39</f>
        <v>1.9806409101909186E-2</v>
      </c>
    </row>
    <row r="40" spans="2:7" s="25" customFormat="1" x14ac:dyDescent="0.25">
      <c r="B40" s="84">
        <v>28</v>
      </c>
      <c r="C40" s="93"/>
      <c r="D40" s="32">
        <v>1.7782969989458648</v>
      </c>
      <c r="E40" s="171">
        <f t="shared" si="2"/>
        <v>1.359179498137322</v>
      </c>
      <c r="F40" s="45">
        <v>68.830736034440065</v>
      </c>
      <c r="G40" s="47">
        <f t="shared" si="4"/>
        <v>1.9746694230572293E-2</v>
      </c>
    </row>
    <row r="41" spans="2:7" s="25" customFormat="1" x14ac:dyDescent="0.25">
      <c r="B41" s="84">
        <v>29</v>
      </c>
      <c r="C41" s="93"/>
      <c r="D41" s="32">
        <v>1.7853698292494875</v>
      </c>
      <c r="E41" s="171">
        <f t="shared" si="2"/>
        <v>1.3657817476787659</v>
      </c>
      <c r="F41" s="45">
        <v>69.363305977088416</v>
      </c>
      <c r="G41" s="47">
        <f t="shared" si="4"/>
        <v>1.9690263150517955E-2</v>
      </c>
    </row>
    <row r="42" spans="2:7" s="26" customFormat="1" x14ac:dyDescent="0.25">
      <c r="B42" s="84">
        <v>30</v>
      </c>
      <c r="C42" s="93"/>
      <c r="D42" s="32">
        <v>1.7920770406669644</v>
      </c>
      <c r="E42" s="171">
        <f t="shared" si="2"/>
        <v>1.3720427042696122</v>
      </c>
      <c r="F42" s="61">
        <v>69.87018448178398</v>
      </c>
      <c r="G42" s="100">
        <f t="shared" si="4"/>
        <v>1.9637027073076078E-2</v>
      </c>
    </row>
    <row r="43" spans="2:7" s="26" customFormat="1" x14ac:dyDescent="0.25">
      <c r="B43" s="84">
        <v>31</v>
      </c>
      <c r="C43" s="93"/>
      <c r="D43" s="32">
        <v>1.7984233234828528</v>
      </c>
      <c r="E43" s="171">
        <f t="shared" si="2"/>
        <v>1.3779667461329681</v>
      </c>
      <c r="F43" s="61">
        <v>70.351434703414611</v>
      </c>
      <c r="G43" s="100">
        <f t="shared" si="4"/>
        <v>1.9586903265614374E-2</v>
      </c>
    </row>
    <row r="44" spans="2:7" s="26" customFormat="1" x14ac:dyDescent="0.25">
      <c r="B44" s="84">
        <v>32</v>
      </c>
      <c r="C44" s="93"/>
      <c r="D44" s="32">
        <v>1.8044130983837079</v>
      </c>
      <c r="E44" s="171">
        <f t="shared" si="2"/>
        <v>1.3835579998312604</v>
      </c>
      <c r="F44" s="61">
        <v>70.807119796868221</v>
      </c>
      <c r="G44" s="100">
        <f t="shared" si="4"/>
        <v>1.9539814693782458E-2</v>
      </c>
    </row>
    <row r="45" spans="2:7" s="26" customFormat="1" x14ac:dyDescent="0.25">
      <c r="B45" s="84">
        <v>33</v>
      </c>
      <c r="C45" s="93"/>
      <c r="D45" s="32">
        <v>1.8100505294266482</v>
      </c>
      <c r="E45" s="171">
        <f t="shared" si="2"/>
        <v>1.3888203523719553</v>
      </c>
      <c r="F45" s="61">
        <v>71.237302917032622</v>
      </c>
      <c r="G45" s="100">
        <f t="shared" si="4"/>
        <v>1.9495689694898493E-2</v>
      </c>
    </row>
    <row r="46" spans="2:7" s="26" customFormat="1" x14ac:dyDescent="0.25">
      <c r="B46" s="84">
        <v>34</v>
      </c>
      <c r="C46" s="93"/>
      <c r="D46" s="32">
        <v>1.8153395359164715</v>
      </c>
      <c r="E46" s="171">
        <f t="shared" si="2"/>
        <v>1.3937574622944491</v>
      </c>
      <c r="F46" s="61">
        <v>71.64204721879571</v>
      </c>
      <c r="G46" s="100">
        <f t="shared" si="4"/>
        <v>1.9454461679994938E-2</v>
      </c>
    </row>
    <row r="47" spans="2:7" s="26" customFormat="1" x14ac:dyDescent="0.25">
      <c r="B47" s="84">
        <v>35</v>
      </c>
      <c r="C47" s="93"/>
      <c r="D47" s="32">
        <v>1.8202838032880166</v>
      </c>
      <c r="E47" s="171">
        <f t="shared" si="2"/>
        <v>1.3983727698283848</v>
      </c>
      <c r="F47" s="61">
        <v>72.021415857045355</v>
      </c>
      <c r="G47" s="100">
        <f t="shared" si="4"/>
        <v>1.9416068862128481E-2</v>
      </c>
    </row>
    <row r="48" spans="2:7" s="26" customFormat="1" x14ac:dyDescent="0.25">
      <c r="B48" s="84">
        <v>36</v>
      </c>
      <c r="C48" s="93"/>
      <c r="D48" s="32">
        <v>1.8248867930763126</v>
      </c>
      <c r="E48" s="171">
        <f t="shared" si="2"/>
        <v>1.4026695062004537</v>
      </c>
      <c r="F48" s="61">
        <v>72.375471986669368</v>
      </c>
      <c r="G48" s="100">
        <f t="shared" si="4"/>
        <v>1.9380454008767051E-2</v>
      </c>
    </row>
    <row r="49" spans="2:7" s="26" customFormat="1" x14ac:dyDescent="0.25">
      <c r="B49" s="84">
        <v>37</v>
      </c>
      <c r="C49" s="93"/>
      <c r="D49" s="32">
        <v>1.829151752047012</v>
      </c>
      <c r="E49" s="171">
        <f t="shared" si="2"/>
        <v>1.4066507021573476</v>
      </c>
      <c r="F49" s="61">
        <v>72.70427876255566</v>
      </c>
      <c r="G49" s="100">
        <f t="shared" si="4"/>
        <v>1.9347564216286597E-2</v>
      </c>
    </row>
    <row r="50" spans="2:7" s="26" customFormat="1" x14ac:dyDescent="0.25">
      <c r="B50" s="84">
        <v>38</v>
      </c>
      <c r="C50" s="93"/>
      <c r="D50" s="32">
        <v>1.8330817205514862</v>
      </c>
      <c r="E50" s="171">
        <f t="shared" si="2"/>
        <v>1.4103191957649581</v>
      </c>
      <c r="F50" s="61">
        <v>73.0078993395921</v>
      </c>
      <c r="G50" s="100">
        <f t="shared" si="4"/>
        <v>1.9317350704818097E-2</v>
      </c>
    </row>
    <row r="51" spans="2:7" s="26" customFormat="1" x14ac:dyDescent="0.25">
      <c r="B51" s="84">
        <v>39</v>
      </c>
      <c r="C51" s="93"/>
      <c r="D51" s="32">
        <v>1.836679540163896</v>
      </c>
      <c r="E51" s="171">
        <f t="shared" si="2"/>
        <v>1.4136776395373278</v>
      </c>
      <c r="F51" s="61">
        <v>73.286396872666501</v>
      </c>
      <c r="G51" s="100">
        <f t="shared" si="4"/>
        <v>1.9289768631872591E-2</v>
      </c>
    </row>
    <row r="52" spans="2:7" s="26" customFormat="1" x14ac:dyDescent="0.25">
      <c r="B52" s="84">
        <v>40</v>
      </c>
      <c r="C52" s="93"/>
      <c r="D52" s="32">
        <v>1.8399478606513409</v>
      </c>
      <c r="E52" s="171">
        <f t="shared" si="2"/>
        <v>1.4167285069430497</v>
      </c>
      <c r="F52" s="61">
        <v>73.539834516666772</v>
      </c>
      <c r="G52" s="100">
        <f t="shared" si="4"/>
        <v>1.9264776923341703E-2</v>
      </c>
    </row>
    <row r="53" spans="2:7" s="26" customFormat="1" x14ac:dyDescent="0.25">
      <c r="B53" s="84">
        <v>41</v>
      </c>
      <c r="C53" s="93"/>
      <c r="D53" s="32">
        <v>1.8428891463226258</v>
      </c>
      <c r="E53" s="171">
        <f t="shared" si="2"/>
        <v>1.4194740983316272</v>
      </c>
      <c r="F53" s="61">
        <v>73.76827542648077</v>
      </c>
      <c r="G53" s="100">
        <f t="shared" si="4"/>
        <v>1.9242338120623533E-2</v>
      </c>
    </row>
    <row r="54" spans="2:7" s="26" customFormat="1" x14ac:dyDescent="0.25">
      <c r="B54" s="84">
        <v>42</v>
      </c>
      <c r="C54" s="93"/>
      <c r="D54" s="32">
        <v>1.8455056817962137</v>
      </c>
      <c r="E54" s="171">
        <f t="shared" si="2"/>
        <v>1.4219165463176644</v>
      </c>
      <c r="F54" s="61">
        <v>73.971782756996333</v>
      </c>
      <c r="G54" s="100">
        <f t="shared" si="4"/>
        <v>1.922241824276133E-2</v>
      </c>
    </row>
    <row r="55" spans="2:7" s="26" customFormat="1" x14ac:dyDescent="0.25">
      <c r="B55" s="84">
        <v>43</v>
      </c>
      <c r="C55" s="93"/>
      <c r="D55" s="32">
        <v>1.8477995772234119</v>
      </c>
      <c r="E55" s="171">
        <f t="shared" si="2"/>
        <v>1.424057820656536</v>
      </c>
      <c r="F55" s="61">
        <v>74.15041966310136</v>
      </c>
      <c r="G55" s="100">
        <f t="shared" si="4"/>
        <v>1.9204986662606494E-2</v>
      </c>
    </row>
    <row r="56" spans="2:7" s="26" customFormat="1" x14ac:dyDescent="0.25">
      <c r="B56" s="84">
        <v>44</v>
      </c>
      <c r="C56" s="93"/>
      <c r="D56" s="32">
        <v>1.8497727729988007</v>
      </c>
      <c r="E56" s="171">
        <f t="shared" si="2"/>
        <v>1.4258997326414125</v>
      </c>
      <c r="F56" s="61">
        <v>74.304249299683661</v>
      </c>
      <c r="G56" s="100">
        <f t="shared" si="4"/>
        <v>1.9190015996130697E-2</v>
      </c>
    </row>
    <row r="57" spans="2:7" s="26" customFormat="1" x14ac:dyDescent="0.25">
      <c r="B57" s="84">
        <v>45</v>
      </c>
      <c r="C57" s="93"/>
      <c r="D57" s="32">
        <v>1.8514270439862035</v>
      </c>
      <c r="E57" s="171">
        <f t="shared" si="2"/>
        <v>1.4274439390480627</v>
      </c>
      <c r="F57" s="61">
        <v>74.433334821631163</v>
      </c>
      <c r="G57" s="100">
        <f t="shared" si="4"/>
        <v>1.9177482004114524E-2</v>
      </c>
    </row>
    <row r="58" spans="2:7" s="26" customFormat="1" x14ac:dyDescent="0.25">
      <c r="B58" s="84">
        <v>46</v>
      </c>
      <c r="C58" s="93"/>
      <c r="D58" s="32">
        <v>1.8527640032851145</v>
      </c>
      <c r="E58" s="171">
        <f t="shared" si="2"/>
        <v>1.4286919456506872</v>
      </c>
      <c r="F58" s="61">
        <v>74.537739383831678</v>
      </c>
      <c r="G58" s="100">
        <f t="shared" si="4"/>
        <v>1.9167363505534371E-2</v>
      </c>
    </row>
    <row r="59" spans="2:7" s="26" customFormat="1" x14ac:dyDescent="0.25">
      <c r="B59" s="84">
        <v>47</v>
      </c>
      <c r="C59" s="93"/>
      <c r="D59" s="32">
        <v>1.8537851055594012</v>
      </c>
      <c r="E59" s="171">
        <f t="shared" si="2"/>
        <v>1.4296451103291505</v>
      </c>
      <c r="F59" s="61">
        <v>74.617526141173087</v>
      </c>
      <c r="G59" s="100">
        <f t="shared" si="4"/>
        <v>1.9159642302055482E-2</v>
      </c>
    </row>
    <row r="60" spans="2:7" s="26" customFormat="1" x14ac:dyDescent="0.25">
      <c r="B60" s="84">
        <v>48</v>
      </c>
      <c r="C60" s="93"/>
      <c r="D60" s="32">
        <v>1.8544916499472395</v>
      </c>
      <c r="E60" s="171">
        <f t="shared" si="2"/>
        <v>1.4303046457853064</v>
      </c>
      <c r="F60" s="61">
        <v>74.672758248543275</v>
      </c>
      <c r="G60" s="100">
        <f t="shared" si="4"/>
        <v>1.9154303113119688E-2</v>
      </c>
    </row>
    <row r="61" spans="2:7" s="26" customFormat="1" x14ac:dyDescent="0.25">
      <c r="B61" s="84">
        <v>49</v>
      </c>
      <c r="C61" s="93"/>
      <c r="D61" s="32">
        <v>1.8548847825685495</v>
      </c>
      <c r="E61" s="171">
        <f t="shared" si="2"/>
        <v>1.430671621883608</v>
      </c>
      <c r="F61" s="61">
        <v>74.703498860830067</v>
      </c>
      <c r="G61" s="100">
        <f t="shared" si="4"/>
        <v>1.9151333521190188E-2</v>
      </c>
    </row>
    <row r="62" spans="2:7" s="26" customFormat="1" x14ac:dyDescent="0.25">
      <c r="B62" s="84">
        <v>50</v>
      </c>
      <c r="C62" s="93"/>
      <c r="D62" s="32">
        <v>1.854965498643766</v>
      </c>
      <c r="E62" s="171">
        <f t="shared" si="2"/>
        <v>1.4307469676289051</v>
      </c>
      <c r="F62" s="61">
        <v>74.709811132921374</v>
      </c>
      <c r="G62" s="100">
        <f t="shared" si="4"/>
        <v>1.9150723926786063E-2</v>
      </c>
    </row>
    <row r="63" spans="2:7" s="26" customFormat="1" x14ac:dyDescent="0.25">
      <c r="B63" s="84">
        <v>51</v>
      </c>
      <c r="C63" s="93"/>
      <c r="D63" s="32">
        <v>1.8547346442353214</v>
      </c>
      <c r="E63" s="171">
        <f t="shared" si="2"/>
        <v>1.4305314727920624</v>
      </c>
      <c r="F63" s="61">
        <v>74.69175821970498</v>
      </c>
      <c r="G63" s="100">
        <f t="shared" si="4"/>
        <v>1.9152467513004177E-2</v>
      </c>
    </row>
    <row r="64" spans="2:7" s="26" customFormat="1" x14ac:dyDescent="0.25">
      <c r="B64" s="84">
        <v>52</v>
      </c>
      <c r="C64" s="93"/>
      <c r="D64" s="32">
        <v>1.854192917621122</v>
      </c>
      <c r="E64" s="171">
        <f t="shared" si="2"/>
        <v>1.4300257891920536</v>
      </c>
      <c r="F64" s="61">
        <v>74.649403276068824</v>
      </c>
      <c r="G64" s="100">
        <f t="shared" si="4"/>
        <v>1.915656021928969E-2</v>
      </c>
    </row>
    <row r="65" spans="2:7" s="26" customFormat="1" x14ac:dyDescent="0.25">
      <c r="B65" s="84">
        <v>53</v>
      </c>
      <c r="C65" s="93"/>
      <c r="D65" s="32">
        <v>1.8533408703070131</v>
      </c>
      <c r="E65" s="171">
        <f t="shared" si="2"/>
        <v>1.4292304316410629</v>
      </c>
      <c r="F65" s="61">
        <v>74.582809456900748</v>
      </c>
      <c r="G65" s="100">
        <f t="shared" si="4"/>
        <v>1.9163000724275129E-2</v>
      </c>
    </row>
    <row r="66" spans="2:7" s="26" customFormat="1" x14ac:dyDescent="0.25">
      <c r="B66" s="84">
        <v>54</v>
      </c>
      <c r="C66" s="93"/>
      <c r="D66" s="32">
        <v>1.8521789076832842</v>
      </c>
      <c r="E66" s="171">
        <f t="shared" si="2"/>
        <v>1.4281457785573093</v>
      </c>
      <c r="F66" s="61">
        <v>74.492039917088604</v>
      </c>
      <c r="G66" s="100">
        <f t="shared" si="4"/>
        <v>1.9171790437567143E-2</v>
      </c>
    </row>
    <row r="67" spans="2:7" s="26" customFormat="1" x14ac:dyDescent="0.25">
      <c r="B67" s="84">
        <v>55</v>
      </c>
      <c r="C67" s="93"/>
      <c r="D67" s="32">
        <v>1.8507072893281238</v>
      </c>
      <c r="E67" s="171">
        <f t="shared" si="2"/>
        <v>1.4267720722483141</v>
      </c>
      <c r="F67" s="61">
        <v>74.377157811520263</v>
      </c>
      <c r="G67" s="100">
        <f t="shared" si="4"/>
        <v>1.9182933500415656E-2</v>
      </c>
    </row>
    <row r="68" spans="2:7" s="26" customFormat="1" x14ac:dyDescent="0.25">
      <c r="B68" s="84">
        <v>56</v>
      </c>
      <c r="C68" s="93"/>
      <c r="D68" s="32">
        <v>1.8489261289590395</v>
      </c>
      <c r="E68" s="171">
        <f t="shared" si="2"/>
        <v>1.4251094188655518</v>
      </c>
      <c r="F68" s="61">
        <v>74.238226295083564</v>
      </c>
      <c r="G68" s="100">
        <f t="shared" si="4"/>
        <v>1.9196436795256917E-2</v>
      </c>
    </row>
    <row r="69" spans="2:7" s="26" customFormat="1" x14ac:dyDescent="0.25">
      <c r="B69" s="84">
        <v>57</v>
      </c>
      <c r="C69" s="93"/>
      <c r="D69" s="32">
        <v>1.8468353940311877</v>
      </c>
      <c r="E69" s="171">
        <f t="shared" si="2"/>
        <v>1.4231577880295028</v>
      </c>
      <c r="F69" s="61">
        <v>74.075308522666418</v>
      </c>
      <c r="G69" s="100">
        <f t="shared" si="4"/>
        <v>1.9212309964176909E-2</v>
      </c>
    </row>
    <row r="70" spans="2:7" s="26" customFormat="1" x14ac:dyDescent="0.25">
      <c r="B70" s="84">
        <v>58</v>
      </c>
      <c r="C70" s="93"/>
      <c r="D70" s="32">
        <v>1.8444349049795887</v>
      </c>
      <c r="E70" s="171">
        <f t="shared" si="2"/>
        <v>1.42091701212229</v>
      </c>
      <c r="F70" s="61">
        <v>73.888467649156638</v>
      </c>
      <c r="G70" s="100">
        <f t="shared" si="4"/>
        <v>1.9230565436398089E-2</v>
      </c>
    </row>
    <row r="71" spans="2:7" s="26" customFormat="1" x14ac:dyDescent="0.25">
      <c r="B71" s="84">
        <v>59</v>
      </c>
      <c r="C71" s="93"/>
      <c r="D71" s="32">
        <v>1.8417243341001681</v>
      </c>
      <c r="E71" s="171">
        <f t="shared" si="2"/>
        <v>1.4183867852431666</v>
      </c>
      <c r="F71" s="61">
        <v>73.67776682944212</v>
      </c>
      <c r="G71" s="100">
        <f t="shared" si="4"/>
        <v>1.9251218464949049E-2</v>
      </c>
    </row>
    <row r="72" spans="2:7" s="26" customFormat="1" x14ac:dyDescent="0.25">
      <c r="B72" s="84">
        <v>60</v>
      </c>
      <c r="C72" s="93"/>
      <c r="D72" s="32">
        <v>1.8387032040624416</v>
      </c>
      <c r="E72" s="171">
        <f t="shared" si="2"/>
        <v>1.4155666618201566</v>
      </c>
      <c r="F72" s="61">
        <v>73.443269218410734</v>
      </c>
      <c r="G72" s="100">
        <f t="shared" si="4"/>
        <v>1.9274287172735261E-2</v>
      </c>
    </row>
    <row r="73" spans="2:7" s="26" customFormat="1" x14ac:dyDescent="0.25"/>
    <row r="74" spans="2:7" s="2" customFormat="1" x14ac:dyDescent="0.25"/>
    <row r="75" spans="2:7" s="2" customFormat="1" x14ac:dyDescent="0.25"/>
    <row r="76" spans="2:7" s="2" customFormat="1" x14ac:dyDescent="0.25"/>
    <row r="77" spans="2:7" s="2" customFormat="1" x14ac:dyDescent="0.25"/>
    <row r="78" spans="2:7" s="2" customFormat="1" x14ac:dyDescent="0.25"/>
    <row r="79" spans="2:7" s="2" customFormat="1" x14ac:dyDescent="0.25"/>
    <row r="80" spans="2:7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</sheetData>
  <mergeCells count="2">
    <mergeCell ref="B1:E1"/>
    <mergeCell ref="S6:U6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L299"/>
  <sheetViews>
    <sheetView zoomScale="70" zoomScaleNormal="70" workbookViewId="0">
      <selection activeCell="G32" sqref="G32"/>
    </sheetView>
  </sheetViews>
  <sheetFormatPr defaultColWidth="9.140625" defaultRowHeight="15.75" x14ac:dyDescent="0.25"/>
  <cols>
    <col min="1" max="1" width="9.140625" style="3"/>
    <col min="2" max="2" width="15" style="2" customWidth="1"/>
    <col min="3" max="3" width="17.7109375" style="3" customWidth="1"/>
    <col min="4" max="4" width="21.5703125" style="3" customWidth="1"/>
    <col min="5" max="5" width="10.7109375" style="3" customWidth="1"/>
    <col min="6" max="6" width="21.140625" style="2" bestFit="1" customWidth="1"/>
    <col min="7" max="7" width="20.5703125" style="3" customWidth="1"/>
    <col min="8" max="16384" width="9.140625" style="3"/>
  </cols>
  <sheetData>
    <row r="1" spans="2:7" ht="59.25" customHeight="1" x14ac:dyDescent="0.25">
      <c r="B1" s="248" t="s">
        <v>151</v>
      </c>
      <c r="C1" s="248"/>
      <c r="D1" s="248"/>
      <c r="E1" s="248"/>
      <c r="F1" s="3"/>
    </row>
    <row r="2" spans="2:7" ht="45" customHeight="1" x14ac:dyDescent="0.25">
      <c r="B2" s="62" t="s">
        <v>124</v>
      </c>
      <c r="C2" s="62" t="s">
        <v>125</v>
      </c>
      <c r="D2" s="62" t="s">
        <v>232</v>
      </c>
      <c r="E2" s="62"/>
      <c r="F2" s="3"/>
    </row>
    <row r="3" spans="2:7" x14ac:dyDescent="0.25">
      <c r="B3" s="62" t="s">
        <v>126</v>
      </c>
      <c r="C3" s="62"/>
      <c r="D3" s="62" t="s">
        <v>127</v>
      </c>
      <c r="E3" s="62"/>
      <c r="F3" s="3"/>
    </row>
    <row r="4" spans="2:7" ht="58.5" customHeight="1" x14ac:dyDescent="0.25">
      <c r="B4" s="62" t="s">
        <v>141</v>
      </c>
      <c r="C4" s="62" t="s">
        <v>142</v>
      </c>
      <c r="D4" s="62" t="s">
        <v>140</v>
      </c>
      <c r="E4" s="62"/>
      <c r="F4" s="3"/>
    </row>
    <row r="6" spans="2:7" ht="38.25" customHeight="1" x14ac:dyDescent="0.25">
      <c r="B6" s="217" t="s">
        <v>15</v>
      </c>
      <c r="C6" s="218" t="s">
        <v>21</v>
      </c>
      <c r="D6" s="218" t="s">
        <v>74</v>
      </c>
      <c r="E6" s="218" t="s">
        <v>139</v>
      </c>
      <c r="F6" s="209" t="s">
        <v>128</v>
      </c>
      <c r="G6" s="209" t="s">
        <v>129</v>
      </c>
    </row>
    <row r="7" spans="2:7" s="25" customFormat="1" x14ac:dyDescent="0.25">
      <c r="B7" s="174">
        <v>0.5</v>
      </c>
      <c r="C7" s="90">
        <v>6.9154266062882783</v>
      </c>
      <c r="D7" s="90">
        <v>2.5875450899468335</v>
      </c>
      <c r="E7" s="90">
        <f>C7-D7</f>
        <v>4.3278815163414448</v>
      </c>
      <c r="F7" s="102">
        <f>0.027 * E7</f>
        <v>0.11685280094121901</v>
      </c>
      <c r="G7" s="121">
        <f>F7/C7</f>
        <v>1.6897410325338917E-2</v>
      </c>
    </row>
    <row r="8" spans="2:7" s="25" customFormat="1" x14ac:dyDescent="0.25">
      <c r="B8" s="174">
        <v>1</v>
      </c>
      <c r="C8" s="90">
        <v>9.363369181598614</v>
      </c>
      <c r="D8" s="90">
        <v>3.5209536565570874</v>
      </c>
      <c r="E8" s="90">
        <f t="shared" ref="E8:E67" si="0">C8-D8</f>
        <v>5.8424155250415266</v>
      </c>
      <c r="F8" s="102">
        <f t="shared" ref="F8:F67" si="1">0.027 * E8</f>
        <v>0.15774521917612122</v>
      </c>
      <c r="G8" s="121">
        <f t="shared" ref="G8:G67" si="2">F8/C8</f>
        <v>1.6847057519224003E-2</v>
      </c>
    </row>
    <row r="9" spans="2:7" s="25" customFormat="1" x14ac:dyDescent="0.25">
      <c r="B9" s="141">
        <v>2</v>
      </c>
      <c r="C9" s="45">
        <v>12.915540478557535</v>
      </c>
      <c r="D9" s="45">
        <v>4.631676523935778</v>
      </c>
      <c r="E9" s="45">
        <f t="shared" si="0"/>
        <v>8.2838639546217578</v>
      </c>
      <c r="F9" s="46">
        <f t="shared" si="1"/>
        <v>0.22366432677478745</v>
      </c>
      <c r="G9" s="122">
        <f t="shared" si="2"/>
        <v>1.7317457766952645E-2</v>
      </c>
    </row>
    <row r="10" spans="2:7" s="25" customFormat="1" x14ac:dyDescent="0.25">
      <c r="B10" s="141">
        <v>3</v>
      </c>
      <c r="C10" s="45">
        <v>15.501380951815555</v>
      </c>
      <c r="D10" s="45">
        <v>5.2792939820231934</v>
      </c>
      <c r="E10" s="45">
        <f t="shared" si="0"/>
        <v>10.222086969792361</v>
      </c>
      <c r="F10" s="46">
        <f t="shared" si="1"/>
        <v>0.27599634818439372</v>
      </c>
      <c r="G10" s="122">
        <f t="shared" si="2"/>
        <v>1.7804629732170309E-2</v>
      </c>
    </row>
    <row r="11" spans="2:7" s="25" customFormat="1" x14ac:dyDescent="0.25">
      <c r="B11" s="141">
        <v>4</v>
      </c>
      <c r="C11" s="45">
        <v>17.658377304122929</v>
      </c>
      <c r="D11" s="45">
        <v>5.599409402696244</v>
      </c>
      <c r="E11" s="45">
        <f t="shared" si="0"/>
        <v>12.058967901426685</v>
      </c>
      <c r="F11" s="46">
        <f t="shared" si="1"/>
        <v>0.3255921333385205</v>
      </c>
      <c r="G11" s="122">
        <f t="shared" si="2"/>
        <v>1.8438394861032915E-2</v>
      </c>
    </row>
    <row r="12" spans="2:7" s="25" customFormat="1" x14ac:dyDescent="0.25">
      <c r="B12" s="174">
        <v>5</v>
      </c>
      <c r="C12" s="90">
        <v>19.714719765531608</v>
      </c>
      <c r="D12" s="90">
        <v>5.887478630895</v>
      </c>
      <c r="E12" s="90">
        <f t="shared" si="0"/>
        <v>13.827241134636608</v>
      </c>
      <c r="F12" s="102">
        <f t="shared" si="1"/>
        <v>0.37333551063518844</v>
      </c>
      <c r="G12" s="121">
        <f t="shared" si="2"/>
        <v>1.8936891575193102E-2</v>
      </c>
    </row>
    <row r="13" spans="2:7" s="25" customFormat="1" x14ac:dyDescent="0.25">
      <c r="B13" s="141">
        <v>6</v>
      </c>
      <c r="C13" s="45">
        <v>21.92310304640738</v>
      </c>
      <c r="D13" s="45">
        <v>6.3108494299277922</v>
      </c>
      <c r="E13" s="45">
        <f t="shared" si="0"/>
        <v>15.612253616479588</v>
      </c>
      <c r="F13" s="46">
        <f t="shared" si="1"/>
        <v>0.42153084764494886</v>
      </c>
      <c r="G13" s="122">
        <f t="shared" si="2"/>
        <v>1.9227699963487908E-2</v>
      </c>
    </row>
    <row r="14" spans="2:7" s="25" customFormat="1" x14ac:dyDescent="0.25">
      <c r="B14" s="141">
        <v>7</v>
      </c>
      <c r="C14" s="45">
        <v>24.506576900677818</v>
      </c>
      <c r="D14" s="45">
        <v>6.9610819290740382</v>
      </c>
      <c r="E14" s="45">
        <f t="shared" si="0"/>
        <v>17.54549497160378</v>
      </c>
      <c r="F14" s="46">
        <f t="shared" si="1"/>
        <v>0.47372836423330206</v>
      </c>
      <c r="G14" s="122">
        <f t="shared" si="2"/>
        <v>1.9330662383133541E-2</v>
      </c>
    </row>
    <row r="15" spans="2:7" s="25" customFormat="1" x14ac:dyDescent="0.25">
      <c r="B15" s="141">
        <v>8</v>
      </c>
      <c r="C15" s="45">
        <v>27.656407916528913</v>
      </c>
      <c r="D15" s="45">
        <v>7.9034080522522094</v>
      </c>
      <c r="E15" s="45">
        <f t="shared" si="0"/>
        <v>19.752999864276703</v>
      </c>
      <c r="F15" s="46">
        <f t="shared" si="1"/>
        <v>0.53333099633547099</v>
      </c>
      <c r="G15" s="122">
        <f t="shared" si="2"/>
        <v>1.9284174501082788E-2</v>
      </c>
    </row>
    <row r="16" spans="2:7" s="25" customFormat="1" x14ac:dyDescent="0.25">
      <c r="B16" s="141">
        <v>9</v>
      </c>
      <c r="C16" s="45">
        <v>31.490090721081462</v>
      </c>
      <c r="D16" s="45">
        <v>9.144504817748075</v>
      </c>
      <c r="E16" s="45">
        <f t="shared" si="0"/>
        <v>22.345585903333387</v>
      </c>
      <c r="F16" s="46">
        <f t="shared" si="1"/>
        <v>0.60333081939000144</v>
      </c>
      <c r="G16" s="122">
        <f t="shared" si="2"/>
        <v>1.9159386510947507E-2</v>
      </c>
    </row>
    <row r="17" spans="2:12" s="25" customFormat="1" x14ac:dyDescent="0.25">
      <c r="B17" s="174">
        <v>10</v>
      </c>
      <c r="C17" s="90">
        <v>35.983607211042894</v>
      </c>
      <c r="D17" s="90">
        <v>10.572882197454184</v>
      </c>
      <c r="E17" s="90">
        <f t="shared" si="0"/>
        <v>25.41072501358871</v>
      </c>
      <c r="F17" s="102">
        <f t="shared" si="1"/>
        <v>0.68608957536689519</v>
      </c>
      <c r="G17" s="121">
        <f t="shared" si="2"/>
        <v>1.9066725893904915E-2</v>
      </c>
    </row>
    <row r="18" spans="2:12" s="25" customFormat="1" x14ac:dyDescent="0.25">
      <c r="B18" s="141">
        <v>11</v>
      </c>
      <c r="C18" s="45">
        <v>40.920968011983341</v>
      </c>
      <c r="D18" s="45">
        <v>12.029431615891291</v>
      </c>
      <c r="E18" s="45">
        <f t="shared" si="0"/>
        <v>28.89153639609205</v>
      </c>
      <c r="F18" s="46">
        <f t="shared" si="1"/>
        <v>0.78007148269448534</v>
      </c>
      <c r="G18" s="122">
        <f t="shared" si="2"/>
        <v>1.9062879511209226E-2</v>
      </c>
    </row>
    <row r="19" spans="2:12" s="25" customFormat="1" x14ac:dyDescent="0.25">
      <c r="B19" s="141">
        <v>12</v>
      </c>
      <c r="C19" s="45">
        <v>45.921621798727614</v>
      </c>
      <c r="D19" s="45">
        <v>13.585375419622018</v>
      </c>
      <c r="E19" s="45">
        <f t="shared" si="0"/>
        <v>32.336246379105596</v>
      </c>
      <c r="F19" s="46">
        <f t="shared" si="1"/>
        <v>0.87307865223585113</v>
      </c>
      <c r="G19" s="122">
        <f t="shared" si="2"/>
        <v>1.9012365374692454E-2</v>
      </c>
    </row>
    <row r="20" spans="2:12" s="25" customFormat="1" x14ac:dyDescent="0.25">
      <c r="B20" s="141">
        <v>13</v>
      </c>
      <c r="C20" s="45">
        <v>50.562974255063295</v>
      </c>
      <c r="D20" s="45">
        <v>15.348905744212924</v>
      </c>
      <c r="E20" s="45">
        <f t="shared" si="0"/>
        <v>35.214068510850367</v>
      </c>
      <c r="F20" s="46">
        <f t="shared" si="1"/>
        <v>0.95077984979295993</v>
      </c>
      <c r="G20" s="122">
        <f t="shared" si="2"/>
        <v>1.880387504494458E-2</v>
      </c>
    </row>
    <row r="21" spans="2:12" s="25" customFormat="1" x14ac:dyDescent="0.25">
      <c r="B21" s="141">
        <v>14</v>
      </c>
      <c r="C21" s="45">
        <v>54.528713185550821</v>
      </c>
      <c r="D21" s="45">
        <v>17.124619812127957</v>
      </c>
      <c r="E21" s="45">
        <f t="shared" si="0"/>
        <v>37.404093373422867</v>
      </c>
      <c r="F21" s="46">
        <f t="shared" si="1"/>
        <v>1.0099105210824173</v>
      </c>
      <c r="G21" s="122">
        <f t="shared" si="2"/>
        <v>1.8520710687704736E-2</v>
      </c>
    </row>
    <row r="22" spans="2:12" s="25" customFormat="1" x14ac:dyDescent="0.25">
      <c r="B22" s="141">
        <v>15</v>
      </c>
      <c r="C22" s="45">
        <v>57.686468800180961</v>
      </c>
      <c r="D22" s="45">
        <v>18.673970820048595</v>
      </c>
      <c r="E22" s="45">
        <f t="shared" si="0"/>
        <v>39.012497980132366</v>
      </c>
      <c r="F22" s="46">
        <f t="shared" si="1"/>
        <v>1.0533374454635738</v>
      </c>
      <c r="G22" s="122">
        <f t="shared" si="2"/>
        <v>1.8259697072327462E-2</v>
      </c>
    </row>
    <row r="23" spans="2:12" s="25" customFormat="1" x14ac:dyDescent="0.25">
      <c r="B23" s="141">
        <v>16</v>
      </c>
      <c r="C23" s="45">
        <v>60.067672365756145</v>
      </c>
      <c r="D23" s="45">
        <v>19.902993747941373</v>
      </c>
      <c r="E23" s="45">
        <f t="shared" si="0"/>
        <v>40.164678617814772</v>
      </c>
      <c r="F23" s="46">
        <f t="shared" si="1"/>
        <v>1.0844463226809988</v>
      </c>
      <c r="G23" s="122">
        <f t="shared" si="2"/>
        <v>1.8053743052964186E-2</v>
      </c>
    </row>
    <row r="24" spans="2:12" s="25" customFormat="1" x14ac:dyDescent="0.25">
      <c r="B24" s="141">
        <v>17</v>
      </c>
      <c r="C24" s="45">
        <v>61.796641311133001</v>
      </c>
      <c r="D24" s="45">
        <v>20.829952324095235</v>
      </c>
      <c r="E24" s="45">
        <f t="shared" si="0"/>
        <v>40.96668898703777</v>
      </c>
      <c r="F24" s="46">
        <f t="shared" si="1"/>
        <v>1.1061006026500197</v>
      </c>
      <c r="G24" s="122">
        <f t="shared" si="2"/>
        <v>1.7899040776035668E-2</v>
      </c>
    </row>
    <row r="25" spans="2:12" s="25" customFormat="1" x14ac:dyDescent="0.25">
      <c r="B25" s="141">
        <v>18</v>
      </c>
      <c r="C25" s="45">
        <v>63.023876884237708</v>
      </c>
      <c r="D25" s="45">
        <v>21.519108628539762</v>
      </c>
      <c r="E25" s="45">
        <f t="shared" si="0"/>
        <v>41.504768255697947</v>
      </c>
      <c r="F25" s="46">
        <f t="shared" si="1"/>
        <v>1.1206287429038446</v>
      </c>
      <c r="G25" s="122">
        <f t="shared" si="2"/>
        <v>1.7781018850398813E-2</v>
      </c>
    </row>
    <row r="26" spans="2:12" s="25" customFormat="1" x14ac:dyDescent="0.25">
      <c r="B26" s="141">
        <v>19</v>
      </c>
      <c r="C26" s="45">
        <v>63.886643111966308</v>
      </c>
      <c r="D26" s="45">
        <v>22.040064549948784</v>
      </c>
      <c r="E26" s="45">
        <f t="shared" si="0"/>
        <v>41.846578562017527</v>
      </c>
      <c r="F26" s="46">
        <f t="shared" si="1"/>
        <v>1.1298576211744733</v>
      </c>
      <c r="G26" s="122">
        <f t="shared" si="2"/>
        <v>1.7685349646471643E-2</v>
      </c>
    </row>
    <row r="27" spans="2:12" s="25" customFormat="1" x14ac:dyDescent="0.25">
      <c r="B27" s="141">
        <v>20</v>
      </c>
      <c r="C27" s="45">
        <v>64.494109284869964</v>
      </c>
      <c r="D27" s="45">
        <v>22.450929687308015</v>
      </c>
      <c r="E27" s="45">
        <f t="shared" si="0"/>
        <v>42.043179597561945</v>
      </c>
      <c r="F27" s="46">
        <f t="shared" si="1"/>
        <v>1.1351658491341725</v>
      </c>
      <c r="G27" s="122">
        <f t="shared" si="2"/>
        <v>1.7601078016600772E-2</v>
      </c>
    </row>
    <row r="28" spans="2:12" s="25" customFormat="1" x14ac:dyDescent="0.25">
      <c r="B28" s="141">
        <v>21</v>
      </c>
      <c r="C28" s="45">
        <v>64.926599621061627</v>
      </c>
      <c r="D28" s="45">
        <v>22.79467037153621</v>
      </c>
      <c r="E28" s="45">
        <f t="shared" si="0"/>
        <v>42.131929249525413</v>
      </c>
      <c r="F28" s="46">
        <f t="shared" si="1"/>
        <v>1.1375620897371861</v>
      </c>
      <c r="G28" s="122">
        <f t="shared" si="2"/>
        <v>1.7520740287901522E-2</v>
      </c>
    </row>
    <row r="29" spans="2:12" s="25" customFormat="1" x14ac:dyDescent="0.25">
      <c r="B29" s="141">
        <v>22</v>
      </c>
      <c r="C29" s="45">
        <v>65.325791514810419</v>
      </c>
      <c r="D29" s="45">
        <v>23.148656595379133</v>
      </c>
      <c r="E29" s="45">
        <f t="shared" si="0"/>
        <v>42.177134919431282</v>
      </c>
      <c r="F29" s="46">
        <f t="shared" si="1"/>
        <v>1.1387826428246446</v>
      </c>
      <c r="G29" s="122">
        <f t="shared" si="2"/>
        <v>1.7432358895589715E-2</v>
      </c>
    </row>
    <row r="30" spans="2:12" s="26" customFormat="1" x14ac:dyDescent="0.25">
      <c r="B30" s="141">
        <v>23</v>
      </c>
      <c r="C30" s="45">
        <v>65.780304330831555</v>
      </c>
      <c r="D30" s="45">
        <v>23.560632511533008</v>
      </c>
      <c r="E30" s="45">
        <f t="shared" si="0"/>
        <v>42.219671819298547</v>
      </c>
      <c r="F30" s="46">
        <f t="shared" si="1"/>
        <v>1.1399311391210607</v>
      </c>
      <c r="G30" s="122">
        <f t="shared" si="2"/>
        <v>1.7329368581026301E-2</v>
      </c>
    </row>
    <row r="31" spans="2:12" s="26" customFormat="1" x14ac:dyDescent="0.25">
      <c r="B31" s="141">
        <v>24</v>
      </c>
      <c r="C31" s="45">
        <v>66.442278786561701</v>
      </c>
      <c r="D31" s="45">
        <v>24.115013788679665</v>
      </c>
      <c r="E31" s="45">
        <f t="shared" si="0"/>
        <v>42.32726499788204</v>
      </c>
      <c r="F31" s="46">
        <f t="shared" si="1"/>
        <v>1.142836154942815</v>
      </c>
      <c r="G31" s="122">
        <f t="shared" si="2"/>
        <v>1.7200435864249131E-2</v>
      </c>
    </row>
    <row r="32" spans="2:12" s="26" customFormat="1" x14ac:dyDescent="0.25">
      <c r="B32" s="174">
        <v>25</v>
      </c>
      <c r="C32" s="90">
        <v>67.078246029899788</v>
      </c>
      <c r="D32" s="90">
        <v>24.679721568386483</v>
      </c>
      <c r="E32" s="90">
        <f t="shared" si="0"/>
        <v>42.398524461513304</v>
      </c>
      <c r="F32" s="102">
        <f t="shared" si="1"/>
        <v>1.1447601604608593</v>
      </c>
      <c r="G32" s="121">
        <f t="shared" si="2"/>
        <v>1.7066041946752576E-2</v>
      </c>
      <c r="J32" s="244" t="s">
        <v>236</v>
      </c>
      <c r="K32" s="245"/>
      <c r="L32" s="246"/>
    </row>
    <row r="33" spans="2:12" s="26" customFormat="1" ht="30" x14ac:dyDescent="0.25">
      <c r="B33" s="141">
        <v>26</v>
      </c>
      <c r="C33" s="45">
        <v>67.688269215733612</v>
      </c>
      <c r="D33" s="45">
        <v>25.09049542399929</v>
      </c>
      <c r="E33" s="45">
        <f t="shared" si="0"/>
        <v>42.597773791734326</v>
      </c>
      <c r="F33" s="46">
        <f t="shared" si="1"/>
        <v>1.1501398923768269</v>
      </c>
      <c r="G33" s="122">
        <f t="shared" si="2"/>
        <v>1.6991716669710413E-2</v>
      </c>
      <c r="J33" s="127" t="s">
        <v>15</v>
      </c>
      <c r="K33" s="128" t="s">
        <v>237</v>
      </c>
      <c r="L33" s="127" t="s">
        <v>238</v>
      </c>
    </row>
    <row r="34" spans="2:12" s="26" customFormat="1" x14ac:dyDescent="0.25">
      <c r="B34" s="141">
        <v>27</v>
      </c>
      <c r="C34" s="45">
        <v>68.272411498951101</v>
      </c>
      <c r="D34" s="45">
        <v>25.487310892572715</v>
      </c>
      <c r="E34" s="45">
        <f t="shared" si="0"/>
        <v>42.785100606378386</v>
      </c>
      <c r="F34" s="46">
        <f t="shared" si="1"/>
        <v>1.1551977163722165</v>
      </c>
      <c r="G34" s="122">
        <f t="shared" si="2"/>
        <v>1.6920417647616919E-2</v>
      </c>
      <c r="J34" s="127" t="s">
        <v>239</v>
      </c>
      <c r="K34" s="127">
        <v>54</v>
      </c>
      <c r="L34" s="127"/>
    </row>
    <row r="35" spans="2:12" s="26" customFormat="1" x14ac:dyDescent="0.25">
      <c r="B35" s="141">
        <v>28</v>
      </c>
      <c r="C35" s="45">
        <v>68.830736034440065</v>
      </c>
      <c r="D35" s="45">
        <v>25.869969364711764</v>
      </c>
      <c r="E35" s="45">
        <f t="shared" si="0"/>
        <v>42.960766669728301</v>
      </c>
      <c r="F35" s="46">
        <f t="shared" si="1"/>
        <v>1.159940700082664</v>
      </c>
      <c r="G35" s="122">
        <f t="shared" si="2"/>
        <v>1.685207462407895E-2</v>
      </c>
      <c r="J35" s="127">
        <v>1</v>
      </c>
      <c r="K35" s="127">
        <v>155</v>
      </c>
      <c r="L35" s="127">
        <f>0.1577*1000</f>
        <v>157.70000000000002</v>
      </c>
    </row>
    <row r="36" spans="2:12" s="26" customFormat="1" x14ac:dyDescent="0.25">
      <c r="B36" s="141">
        <v>29</v>
      </c>
      <c r="C36" s="45">
        <v>69.363305977088416</v>
      </c>
      <c r="D36" s="45">
        <v>26.238288022770821</v>
      </c>
      <c r="E36" s="45">
        <f t="shared" si="0"/>
        <v>43.125017954317599</v>
      </c>
      <c r="F36" s="46">
        <f t="shared" si="1"/>
        <v>1.1643754847665753</v>
      </c>
      <c r="G36" s="122">
        <f t="shared" si="2"/>
        <v>1.6786620365978278E-2</v>
      </c>
      <c r="J36" s="127">
        <v>5</v>
      </c>
      <c r="K36" s="127">
        <v>390</v>
      </c>
      <c r="L36" s="127">
        <f>0.3733*1000</f>
        <v>373.3</v>
      </c>
    </row>
    <row r="37" spans="2:12" s="26" customFormat="1" x14ac:dyDescent="0.25">
      <c r="B37" s="141">
        <v>30</v>
      </c>
      <c r="C37" s="45">
        <v>69.87018448178398</v>
      </c>
      <c r="D37" s="45">
        <v>26.592098853820989</v>
      </c>
      <c r="E37" s="45">
        <f t="shared" si="0"/>
        <v>43.278085627962994</v>
      </c>
      <c r="F37" s="46">
        <f t="shared" si="1"/>
        <v>1.1685083119550008</v>
      </c>
      <c r="G37" s="122">
        <f t="shared" si="2"/>
        <v>1.6723990649540152E-2</v>
      </c>
      <c r="J37" s="127">
        <v>10</v>
      </c>
      <c r="K37" s="127">
        <v>665</v>
      </c>
      <c r="L37" s="127">
        <f>0.6861*1000</f>
        <v>686.1</v>
      </c>
    </row>
    <row r="38" spans="2:12" s="26" customFormat="1" x14ac:dyDescent="0.25">
      <c r="B38" s="141">
        <v>31</v>
      </c>
      <c r="C38" s="45">
        <v>70.351434703414611</v>
      </c>
      <c r="D38" s="45">
        <v>26.931247727395462</v>
      </c>
      <c r="E38" s="45">
        <f t="shared" si="0"/>
        <v>43.420186976019153</v>
      </c>
      <c r="F38" s="46">
        <f t="shared" si="1"/>
        <v>1.1723450483525171</v>
      </c>
      <c r="G38" s="122">
        <f t="shared" si="2"/>
        <v>1.6664124239894364E-2</v>
      </c>
      <c r="J38" s="127">
        <v>15</v>
      </c>
      <c r="K38" s="127">
        <v>940</v>
      </c>
      <c r="L38" s="127">
        <f>1.0533*1000</f>
        <v>1053.3</v>
      </c>
    </row>
    <row r="39" spans="2:12" s="26" customFormat="1" x14ac:dyDescent="0.25">
      <c r="B39" s="141">
        <v>32</v>
      </c>
      <c r="C39" s="45">
        <v>70.807119796868221</v>
      </c>
      <c r="D39" s="45">
        <v>27.255593525880105</v>
      </c>
      <c r="E39" s="45">
        <f t="shared" si="0"/>
        <v>43.55152627098812</v>
      </c>
      <c r="F39" s="46">
        <f t="shared" si="1"/>
        <v>1.1758912093166791</v>
      </c>
      <c r="G39" s="122">
        <f t="shared" si="2"/>
        <v>1.6606962868848232E-2</v>
      </c>
      <c r="J39" s="127" t="s">
        <v>240</v>
      </c>
      <c r="K39" s="127">
        <v>1100</v>
      </c>
      <c r="L39" s="127">
        <f>1.1338*1000</f>
        <v>1133.8</v>
      </c>
    </row>
    <row r="40" spans="2:12" s="26" customFormat="1" x14ac:dyDescent="0.25">
      <c r="B40" s="141">
        <v>33</v>
      </c>
      <c r="C40" s="45">
        <v>71.237302917032622</v>
      </c>
      <c r="D40" s="45">
        <v>27.565007323597818</v>
      </c>
      <c r="E40" s="45">
        <f t="shared" si="0"/>
        <v>43.672295593434804</v>
      </c>
      <c r="F40" s="46">
        <f t="shared" si="1"/>
        <v>1.1791519810227398</v>
      </c>
      <c r="G40" s="122">
        <f t="shared" si="2"/>
        <v>1.6552451212197818E-2</v>
      </c>
    </row>
    <row r="41" spans="2:12" s="26" customFormat="1" x14ac:dyDescent="0.25">
      <c r="B41" s="141">
        <v>34</v>
      </c>
      <c r="C41" s="45">
        <v>71.64204721879571</v>
      </c>
      <c r="D41" s="45">
        <v>27.85937161296183</v>
      </c>
      <c r="E41" s="45">
        <f t="shared" si="0"/>
        <v>43.78267560583388</v>
      </c>
      <c r="F41" s="46">
        <f t="shared" si="1"/>
        <v>1.1821322413575148</v>
      </c>
      <c r="G41" s="122">
        <f t="shared" si="2"/>
        <v>1.650053686695005E-2</v>
      </c>
    </row>
    <row r="42" spans="2:12" s="26" customFormat="1" x14ac:dyDescent="0.25">
      <c r="B42" s="141">
        <v>35</v>
      </c>
      <c r="C42" s="45">
        <v>72.021415857045355</v>
      </c>
      <c r="D42" s="45">
        <v>28.138579576736596</v>
      </c>
      <c r="E42" s="45">
        <f t="shared" si="0"/>
        <v>43.882836280308759</v>
      </c>
      <c r="F42" s="46">
        <f t="shared" si="1"/>
        <v>1.1848365795683364</v>
      </c>
      <c r="G42" s="122">
        <f t="shared" si="2"/>
        <v>1.6451170328560433E-2</v>
      </c>
    </row>
    <row r="43" spans="2:12" s="26" customFormat="1" x14ac:dyDescent="0.25">
      <c r="B43" s="141">
        <v>36</v>
      </c>
      <c r="C43" s="45">
        <v>72.375471986669368</v>
      </c>
      <c r="D43" s="45">
        <v>28.402534405636608</v>
      </c>
      <c r="E43" s="45">
        <f t="shared" si="0"/>
        <v>43.97293758103276</v>
      </c>
      <c r="F43" s="46">
        <f t="shared" si="1"/>
        <v>1.1872693146878845</v>
      </c>
      <c r="G43" s="122">
        <f t="shared" si="2"/>
        <v>1.6404304968215811E-2</v>
      </c>
    </row>
    <row r="44" spans="2:12" s="26" customFormat="1" x14ac:dyDescent="0.25">
      <c r="B44" s="141">
        <v>37</v>
      </c>
      <c r="C44" s="45">
        <v>72.70427876255566</v>
      </c>
      <c r="D44" s="45">
        <v>28.651148660551193</v>
      </c>
      <c r="E44" s="45">
        <f t="shared" si="0"/>
        <v>44.053130102004467</v>
      </c>
      <c r="F44" s="46">
        <f t="shared" si="1"/>
        <v>1.1894345127541206</v>
      </c>
      <c r="G44" s="122">
        <f t="shared" si="2"/>
        <v>1.6359897010170276E-2</v>
      </c>
    </row>
    <row r="45" spans="2:12" s="26" customFormat="1" x14ac:dyDescent="0.25">
      <c r="B45" s="141">
        <v>38</v>
      </c>
      <c r="C45" s="45">
        <v>73.0078993395921</v>
      </c>
      <c r="D45" s="45">
        <v>28.884343678702006</v>
      </c>
      <c r="E45" s="45">
        <f t="shared" si="0"/>
        <v>44.123555660890091</v>
      </c>
      <c r="F45" s="46">
        <f t="shared" si="1"/>
        <v>1.1913360028440325</v>
      </c>
      <c r="G45" s="122">
        <f t="shared" si="2"/>
        <v>1.6317905509136768E-2</v>
      </c>
    </row>
    <row r="46" spans="2:12" s="26" customFormat="1" x14ac:dyDescent="0.25">
      <c r="B46" s="141">
        <v>39</v>
      </c>
      <c r="C46" s="45">
        <v>73.286396872666501</v>
      </c>
      <c r="D46" s="45">
        <v>29.102049023049599</v>
      </c>
      <c r="E46" s="45">
        <f t="shared" si="0"/>
        <v>44.184347849616898</v>
      </c>
      <c r="F46" s="46">
        <f t="shared" si="1"/>
        <v>1.1929773919396562</v>
      </c>
      <c r="G46" s="122">
        <f t="shared" si="2"/>
        <v>1.6278292327734822E-2</v>
      </c>
    </row>
    <row r="47" spans="2:12" s="26" customFormat="1" x14ac:dyDescent="0.25">
      <c r="B47" s="141">
        <v>40</v>
      </c>
      <c r="C47" s="45">
        <v>73.539834516666772</v>
      </c>
      <c r="D47" s="45">
        <v>29.304201974270459</v>
      </c>
      <c r="E47" s="45">
        <f t="shared" si="0"/>
        <v>44.235632542396317</v>
      </c>
      <c r="F47" s="46">
        <f t="shared" si="1"/>
        <v>1.1943620786447005</v>
      </c>
      <c r="G47" s="122">
        <f t="shared" si="2"/>
        <v>1.6241022113994762E-2</v>
      </c>
    </row>
    <row r="48" spans="2:12" s="26" customFormat="1" x14ac:dyDescent="0.25">
      <c r="B48" s="141">
        <v>41</v>
      </c>
      <c r="C48" s="45">
        <v>73.76827542648077</v>
      </c>
      <c r="D48" s="45">
        <v>29.490747064630785</v>
      </c>
      <c r="E48" s="45">
        <f t="shared" si="0"/>
        <v>44.277528361849988</v>
      </c>
      <c r="F48" s="46">
        <f t="shared" si="1"/>
        <v>1.1954932657699497</v>
      </c>
      <c r="G48" s="122">
        <f t="shared" si="2"/>
        <v>1.6206062278918354E-2</v>
      </c>
    </row>
    <row r="49" spans="2:7" s="26" customFormat="1" x14ac:dyDescent="0.25">
      <c r="B49" s="141">
        <v>42</v>
      </c>
      <c r="C49" s="45">
        <v>73.971782756996333</v>
      </c>
      <c r="D49" s="45">
        <v>29.661635653088052</v>
      </c>
      <c r="E49" s="45">
        <f t="shared" si="0"/>
        <v>44.310147103908278</v>
      </c>
      <c r="F49" s="46">
        <f t="shared" si="1"/>
        <v>1.1963739718055235</v>
      </c>
      <c r="G49" s="122">
        <f t="shared" si="2"/>
        <v>1.6173382974095877E-2</v>
      </c>
    </row>
    <row r="50" spans="2:7" s="26" customFormat="1" x14ac:dyDescent="0.25">
      <c r="B50" s="141">
        <v>43</v>
      </c>
      <c r="C50" s="45">
        <v>74.15041966310136</v>
      </c>
      <c r="D50" s="45">
        <v>29.816825540955406</v>
      </c>
      <c r="E50" s="45">
        <f t="shared" si="0"/>
        <v>44.333594122145954</v>
      </c>
      <c r="F50" s="46">
        <f t="shared" si="1"/>
        <v>1.1970070412979408</v>
      </c>
      <c r="G50" s="122">
        <f t="shared" si="2"/>
        <v>1.6142957069379796E-2</v>
      </c>
    </row>
    <row r="51" spans="2:7" s="26" customFormat="1" x14ac:dyDescent="0.25">
      <c r="B51" s="141">
        <v>44</v>
      </c>
      <c r="C51" s="45">
        <v>74.304249299683661</v>
      </c>
      <c r="D51" s="45">
        <v>29.956280627468811</v>
      </c>
      <c r="E51" s="45">
        <f t="shared" si="0"/>
        <v>44.347968672214847</v>
      </c>
      <c r="F51" s="46">
        <f t="shared" si="1"/>
        <v>1.1973951541498009</v>
      </c>
      <c r="G51" s="122">
        <f t="shared" si="2"/>
        <v>1.6114760130614747E-2</v>
      </c>
    </row>
    <row r="52" spans="2:7" s="26" customFormat="1" x14ac:dyDescent="0.25">
      <c r="B52" s="141">
        <v>45</v>
      </c>
      <c r="C52" s="45">
        <v>74.433334821631163</v>
      </c>
      <c r="D52" s="45">
        <v>30.079970604600835</v>
      </c>
      <c r="E52" s="45">
        <f t="shared" si="0"/>
        <v>44.353364217030332</v>
      </c>
      <c r="F52" s="46">
        <f t="shared" si="1"/>
        <v>1.197540833859819</v>
      </c>
      <c r="G52" s="122">
        <f t="shared" si="2"/>
        <v>1.6088770397424141E-2</v>
      </c>
    </row>
    <row r="53" spans="2:7" s="26" customFormat="1" x14ac:dyDescent="0.25">
      <c r="B53" s="141">
        <v>46</v>
      </c>
      <c r="C53" s="45">
        <v>74.537739383831678</v>
      </c>
      <c r="D53" s="45">
        <v>30.187870690469428</v>
      </c>
      <c r="E53" s="45">
        <f t="shared" si="0"/>
        <v>44.349868693362254</v>
      </c>
      <c r="F53" s="46">
        <f t="shared" si="1"/>
        <v>1.1974464547207808</v>
      </c>
      <c r="G53" s="122">
        <f t="shared" si="2"/>
        <v>1.6064968761053202E-2</v>
      </c>
    </row>
    <row r="54" spans="2:7" s="26" customFormat="1" x14ac:dyDescent="0.25">
      <c r="B54" s="141">
        <v>47</v>
      </c>
      <c r="C54" s="45">
        <v>74.617526141173087</v>
      </c>
      <c r="D54" s="45">
        <v>30.279961400694901</v>
      </c>
      <c r="E54" s="45">
        <f t="shared" si="0"/>
        <v>44.337564740478186</v>
      </c>
      <c r="F54" s="46">
        <f t="shared" si="1"/>
        <v>1.1971142479929111</v>
      </c>
      <c r="G54" s="122">
        <f t="shared" si="2"/>
        <v>1.6043338742268452E-2</v>
      </c>
    </row>
    <row r="55" spans="2:7" s="26" customFormat="1" x14ac:dyDescent="0.25">
      <c r="B55" s="141">
        <v>48</v>
      </c>
      <c r="C55" s="45">
        <v>74.672758248543275</v>
      </c>
      <c r="D55" s="45">
        <v>30.356228357061759</v>
      </c>
      <c r="E55" s="45">
        <f t="shared" si="0"/>
        <v>44.316529891481515</v>
      </c>
      <c r="F55" s="46">
        <f t="shared" si="1"/>
        <v>1.1965463070700009</v>
      </c>
      <c r="G55" s="122">
        <f t="shared" si="2"/>
        <v>1.6023866469313704E-2</v>
      </c>
    </row>
    <row r="56" spans="2:7" s="26" customFormat="1" x14ac:dyDescent="0.25">
      <c r="B56" s="141">
        <v>49</v>
      </c>
      <c r="C56" s="45">
        <v>74.703498860830067</v>
      </c>
      <c r="D56" s="45">
        <v>30.416662132847051</v>
      </c>
      <c r="E56" s="45">
        <f t="shared" si="0"/>
        <v>44.286836727983015</v>
      </c>
      <c r="F56" s="46">
        <f t="shared" si="1"/>
        <v>1.1957445916555414</v>
      </c>
      <c r="G56" s="122">
        <f t="shared" si="2"/>
        <v>1.6006540655922562E-2</v>
      </c>
    </row>
    <row r="57" spans="2:7" s="26" customFormat="1" x14ac:dyDescent="0.25">
      <c r="B57" s="141">
        <v>50</v>
      </c>
      <c r="C57" s="45">
        <v>74.709811132921374</v>
      </c>
      <c r="D57" s="45">
        <v>30.46125813418125</v>
      </c>
      <c r="E57" s="45">
        <f t="shared" si="0"/>
        <v>44.248552998740124</v>
      </c>
      <c r="F57" s="46">
        <f t="shared" si="1"/>
        <v>1.1947109309659834</v>
      </c>
      <c r="G57" s="122">
        <f t="shared" si="2"/>
        <v>1.5991352579387341E-2</v>
      </c>
    </row>
    <row r="58" spans="2:7" s="26" customFormat="1" x14ac:dyDescent="0.25">
      <c r="B58" s="141">
        <v>51</v>
      </c>
      <c r="C58" s="45">
        <v>74.69175821970498</v>
      </c>
      <c r="D58" s="45">
        <v>30.490016516811316</v>
      </c>
      <c r="E58" s="45">
        <f t="shared" si="0"/>
        <v>44.201741702893663</v>
      </c>
      <c r="F58" s="46">
        <f t="shared" si="1"/>
        <v>1.1934470259781289</v>
      </c>
      <c r="G58" s="122">
        <f t="shared" si="2"/>
        <v>1.5978296058684515E-2</v>
      </c>
    </row>
    <row r="59" spans="2:7" s="26" customFormat="1" x14ac:dyDescent="0.25">
      <c r="B59" s="141">
        <v>52</v>
      </c>
      <c r="C59" s="45">
        <v>74.649403276068824</v>
      </c>
      <c r="D59" s="45">
        <v>30.502942137641011</v>
      </c>
      <c r="E59" s="45">
        <f t="shared" si="0"/>
        <v>44.14646113842781</v>
      </c>
      <c r="F59" s="46">
        <f t="shared" si="1"/>
        <v>1.1919544507375508</v>
      </c>
      <c r="G59" s="122">
        <f t="shared" si="2"/>
        <v>1.5967367432656608E-2</v>
      </c>
    </row>
    <row r="60" spans="2:7" s="26" customFormat="1" x14ac:dyDescent="0.25">
      <c r="B60" s="141">
        <v>53</v>
      </c>
      <c r="C60" s="45">
        <v>74.582809456900748</v>
      </c>
      <c r="D60" s="45">
        <v>30.50004454042638</v>
      </c>
      <c r="E60" s="45">
        <f t="shared" si="0"/>
        <v>44.082764916474368</v>
      </c>
      <c r="F60" s="46">
        <f t="shared" si="1"/>
        <v>1.190234652744808</v>
      </c>
      <c r="G60" s="122">
        <f t="shared" si="2"/>
        <v>1.5958565538250612E-2</v>
      </c>
    </row>
    <row r="61" spans="2:7" s="26" customFormat="1" x14ac:dyDescent="0.25">
      <c r="B61" s="141">
        <v>54</v>
      </c>
      <c r="C61" s="45">
        <v>74.492039917088604</v>
      </c>
      <c r="D61" s="45">
        <v>30.481337975010153</v>
      </c>
      <c r="E61" s="45">
        <f t="shared" si="0"/>
        <v>44.010701942078455</v>
      </c>
      <c r="F61" s="46">
        <f t="shared" si="1"/>
        <v>1.1882889524361182</v>
      </c>
      <c r="G61" s="122">
        <f t="shared" si="2"/>
        <v>1.5951891688812815E-2</v>
      </c>
    </row>
    <row r="62" spans="2:7" s="2" customFormat="1" x14ac:dyDescent="0.25">
      <c r="B62" s="141">
        <v>55</v>
      </c>
      <c r="C62" s="45">
        <v>74.377157811520263</v>
      </c>
      <c r="D62" s="45">
        <v>30.446841449481823</v>
      </c>
      <c r="E62" s="45">
        <f t="shared" si="0"/>
        <v>43.93031636203844</v>
      </c>
      <c r="F62" s="46">
        <f t="shared" si="1"/>
        <v>1.1861185417750379</v>
      </c>
      <c r="G62" s="122">
        <f t="shared" si="2"/>
        <v>1.5947349652440206E-2</v>
      </c>
    </row>
    <row r="63" spans="2:7" s="2" customFormat="1" x14ac:dyDescent="0.25">
      <c r="B63" s="141">
        <v>56</v>
      </c>
      <c r="C63" s="45">
        <v>74.238226295083564</v>
      </c>
      <c r="D63" s="45">
        <v>30.396578814655186</v>
      </c>
      <c r="E63" s="45">
        <f t="shared" si="0"/>
        <v>43.841647480428378</v>
      </c>
      <c r="F63" s="46">
        <f t="shared" si="1"/>
        <v>1.1837244819715662</v>
      </c>
      <c r="G63" s="122">
        <f t="shared" si="2"/>
        <v>1.5944945630388244E-2</v>
      </c>
    </row>
    <row r="64" spans="2:7" s="2" customFormat="1" x14ac:dyDescent="0.25">
      <c r="B64" s="141">
        <v>57</v>
      </c>
      <c r="C64" s="45">
        <v>74.075308522666418</v>
      </c>
      <c r="D64" s="45">
        <v>30.330578880259022</v>
      </c>
      <c r="E64" s="45">
        <f t="shared" si="0"/>
        <v>43.744729642407393</v>
      </c>
      <c r="F64" s="46">
        <f t="shared" si="1"/>
        <v>1.1811077003449997</v>
      </c>
      <c r="G64" s="122">
        <f t="shared" si="2"/>
        <v>1.5944688235535201E-2</v>
      </c>
    </row>
    <row r="65" spans="2:7" s="2" customFormat="1" x14ac:dyDescent="0.25">
      <c r="B65" s="141">
        <v>58</v>
      </c>
      <c r="C65" s="45">
        <v>73.888467649156638</v>
      </c>
      <c r="D65" s="45">
        <v>30.248875562240826</v>
      </c>
      <c r="E65" s="45">
        <f t="shared" si="0"/>
        <v>43.639592086915812</v>
      </c>
      <c r="F65" s="46">
        <f t="shared" si="1"/>
        <v>1.1782689863467268</v>
      </c>
      <c r="G65" s="122">
        <f t="shared" si="2"/>
        <v>1.594658847090295E-2</v>
      </c>
    </row>
    <row r="66" spans="2:7" s="2" customFormat="1" x14ac:dyDescent="0.25">
      <c r="B66" s="141">
        <v>59</v>
      </c>
      <c r="C66" s="45">
        <v>73.67776682944212</v>
      </c>
      <c r="D66" s="45">
        <v>30.151508060588124</v>
      </c>
      <c r="E66" s="45">
        <f t="shared" si="0"/>
        <v>43.526258768853992</v>
      </c>
      <c r="F66" s="46">
        <f t="shared" si="1"/>
        <v>1.1752089867590578</v>
      </c>
      <c r="G66" s="122">
        <f t="shared" si="2"/>
        <v>1.5950659708234217E-2</v>
      </c>
    </row>
    <row r="67" spans="2:7" s="2" customFormat="1" x14ac:dyDescent="0.25">
      <c r="B67" s="141">
        <v>60</v>
      </c>
      <c r="C67" s="45">
        <v>73.443269218410734</v>
      </c>
      <c r="D67" s="45">
        <v>30.0385210670755</v>
      </c>
      <c r="E67" s="45">
        <f t="shared" si="0"/>
        <v>43.404748151335234</v>
      </c>
      <c r="F67" s="46">
        <f t="shared" si="1"/>
        <v>1.1719282000860514</v>
      </c>
      <c r="G67" s="122">
        <f t="shared" si="2"/>
        <v>1.5956917666626321E-2</v>
      </c>
    </row>
    <row r="68" spans="2:7" s="2" customFormat="1" x14ac:dyDescent="0.25"/>
    <row r="69" spans="2:7" s="2" customFormat="1" x14ac:dyDescent="0.25"/>
    <row r="70" spans="2:7" s="2" customFormat="1" x14ac:dyDescent="0.25"/>
    <row r="71" spans="2:7" s="2" customFormat="1" x14ac:dyDescent="0.25"/>
    <row r="72" spans="2:7" s="2" customFormat="1" x14ac:dyDescent="0.25"/>
    <row r="73" spans="2:7" s="2" customFormat="1" x14ac:dyDescent="0.25"/>
    <row r="74" spans="2:7" s="2" customFormat="1" x14ac:dyDescent="0.25"/>
    <row r="75" spans="2:7" s="2" customFormat="1" x14ac:dyDescent="0.25"/>
    <row r="76" spans="2:7" s="2" customFormat="1" x14ac:dyDescent="0.25"/>
    <row r="77" spans="2:7" s="2" customFormat="1" x14ac:dyDescent="0.25"/>
    <row r="78" spans="2:7" s="2" customFormat="1" x14ac:dyDescent="0.25"/>
    <row r="79" spans="2:7" s="2" customFormat="1" x14ac:dyDescent="0.25"/>
    <row r="80" spans="2:7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</sheetData>
  <mergeCells count="2">
    <mergeCell ref="B1:E1"/>
    <mergeCell ref="J32:L3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F67"/>
  <sheetViews>
    <sheetView zoomScale="80" zoomScaleNormal="80" workbookViewId="0">
      <selection activeCell="F7" sqref="F7:F67"/>
    </sheetView>
  </sheetViews>
  <sheetFormatPr defaultRowHeight="15" x14ac:dyDescent="0.25"/>
  <cols>
    <col min="2" max="2" width="15.140625" customWidth="1"/>
    <col min="3" max="3" width="26.7109375" customWidth="1"/>
    <col min="4" max="4" width="19.7109375" customWidth="1"/>
    <col min="5" max="5" width="13.5703125" customWidth="1"/>
    <col min="6" max="6" width="12.85546875" customWidth="1"/>
  </cols>
  <sheetData>
    <row r="2" spans="2:6" ht="15.75" x14ac:dyDescent="0.25">
      <c r="B2" s="248" t="s">
        <v>189</v>
      </c>
      <c r="C2" s="248"/>
      <c r="D2" s="248"/>
    </row>
    <row r="3" spans="2:6" ht="48.75" customHeight="1" x14ac:dyDescent="0.25">
      <c r="B3" s="62" t="s">
        <v>190</v>
      </c>
      <c r="C3" s="62" t="s">
        <v>191</v>
      </c>
      <c r="D3" s="62" t="s">
        <v>233</v>
      </c>
    </row>
    <row r="4" spans="2:6" ht="15.75" x14ac:dyDescent="0.25">
      <c r="B4" s="62" t="s">
        <v>192</v>
      </c>
      <c r="C4" s="62"/>
      <c r="D4" s="62" t="s">
        <v>193</v>
      </c>
    </row>
    <row r="6" spans="2:6" ht="39.75" customHeight="1" x14ac:dyDescent="0.25">
      <c r="B6" s="216" t="s">
        <v>15</v>
      </c>
      <c r="C6" s="221" t="s">
        <v>21</v>
      </c>
      <c r="D6" s="196" t="s">
        <v>128</v>
      </c>
      <c r="E6" s="196" t="s">
        <v>194</v>
      </c>
      <c r="F6" s="196" t="s">
        <v>195</v>
      </c>
    </row>
    <row r="7" spans="2:6" ht="15.75" x14ac:dyDescent="0.25">
      <c r="B7" s="168">
        <v>0.5</v>
      </c>
      <c r="C7" s="90">
        <v>6.9154266062882783</v>
      </c>
      <c r="D7" s="102">
        <v>0.11685280094121901</v>
      </c>
      <c r="E7" s="102">
        <f>2.464*D7</f>
        <v>0.28792530151916362</v>
      </c>
      <c r="F7" s="120">
        <f>E7/C7</f>
        <v>4.1635219041635085E-2</v>
      </c>
    </row>
    <row r="8" spans="2:6" ht="15.75" x14ac:dyDescent="0.25">
      <c r="B8" s="175">
        <v>1</v>
      </c>
      <c r="C8" s="90">
        <v>9.363369181598614</v>
      </c>
      <c r="D8" s="102">
        <v>0.15774521917612122</v>
      </c>
      <c r="E8" s="102">
        <f t="shared" ref="E8:E67" si="0">2.464*D8</f>
        <v>0.38868422004996267</v>
      </c>
      <c r="F8" s="120">
        <f t="shared" ref="F8:F67" si="1">E8/C8</f>
        <v>4.1511149727367941E-2</v>
      </c>
    </row>
    <row r="9" spans="2:6" ht="15.75" x14ac:dyDescent="0.25">
      <c r="B9" s="176">
        <v>2</v>
      </c>
      <c r="C9" s="45">
        <v>12.915540478557535</v>
      </c>
      <c r="D9" s="46">
        <v>0.22366432677478745</v>
      </c>
      <c r="E9" s="46">
        <f t="shared" si="0"/>
        <v>0.55110890117307632</v>
      </c>
      <c r="F9" s="73">
        <f t="shared" si="1"/>
        <v>4.2670215937771316E-2</v>
      </c>
    </row>
    <row r="10" spans="2:6" ht="15.75" x14ac:dyDescent="0.25">
      <c r="B10" s="176">
        <v>3</v>
      </c>
      <c r="C10" s="45">
        <v>15.501380951815555</v>
      </c>
      <c r="D10" s="46">
        <v>0.27599634818439372</v>
      </c>
      <c r="E10" s="46">
        <f t="shared" si="0"/>
        <v>0.68005500192634616</v>
      </c>
      <c r="F10" s="73">
        <f t="shared" si="1"/>
        <v>4.3870607660067645E-2</v>
      </c>
    </row>
    <row r="11" spans="2:6" ht="15.75" x14ac:dyDescent="0.25">
      <c r="B11" s="176">
        <v>4</v>
      </c>
      <c r="C11" s="45">
        <v>17.658377304122929</v>
      </c>
      <c r="D11" s="46">
        <v>0.3255921333385205</v>
      </c>
      <c r="E11" s="46">
        <f t="shared" si="0"/>
        <v>0.80225901654611453</v>
      </c>
      <c r="F11" s="73">
        <f t="shared" si="1"/>
        <v>4.5432204937585104E-2</v>
      </c>
    </row>
    <row r="12" spans="2:6" ht="15.75" x14ac:dyDescent="0.25">
      <c r="B12" s="175">
        <v>5</v>
      </c>
      <c r="C12" s="90">
        <v>19.714719765531608</v>
      </c>
      <c r="D12" s="102">
        <v>0.37333551063518844</v>
      </c>
      <c r="E12" s="102">
        <f t="shared" si="0"/>
        <v>0.91989869820510428</v>
      </c>
      <c r="F12" s="120">
        <f t="shared" si="1"/>
        <v>4.66605008412758E-2</v>
      </c>
    </row>
    <row r="13" spans="2:6" ht="15.75" x14ac:dyDescent="0.25">
      <c r="B13" s="176">
        <v>6</v>
      </c>
      <c r="C13" s="45">
        <v>21.92310304640738</v>
      </c>
      <c r="D13" s="46">
        <v>0.42153084764494886</v>
      </c>
      <c r="E13" s="46">
        <f t="shared" si="0"/>
        <v>1.038652008597154</v>
      </c>
      <c r="F13" s="73">
        <f t="shared" si="1"/>
        <v>4.7377052710034208E-2</v>
      </c>
    </row>
    <row r="14" spans="2:6" ht="15.75" x14ac:dyDescent="0.25">
      <c r="B14" s="176">
        <v>7</v>
      </c>
      <c r="C14" s="45">
        <v>24.506576900677818</v>
      </c>
      <c r="D14" s="46">
        <v>0.47372836423330206</v>
      </c>
      <c r="E14" s="46">
        <f t="shared" si="0"/>
        <v>1.1672666894708563</v>
      </c>
      <c r="F14" s="73">
        <f t="shared" si="1"/>
        <v>4.7630752112041048E-2</v>
      </c>
    </row>
    <row r="15" spans="2:6" ht="15.75" x14ac:dyDescent="0.25">
      <c r="B15" s="176">
        <v>8</v>
      </c>
      <c r="C15" s="45">
        <v>27.656407916528913</v>
      </c>
      <c r="D15" s="46">
        <v>0.53333099633547099</v>
      </c>
      <c r="E15" s="46">
        <f t="shared" si="0"/>
        <v>1.3141275749706005</v>
      </c>
      <c r="F15" s="73">
        <f t="shared" si="1"/>
        <v>4.7516205970667989E-2</v>
      </c>
    </row>
    <row r="16" spans="2:6" ht="15.75" x14ac:dyDescent="0.25">
      <c r="B16" s="176">
        <v>9</v>
      </c>
      <c r="C16" s="45">
        <v>31.490090721081462</v>
      </c>
      <c r="D16" s="46">
        <v>0.60333081939000144</v>
      </c>
      <c r="E16" s="46">
        <f t="shared" si="0"/>
        <v>1.4866071389769635</v>
      </c>
      <c r="F16" s="73">
        <f t="shared" si="1"/>
        <v>4.7208728362974656E-2</v>
      </c>
    </row>
    <row r="17" spans="2:6" ht="15.75" x14ac:dyDescent="0.25">
      <c r="B17" s="175">
        <v>10</v>
      </c>
      <c r="C17" s="90">
        <v>35.983607211042894</v>
      </c>
      <c r="D17" s="102">
        <v>0.68608957536689519</v>
      </c>
      <c r="E17" s="102">
        <f t="shared" si="0"/>
        <v>1.6905247137040298</v>
      </c>
      <c r="F17" s="120">
        <f t="shared" si="1"/>
        <v>4.6980412602581713E-2</v>
      </c>
    </row>
    <row r="18" spans="2:6" ht="15.75" x14ac:dyDescent="0.25">
      <c r="B18" s="176">
        <v>11</v>
      </c>
      <c r="C18" s="45">
        <v>40.920968011983341</v>
      </c>
      <c r="D18" s="46">
        <v>0.78007148269448534</v>
      </c>
      <c r="E18" s="46">
        <f t="shared" si="0"/>
        <v>1.9220961333592119</v>
      </c>
      <c r="F18" s="73">
        <f t="shared" si="1"/>
        <v>4.6970935115619533E-2</v>
      </c>
    </row>
    <row r="19" spans="2:6" ht="15.75" x14ac:dyDescent="0.25">
      <c r="B19" s="176">
        <v>12</v>
      </c>
      <c r="C19" s="45">
        <v>45.921621798727614</v>
      </c>
      <c r="D19" s="46">
        <v>0.87307865223585113</v>
      </c>
      <c r="E19" s="46">
        <f t="shared" si="0"/>
        <v>2.1512657991091371</v>
      </c>
      <c r="F19" s="73">
        <f t="shared" si="1"/>
        <v>4.6846468283242203E-2</v>
      </c>
    </row>
    <row r="20" spans="2:6" ht="15.75" x14ac:dyDescent="0.25">
      <c r="B20" s="176">
        <v>13</v>
      </c>
      <c r="C20" s="45">
        <v>50.562974255063295</v>
      </c>
      <c r="D20" s="46">
        <v>0.95077984979295993</v>
      </c>
      <c r="E20" s="46">
        <f t="shared" si="0"/>
        <v>2.3427215498898533</v>
      </c>
      <c r="F20" s="73">
        <f t="shared" si="1"/>
        <v>4.6332748110743442E-2</v>
      </c>
    </row>
    <row r="21" spans="2:6" ht="15.75" x14ac:dyDescent="0.25">
      <c r="B21" s="176">
        <v>14</v>
      </c>
      <c r="C21" s="45">
        <v>54.528713185550821</v>
      </c>
      <c r="D21" s="46">
        <v>1.0099105210824173</v>
      </c>
      <c r="E21" s="46">
        <f t="shared" si="0"/>
        <v>2.4884195239470763</v>
      </c>
      <c r="F21" s="73">
        <f t="shared" si="1"/>
        <v>4.5635031134504477E-2</v>
      </c>
    </row>
    <row r="22" spans="2:6" ht="15.75" x14ac:dyDescent="0.25">
      <c r="B22" s="176">
        <v>15</v>
      </c>
      <c r="C22" s="45">
        <v>57.686468800180961</v>
      </c>
      <c r="D22" s="46">
        <v>1.0533374454635738</v>
      </c>
      <c r="E22" s="46">
        <f t="shared" si="0"/>
        <v>2.5954234656222459</v>
      </c>
      <c r="F22" s="73">
        <f t="shared" si="1"/>
        <v>4.4991893586214866E-2</v>
      </c>
    </row>
    <row r="23" spans="2:6" ht="15.75" x14ac:dyDescent="0.25">
      <c r="B23" s="176">
        <v>16</v>
      </c>
      <c r="C23" s="45">
        <v>60.067672365756145</v>
      </c>
      <c r="D23" s="46">
        <v>1.0844463226809988</v>
      </c>
      <c r="E23" s="46">
        <f t="shared" si="0"/>
        <v>2.6720757390859813</v>
      </c>
      <c r="F23" s="73">
        <f t="shared" si="1"/>
        <v>4.448442288250376E-2</v>
      </c>
    </row>
    <row r="24" spans="2:6" ht="15.75" x14ac:dyDescent="0.25">
      <c r="B24" s="176">
        <v>17</v>
      </c>
      <c r="C24" s="45">
        <v>61.796641311133001</v>
      </c>
      <c r="D24" s="46">
        <v>1.1061006026500197</v>
      </c>
      <c r="E24" s="46">
        <f t="shared" si="0"/>
        <v>2.7254318849296486</v>
      </c>
      <c r="F24" s="73">
        <f t="shared" si="1"/>
        <v>4.4103236472151884E-2</v>
      </c>
    </row>
    <row r="25" spans="2:6" ht="15.75" x14ac:dyDescent="0.25">
      <c r="B25" s="176">
        <v>18</v>
      </c>
      <c r="C25" s="45">
        <v>63.023876884237708</v>
      </c>
      <c r="D25" s="46">
        <v>1.1206287429038446</v>
      </c>
      <c r="E25" s="46">
        <f t="shared" si="0"/>
        <v>2.7612292225150732</v>
      </c>
      <c r="F25" s="73">
        <f t="shared" si="1"/>
        <v>4.3812430447382672E-2</v>
      </c>
    </row>
    <row r="26" spans="2:6" ht="15.75" x14ac:dyDescent="0.25">
      <c r="B26" s="176">
        <v>19</v>
      </c>
      <c r="C26" s="45">
        <v>63.886643111966308</v>
      </c>
      <c r="D26" s="46">
        <v>1.1298576211744733</v>
      </c>
      <c r="E26" s="46">
        <f t="shared" si="0"/>
        <v>2.7839691785739022</v>
      </c>
      <c r="F26" s="73">
        <f t="shared" si="1"/>
        <v>4.357670152890613E-2</v>
      </c>
    </row>
    <row r="27" spans="2:6" ht="15.75" x14ac:dyDescent="0.25">
      <c r="B27" s="176">
        <v>20</v>
      </c>
      <c r="C27" s="45">
        <v>64.494109284869964</v>
      </c>
      <c r="D27" s="46">
        <v>1.1351658491341725</v>
      </c>
      <c r="E27" s="46">
        <f t="shared" si="0"/>
        <v>2.7970486522666009</v>
      </c>
      <c r="F27" s="73">
        <f t="shared" si="1"/>
        <v>4.3369056232904303E-2</v>
      </c>
    </row>
    <row r="28" spans="2:6" ht="15.75" x14ac:dyDescent="0.25">
      <c r="B28" s="176">
        <v>21</v>
      </c>
      <c r="C28" s="45">
        <v>64.926599621061627</v>
      </c>
      <c r="D28" s="46">
        <v>1.1375620897371861</v>
      </c>
      <c r="E28" s="46">
        <f t="shared" si="0"/>
        <v>2.8029529891124265</v>
      </c>
      <c r="F28" s="73">
        <f t="shared" si="1"/>
        <v>4.317110406938935E-2</v>
      </c>
    </row>
    <row r="29" spans="2:6" ht="15.75" x14ac:dyDescent="0.25">
      <c r="B29" s="176">
        <v>22</v>
      </c>
      <c r="C29" s="45">
        <v>65.325791514810419</v>
      </c>
      <c r="D29" s="46">
        <v>1.1387826428246446</v>
      </c>
      <c r="E29" s="46">
        <f t="shared" si="0"/>
        <v>2.8059604319199241</v>
      </c>
      <c r="F29" s="73">
        <f t="shared" si="1"/>
        <v>4.2953332318733058E-2</v>
      </c>
    </row>
    <row r="30" spans="2:6" ht="15.75" x14ac:dyDescent="0.25">
      <c r="B30" s="176">
        <v>23</v>
      </c>
      <c r="C30" s="45">
        <v>65.780304330831555</v>
      </c>
      <c r="D30" s="46">
        <v>1.1399311391210607</v>
      </c>
      <c r="E30" s="46">
        <f t="shared" si="0"/>
        <v>2.8087903267942935</v>
      </c>
      <c r="F30" s="73">
        <f t="shared" si="1"/>
        <v>4.2699564183648807E-2</v>
      </c>
    </row>
    <row r="31" spans="2:6" ht="15.75" x14ac:dyDescent="0.25">
      <c r="B31" s="176">
        <v>24</v>
      </c>
      <c r="C31" s="45">
        <v>66.442278786561701</v>
      </c>
      <c r="D31" s="46">
        <v>1.142836154942815</v>
      </c>
      <c r="E31" s="46">
        <f t="shared" si="0"/>
        <v>2.8159482857790961</v>
      </c>
      <c r="F31" s="73">
        <f t="shared" si="1"/>
        <v>4.2381873969509855E-2</v>
      </c>
    </row>
    <row r="32" spans="2:6" ht="15.75" x14ac:dyDescent="0.25">
      <c r="B32" s="175">
        <v>25</v>
      </c>
      <c r="C32" s="90">
        <v>67.078246029899788</v>
      </c>
      <c r="D32" s="90">
        <v>1.1447601604608593</v>
      </c>
      <c r="E32" s="102">
        <f t="shared" si="0"/>
        <v>2.8206890353755574</v>
      </c>
      <c r="F32" s="120">
        <f t="shared" si="1"/>
        <v>4.2050727356798351E-2</v>
      </c>
    </row>
    <row r="33" spans="2:6" ht="15.75" x14ac:dyDescent="0.25">
      <c r="B33" s="176">
        <v>26</v>
      </c>
      <c r="C33" s="45">
        <v>67.688269215733612</v>
      </c>
      <c r="D33" s="46">
        <v>1.1501398923768269</v>
      </c>
      <c r="E33" s="46">
        <f t="shared" si="0"/>
        <v>2.8339446948165015</v>
      </c>
      <c r="F33" s="73">
        <f t="shared" si="1"/>
        <v>4.1867589874166451E-2</v>
      </c>
    </row>
    <row r="34" spans="2:6" ht="15.75" x14ac:dyDescent="0.25">
      <c r="B34" s="176">
        <v>27</v>
      </c>
      <c r="C34" s="45">
        <v>68.272411498951101</v>
      </c>
      <c r="D34" s="46">
        <v>1.1551977163722165</v>
      </c>
      <c r="E34" s="46">
        <f t="shared" si="0"/>
        <v>2.8464071731411416</v>
      </c>
      <c r="F34" s="73">
        <f t="shared" si="1"/>
        <v>4.1691909083728093E-2</v>
      </c>
    </row>
    <row r="35" spans="2:6" ht="15.75" x14ac:dyDescent="0.25">
      <c r="B35" s="176">
        <v>28</v>
      </c>
      <c r="C35" s="45">
        <v>68.830736034440065</v>
      </c>
      <c r="D35" s="46">
        <v>1.159940700082664</v>
      </c>
      <c r="E35" s="46">
        <f t="shared" si="0"/>
        <v>2.8580938850036843</v>
      </c>
      <c r="F35" s="73">
        <f t="shared" si="1"/>
        <v>4.1523511873730538E-2</v>
      </c>
    </row>
    <row r="36" spans="2:6" ht="15.75" x14ac:dyDescent="0.25">
      <c r="B36" s="176">
        <v>29</v>
      </c>
      <c r="C36" s="45">
        <v>69.363305977088416</v>
      </c>
      <c r="D36" s="46">
        <v>1.1643754847665753</v>
      </c>
      <c r="E36" s="46">
        <f t="shared" si="0"/>
        <v>2.8690211944648416</v>
      </c>
      <c r="F36" s="73">
        <f t="shared" si="1"/>
        <v>4.1362232581770478E-2</v>
      </c>
    </row>
    <row r="37" spans="2:6" ht="15.75" x14ac:dyDescent="0.25">
      <c r="B37" s="176">
        <v>30</v>
      </c>
      <c r="C37" s="45">
        <v>69.87018448178398</v>
      </c>
      <c r="D37" s="46">
        <v>1.1685083119550008</v>
      </c>
      <c r="E37" s="46">
        <f t="shared" si="0"/>
        <v>2.8792044806571222</v>
      </c>
      <c r="F37" s="73">
        <f t="shared" si="1"/>
        <v>4.1207912960466941E-2</v>
      </c>
    </row>
    <row r="38" spans="2:6" ht="15.75" x14ac:dyDescent="0.25">
      <c r="B38" s="176">
        <v>31</v>
      </c>
      <c r="C38" s="45">
        <v>70.351434703414611</v>
      </c>
      <c r="D38" s="46">
        <v>1.1723450483525171</v>
      </c>
      <c r="E38" s="46">
        <f t="shared" si="0"/>
        <v>2.8886581991406022</v>
      </c>
      <c r="F38" s="73">
        <f t="shared" si="1"/>
        <v>4.1060402127099715E-2</v>
      </c>
    </row>
    <row r="39" spans="2:6" ht="15.75" x14ac:dyDescent="0.25">
      <c r="B39" s="176">
        <v>32</v>
      </c>
      <c r="C39" s="45">
        <v>70.807119796868221</v>
      </c>
      <c r="D39" s="46">
        <v>1.1758912093166791</v>
      </c>
      <c r="E39" s="46">
        <f t="shared" si="0"/>
        <v>2.8973959397562972</v>
      </c>
      <c r="F39" s="73">
        <f t="shared" si="1"/>
        <v>4.0919556508842041E-2</v>
      </c>
    </row>
    <row r="40" spans="2:6" ht="15.75" x14ac:dyDescent="0.25">
      <c r="B40" s="176">
        <v>33</v>
      </c>
      <c r="C40" s="45">
        <v>71.237302917032622</v>
      </c>
      <c r="D40" s="46">
        <v>1.1791519810227398</v>
      </c>
      <c r="E40" s="46">
        <f t="shared" si="0"/>
        <v>2.9054304812400309</v>
      </c>
      <c r="F40" s="73">
        <f t="shared" si="1"/>
        <v>4.0785239786855422E-2</v>
      </c>
    </row>
    <row r="41" spans="2:6" ht="15.75" x14ac:dyDescent="0.25">
      <c r="B41" s="176">
        <v>34</v>
      </c>
      <c r="C41" s="45">
        <v>71.64204721879571</v>
      </c>
      <c r="D41" s="46">
        <v>1.1821322413575148</v>
      </c>
      <c r="E41" s="46">
        <f t="shared" si="0"/>
        <v>2.9127738427049166</v>
      </c>
      <c r="F41" s="73">
        <f t="shared" si="1"/>
        <v>4.0657322840164919E-2</v>
      </c>
    </row>
    <row r="42" spans="2:6" ht="15.75" x14ac:dyDescent="0.25">
      <c r="B42" s="176">
        <v>35</v>
      </c>
      <c r="C42" s="45">
        <v>72.021415857045355</v>
      </c>
      <c r="D42" s="46">
        <v>1.1848365795683364</v>
      </c>
      <c r="E42" s="46">
        <f t="shared" si="0"/>
        <v>2.9194373320563809</v>
      </c>
      <c r="F42" s="73">
        <f t="shared" si="1"/>
        <v>4.0535683689572909E-2</v>
      </c>
    </row>
    <row r="43" spans="2:6" ht="15.75" x14ac:dyDescent="0.25">
      <c r="B43" s="176">
        <v>36</v>
      </c>
      <c r="C43" s="45">
        <v>72.375471986669368</v>
      </c>
      <c r="D43" s="46">
        <v>1.1872693146878845</v>
      </c>
      <c r="E43" s="46">
        <f t="shared" si="0"/>
        <v>2.9254315913909474</v>
      </c>
      <c r="F43" s="73">
        <f t="shared" si="1"/>
        <v>4.0420207441683759E-2</v>
      </c>
    </row>
    <row r="44" spans="2:6" ht="15.75" x14ac:dyDescent="0.25">
      <c r="B44" s="176">
        <v>37</v>
      </c>
      <c r="C44" s="45">
        <v>72.70427876255566</v>
      </c>
      <c r="D44" s="46">
        <v>1.1894345127541206</v>
      </c>
      <c r="E44" s="46">
        <f t="shared" si="0"/>
        <v>2.9307666394261531</v>
      </c>
      <c r="F44" s="73">
        <f t="shared" si="1"/>
        <v>4.0310786233059559E-2</v>
      </c>
    </row>
    <row r="45" spans="2:6" ht="15.75" x14ac:dyDescent="0.25">
      <c r="B45" s="176">
        <v>38</v>
      </c>
      <c r="C45" s="45">
        <v>73.0078993395921</v>
      </c>
      <c r="D45" s="46">
        <v>1.1913360028440325</v>
      </c>
      <c r="E45" s="46">
        <f t="shared" si="0"/>
        <v>2.935451911007696</v>
      </c>
      <c r="F45" s="73">
        <f t="shared" si="1"/>
        <v>4.0207319174512993E-2</v>
      </c>
    </row>
    <row r="46" spans="2:6" ht="15.75" x14ac:dyDescent="0.25">
      <c r="B46" s="176">
        <v>39</v>
      </c>
      <c r="C46" s="45">
        <v>73.286396872666501</v>
      </c>
      <c r="D46" s="46">
        <v>1.1929773919396562</v>
      </c>
      <c r="E46" s="46">
        <f t="shared" si="0"/>
        <v>2.939496293739313</v>
      </c>
      <c r="F46" s="73">
        <f t="shared" si="1"/>
        <v>4.0109712295538599E-2</v>
      </c>
    </row>
    <row r="47" spans="2:6" ht="15.75" x14ac:dyDescent="0.25">
      <c r="B47" s="176">
        <v>40</v>
      </c>
      <c r="C47" s="45">
        <v>73.539834516666772</v>
      </c>
      <c r="D47" s="46">
        <v>1.1943620786447005</v>
      </c>
      <c r="E47" s="46">
        <f t="shared" si="0"/>
        <v>2.9429081617805419</v>
      </c>
      <c r="F47" s="73">
        <f t="shared" si="1"/>
        <v>4.00178784888831E-2</v>
      </c>
    </row>
    <row r="48" spans="2:6" ht="15.75" x14ac:dyDescent="0.25">
      <c r="B48" s="176">
        <v>41</v>
      </c>
      <c r="C48" s="45">
        <v>73.76827542648077</v>
      </c>
      <c r="D48" s="46">
        <v>1.1954932657699497</v>
      </c>
      <c r="E48" s="46">
        <f t="shared" si="0"/>
        <v>2.9456954068571561</v>
      </c>
      <c r="F48" s="73">
        <f t="shared" si="1"/>
        <v>3.9931737455254822E-2</v>
      </c>
    </row>
    <row r="49" spans="2:6" ht="15.75" x14ac:dyDescent="0.25">
      <c r="B49" s="176">
        <v>42</v>
      </c>
      <c r="C49" s="45">
        <v>73.971782756996333</v>
      </c>
      <c r="D49" s="46">
        <v>1.1963739718055235</v>
      </c>
      <c r="E49" s="46">
        <f t="shared" si="0"/>
        <v>2.94786546652881</v>
      </c>
      <c r="F49" s="73">
        <f t="shared" si="1"/>
        <v>3.985121564817224E-2</v>
      </c>
    </row>
    <row r="50" spans="2:6" ht="15.75" x14ac:dyDescent="0.25">
      <c r="B50" s="176">
        <v>43</v>
      </c>
      <c r="C50" s="45">
        <v>74.15041966310136</v>
      </c>
      <c r="D50" s="46">
        <v>1.1970070412979408</v>
      </c>
      <c r="E50" s="46">
        <f t="shared" si="0"/>
        <v>2.9494253497581262</v>
      </c>
      <c r="F50" s="73">
        <f t="shared" si="1"/>
        <v>3.9776246218951823E-2</v>
      </c>
    </row>
    <row r="51" spans="2:6" ht="15.75" x14ac:dyDescent="0.25">
      <c r="B51" s="176">
        <v>44</v>
      </c>
      <c r="C51" s="45">
        <v>74.304249299683661</v>
      </c>
      <c r="D51" s="46">
        <v>1.1973951541498009</v>
      </c>
      <c r="E51" s="46">
        <f t="shared" si="0"/>
        <v>2.9503816598251094</v>
      </c>
      <c r="F51" s="73">
        <f t="shared" si="1"/>
        <v>3.9706768961834733E-2</v>
      </c>
    </row>
    <row r="52" spans="2:6" ht="15.75" x14ac:dyDescent="0.25">
      <c r="B52" s="176">
        <v>45</v>
      </c>
      <c r="C52" s="45">
        <v>74.433334821631163</v>
      </c>
      <c r="D52" s="46">
        <v>1.197540833859819</v>
      </c>
      <c r="E52" s="46">
        <f t="shared" si="0"/>
        <v>2.9507406146305941</v>
      </c>
      <c r="F52" s="73">
        <f t="shared" si="1"/>
        <v>3.9642730259253085E-2</v>
      </c>
    </row>
    <row r="53" spans="2:6" ht="15.75" x14ac:dyDescent="0.25">
      <c r="B53" s="176">
        <v>46</v>
      </c>
      <c r="C53" s="45">
        <v>74.537739383831678</v>
      </c>
      <c r="D53" s="46">
        <v>1.1974464547207808</v>
      </c>
      <c r="E53" s="46">
        <f t="shared" si="0"/>
        <v>2.9505080644320039</v>
      </c>
      <c r="F53" s="73">
        <f t="shared" si="1"/>
        <v>3.9584083027235088E-2</v>
      </c>
    </row>
    <row r="54" spans="2:6" ht="15.75" x14ac:dyDescent="0.25">
      <c r="B54" s="176">
        <v>47</v>
      </c>
      <c r="C54" s="45">
        <v>74.617526141173087</v>
      </c>
      <c r="D54" s="46">
        <v>1.1971142479929111</v>
      </c>
      <c r="E54" s="46">
        <f t="shared" si="0"/>
        <v>2.9496895070545328</v>
      </c>
      <c r="F54" s="73">
        <f t="shared" si="1"/>
        <v>3.953078666094946E-2</v>
      </c>
    </row>
    <row r="55" spans="2:6" ht="15.75" x14ac:dyDescent="0.25">
      <c r="B55" s="176">
        <v>48</v>
      </c>
      <c r="C55" s="45">
        <v>74.672758248543275</v>
      </c>
      <c r="D55" s="46">
        <v>1.1965463070700009</v>
      </c>
      <c r="E55" s="46">
        <f t="shared" si="0"/>
        <v>2.9482901006204822</v>
      </c>
      <c r="F55" s="73">
        <f t="shared" si="1"/>
        <v>3.9482806980388967E-2</v>
      </c>
    </row>
    <row r="56" spans="2:6" ht="15.75" x14ac:dyDescent="0.25">
      <c r="B56" s="176">
        <v>49</v>
      </c>
      <c r="C56" s="45">
        <v>74.703498860830067</v>
      </c>
      <c r="D56" s="46">
        <v>1.1957445916555414</v>
      </c>
      <c r="E56" s="46">
        <f t="shared" si="0"/>
        <v>2.9463146738392538</v>
      </c>
      <c r="F56" s="73">
        <f t="shared" si="1"/>
        <v>3.9440116176193196E-2</v>
      </c>
    </row>
    <row r="57" spans="2:6" ht="15.75" x14ac:dyDescent="0.25">
      <c r="B57" s="176">
        <v>50</v>
      </c>
      <c r="C57" s="45">
        <v>74.709811132921374</v>
      </c>
      <c r="D57" s="46">
        <v>1.1947109309659834</v>
      </c>
      <c r="E57" s="46">
        <f t="shared" si="0"/>
        <v>2.9437677339001831</v>
      </c>
      <c r="F57" s="73">
        <f t="shared" si="1"/>
        <v>3.9402692755610411E-2</v>
      </c>
    </row>
    <row r="58" spans="2:6" ht="15.75" x14ac:dyDescent="0.25">
      <c r="B58" s="176">
        <v>51</v>
      </c>
      <c r="C58" s="45">
        <v>74.69175821970498</v>
      </c>
      <c r="D58" s="46">
        <v>1.1934470259781289</v>
      </c>
      <c r="E58" s="46">
        <f t="shared" si="0"/>
        <v>2.9406534720101094</v>
      </c>
      <c r="F58" s="73">
        <f t="shared" si="1"/>
        <v>3.9370521488598646E-2</v>
      </c>
    </row>
    <row r="59" spans="2:6" ht="15.75" x14ac:dyDescent="0.25">
      <c r="B59" s="176">
        <v>52</v>
      </c>
      <c r="C59" s="45">
        <v>74.649403276068824</v>
      </c>
      <c r="D59" s="46">
        <v>1.1919544507375508</v>
      </c>
      <c r="E59" s="46">
        <f t="shared" si="0"/>
        <v>2.9369757666173251</v>
      </c>
      <c r="F59" s="73">
        <f t="shared" si="1"/>
        <v>3.9343593354065877E-2</v>
      </c>
    </row>
    <row r="60" spans="2:6" ht="15.75" x14ac:dyDescent="0.25">
      <c r="B60" s="176">
        <v>53</v>
      </c>
      <c r="C60" s="45">
        <v>74.582809456900748</v>
      </c>
      <c r="D60" s="46">
        <v>1.190234652744808</v>
      </c>
      <c r="E60" s="46">
        <f t="shared" si="0"/>
        <v>2.932738184363207</v>
      </c>
      <c r="F60" s="73">
        <f t="shared" si="1"/>
        <v>3.9321905486249503E-2</v>
      </c>
    </row>
    <row r="61" spans="2:6" ht="15.75" x14ac:dyDescent="0.25">
      <c r="B61" s="176">
        <v>54</v>
      </c>
      <c r="C61" s="45">
        <v>74.492039917088604</v>
      </c>
      <c r="D61" s="46">
        <v>1.1882889524361182</v>
      </c>
      <c r="E61" s="46">
        <f t="shared" si="0"/>
        <v>2.9279439788025954</v>
      </c>
      <c r="F61" s="73">
        <f t="shared" si="1"/>
        <v>3.9305461121234779E-2</v>
      </c>
    </row>
    <row r="62" spans="2:6" ht="15.75" x14ac:dyDescent="0.25">
      <c r="B62" s="176">
        <v>55</v>
      </c>
      <c r="C62" s="45">
        <v>74.377157811520263</v>
      </c>
      <c r="D62" s="46">
        <v>1.1861185417750379</v>
      </c>
      <c r="E62" s="46">
        <f t="shared" si="0"/>
        <v>2.9225960869336935</v>
      </c>
      <c r="F62" s="73">
        <f t="shared" si="1"/>
        <v>3.9294269543612668E-2</v>
      </c>
    </row>
    <row r="63" spans="2:6" ht="15.75" x14ac:dyDescent="0.25">
      <c r="B63" s="176">
        <v>56</v>
      </c>
      <c r="C63" s="45">
        <v>74.238226295083564</v>
      </c>
      <c r="D63" s="46">
        <v>1.1837244819715662</v>
      </c>
      <c r="E63" s="46">
        <f t="shared" si="0"/>
        <v>2.9166971235779391</v>
      </c>
      <c r="F63" s="73">
        <f t="shared" si="1"/>
        <v>3.9288346033276626E-2</v>
      </c>
    </row>
    <row r="64" spans="2:6" ht="15.75" x14ac:dyDescent="0.25">
      <c r="B64" s="176">
        <v>57</v>
      </c>
      <c r="C64" s="45">
        <v>74.075308522666418</v>
      </c>
      <c r="D64" s="46">
        <v>1.1811077003449997</v>
      </c>
      <c r="E64" s="46">
        <f t="shared" si="0"/>
        <v>2.9102493736500792</v>
      </c>
      <c r="F64" s="73">
        <f t="shared" si="1"/>
        <v>3.9287711812358739E-2</v>
      </c>
    </row>
    <row r="65" spans="2:6" ht="15.75" x14ac:dyDescent="0.25">
      <c r="B65" s="176">
        <v>58</v>
      </c>
      <c r="C65" s="45">
        <v>73.888467649156638</v>
      </c>
      <c r="D65" s="46">
        <v>1.1782689863467268</v>
      </c>
      <c r="E65" s="46">
        <f t="shared" si="0"/>
        <v>2.903254782358335</v>
      </c>
      <c r="F65" s="73">
        <f t="shared" si="1"/>
        <v>3.9292393992304872E-2</v>
      </c>
    </row>
    <row r="66" spans="2:6" ht="15.75" x14ac:dyDescent="0.25">
      <c r="B66" s="176">
        <v>59</v>
      </c>
      <c r="C66" s="45">
        <v>73.67776682944212</v>
      </c>
      <c r="D66" s="46">
        <v>1.1752089867590578</v>
      </c>
      <c r="E66" s="46">
        <f t="shared" si="0"/>
        <v>2.8957149433743186</v>
      </c>
      <c r="F66" s="73">
        <f t="shared" si="1"/>
        <v>3.9302425521089111E-2</v>
      </c>
    </row>
    <row r="67" spans="2:6" ht="15.75" x14ac:dyDescent="0.25">
      <c r="B67" s="176">
        <v>60</v>
      </c>
      <c r="C67" s="45">
        <v>73.443269218410734</v>
      </c>
      <c r="D67" s="46">
        <v>1.1719282000860514</v>
      </c>
      <c r="E67" s="46">
        <f t="shared" si="0"/>
        <v>2.8876310850120306</v>
      </c>
      <c r="F67" s="73">
        <f t="shared" si="1"/>
        <v>3.9317845130567255E-2</v>
      </c>
    </row>
  </sheetData>
  <mergeCells count="1">
    <mergeCell ref="B2:D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M100"/>
  <sheetViews>
    <sheetView zoomScale="70" zoomScaleNormal="70" workbookViewId="0">
      <selection activeCell="H7" sqref="H7"/>
    </sheetView>
  </sheetViews>
  <sheetFormatPr defaultColWidth="9.140625" defaultRowHeight="15.75" x14ac:dyDescent="0.25"/>
  <cols>
    <col min="1" max="1" width="9.140625" style="25"/>
    <col min="2" max="2" width="21.85546875" style="25" customWidth="1"/>
    <col min="3" max="3" width="26.5703125" style="25" customWidth="1"/>
    <col min="4" max="4" width="39.7109375" style="25" customWidth="1"/>
    <col min="5" max="5" width="17.7109375" style="25" customWidth="1"/>
    <col min="6" max="6" width="13.85546875" style="25" customWidth="1"/>
    <col min="7" max="7" width="13.42578125" style="25" customWidth="1"/>
    <col min="8" max="8" width="13.140625" style="25" bestFit="1" customWidth="1"/>
    <col min="9" max="10" width="14.28515625" style="25" bestFit="1" customWidth="1"/>
    <col min="11" max="16384" width="9.140625" style="25"/>
  </cols>
  <sheetData>
    <row r="2" spans="2:9" x14ac:dyDescent="0.25">
      <c r="B2" s="243" t="s">
        <v>153</v>
      </c>
      <c r="C2" s="243"/>
      <c r="D2" s="243"/>
    </row>
    <row r="3" spans="2:9" ht="39" customHeight="1" x14ac:dyDescent="0.25">
      <c r="B3" s="27" t="s">
        <v>39</v>
      </c>
      <c r="C3" s="31" t="s">
        <v>42</v>
      </c>
      <c r="D3" s="158" t="s">
        <v>154</v>
      </c>
      <c r="E3" s="177"/>
      <c r="F3" s="177"/>
    </row>
    <row r="4" spans="2:9" ht="54" customHeight="1" x14ac:dyDescent="0.25">
      <c r="B4" s="27" t="s">
        <v>40</v>
      </c>
      <c r="C4" s="31" t="s">
        <v>41</v>
      </c>
      <c r="D4" s="158" t="s">
        <v>155</v>
      </c>
    </row>
    <row r="5" spans="2:9" s="26" customFormat="1" x14ac:dyDescent="0.25"/>
    <row r="6" spans="2:9" s="26" customFormat="1" ht="38.25" customHeight="1" x14ac:dyDescent="0.25">
      <c r="B6" s="218" t="s">
        <v>36</v>
      </c>
      <c r="C6" s="218" t="s">
        <v>11</v>
      </c>
      <c r="D6" s="218" t="s">
        <v>43</v>
      </c>
      <c r="E6" s="210" t="s">
        <v>156</v>
      </c>
      <c r="F6" s="209" t="s">
        <v>81</v>
      </c>
      <c r="G6" s="209" t="s">
        <v>119</v>
      </c>
      <c r="H6" s="209" t="s">
        <v>145</v>
      </c>
      <c r="I6" s="209" t="s">
        <v>234</v>
      </c>
    </row>
    <row r="7" spans="2:9" s="26" customFormat="1" x14ac:dyDescent="0.25">
      <c r="B7" s="104">
        <v>0.5</v>
      </c>
      <c r="C7" s="106">
        <v>0.36748268225543174</v>
      </c>
      <c r="D7" s="107">
        <v>0.35899999999999999</v>
      </c>
      <c r="E7" s="88">
        <f>(10^(1.2082 *LOG10(C7) + 3.2869)) * (1 + 0) * (1 - D7) / 1000</f>
        <v>0.37023478932968662</v>
      </c>
      <c r="F7" s="88">
        <v>6.9154266062882783</v>
      </c>
      <c r="G7" s="19">
        <f>E7/F7</f>
        <v>5.3537519867975725E-2</v>
      </c>
      <c r="H7" s="106">
        <f>G7/(1-D7)</f>
        <v>8.352187186891688E-2</v>
      </c>
      <c r="I7" s="19">
        <f>H7*F7</f>
        <v>0.57758937492930829</v>
      </c>
    </row>
    <row r="8" spans="2:9" s="26" customFormat="1" x14ac:dyDescent="0.25">
      <c r="B8" s="104">
        <v>1</v>
      </c>
      <c r="C8" s="106">
        <v>0.45488969149254993</v>
      </c>
      <c r="D8" s="107">
        <v>0.35899999999999999</v>
      </c>
      <c r="E8" s="88">
        <f t="shared" ref="E8:E31" si="0">(10^(1.2082 *LOG10(C8) + 3.2869)) * (1 + 0) * (1 - D8) / 1000</f>
        <v>0.47911544772485742</v>
      </c>
      <c r="F8" s="88">
        <v>9.363369181598614</v>
      </c>
      <c r="G8" s="19">
        <f t="shared" ref="G8:G38" si="1">E8/F8</f>
        <v>5.1169129234639205E-2</v>
      </c>
      <c r="H8" s="106">
        <f t="shared" ref="H8:H67" si="2">G8/(1-D8)</f>
        <v>7.982703468742465E-2</v>
      </c>
      <c r="I8" s="19">
        <f t="shared" ref="I8:I67" si="3">H8*F8</f>
        <v>0.74744999645063548</v>
      </c>
    </row>
    <row r="9" spans="2:9" s="26" customFormat="1" x14ac:dyDescent="0.25">
      <c r="B9" s="159">
        <v>2</v>
      </c>
      <c r="C9" s="36">
        <v>0.57453062042081449</v>
      </c>
      <c r="D9" s="32">
        <v>0.34298785720000002</v>
      </c>
      <c r="E9" s="61">
        <f t="shared" si="0"/>
        <v>0.65114180675568267</v>
      </c>
      <c r="F9" s="61">
        <v>12.915540478557535</v>
      </c>
      <c r="G9" s="31">
        <f t="shared" si="1"/>
        <v>5.0415374241342251E-2</v>
      </c>
      <c r="H9" s="36">
        <f t="shared" si="2"/>
        <v>7.6734311220620952E-2</v>
      </c>
      <c r="I9" s="31">
        <f t="shared" si="3"/>
        <v>0.99106510266416159</v>
      </c>
    </row>
    <row r="10" spans="2:9" s="26" customFormat="1" x14ac:dyDescent="0.25">
      <c r="B10" s="159">
        <v>3</v>
      </c>
      <c r="C10" s="36">
        <v>0.6572257425427771</v>
      </c>
      <c r="D10" s="32">
        <v>0.35030012205</v>
      </c>
      <c r="E10" s="61">
        <f t="shared" si="0"/>
        <v>0.75748759242185515</v>
      </c>
      <c r="F10" s="61">
        <v>15.501380951815555</v>
      </c>
      <c r="G10" s="31">
        <f t="shared" si="1"/>
        <v>4.886581361856903E-2</v>
      </c>
      <c r="H10" s="36">
        <f t="shared" si="2"/>
        <v>7.5212902567806342E-2</v>
      </c>
      <c r="I10" s="31">
        <f t="shared" si="3"/>
        <v>1.1659038551953524</v>
      </c>
    </row>
    <row r="11" spans="2:9" s="26" customFormat="1" x14ac:dyDescent="0.25">
      <c r="B11" s="159">
        <v>4</v>
      </c>
      <c r="C11" s="36">
        <v>0.72810004813477081</v>
      </c>
      <c r="D11" s="32">
        <v>0.35728796960000003</v>
      </c>
      <c r="E11" s="61">
        <f t="shared" si="0"/>
        <v>0.8480386921560733</v>
      </c>
      <c r="F11" s="61">
        <v>17.658377304122929</v>
      </c>
      <c r="G11" s="31">
        <f t="shared" si="1"/>
        <v>4.8024723764287833E-2</v>
      </c>
      <c r="H11" s="36">
        <f t="shared" si="2"/>
        <v>7.4721992887544109E-2</v>
      </c>
      <c r="I11" s="31">
        <f t="shared" si="3"/>
        <v>1.3194691433242438</v>
      </c>
    </row>
    <row r="12" spans="2:9" s="26" customFormat="1" x14ac:dyDescent="0.25">
      <c r="B12" s="104">
        <v>5</v>
      </c>
      <c r="C12" s="106">
        <v>0.79391924933230318</v>
      </c>
      <c r="D12" s="107">
        <v>0.36395816875000003</v>
      </c>
      <c r="E12" s="88">
        <f t="shared" si="0"/>
        <v>0.93174150872796713</v>
      </c>
      <c r="F12" s="88">
        <v>19.714719765531608</v>
      </c>
      <c r="G12" s="19">
        <f t="shared" si="1"/>
        <v>4.7261209888308175E-2</v>
      </c>
      <c r="H12" s="106">
        <f t="shared" si="2"/>
        <v>7.4305191209557211E-2</v>
      </c>
      <c r="I12" s="19">
        <f t="shared" si="3"/>
        <v>1.4649060218206631</v>
      </c>
    </row>
    <row r="13" spans="2:9" s="26" customFormat="1" x14ac:dyDescent="0.25">
      <c r="B13" s="159">
        <v>6</v>
      </c>
      <c r="C13" s="36">
        <v>0.85943090178124271</v>
      </c>
      <c r="D13" s="32">
        <v>0.37031748840000001</v>
      </c>
      <c r="E13" s="61">
        <f t="shared" si="0"/>
        <v>1.015161923043767</v>
      </c>
      <c r="F13" s="61">
        <v>21.92310304640738</v>
      </c>
      <c r="G13" s="31">
        <f t="shared" si="1"/>
        <v>4.6305576400149491E-2</v>
      </c>
      <c r="H13" s="36">
        <f t="shared" si="2"/>
        <v>7.3537974371383971E-2</v>
      </c>
      <c r="I13" s="31">
        <f t="shared" si="3"/>
        <v>1.6121805899679158</v>
      </c>
    </row>
    <row r="14" spans="2:9" s="26" customFormat="1" x14ac:dyDescent="0.25">
      <c r="B14" s="159">
        <v>7</v>
      </c>
      <c r="C14" s="36">
        <v>0.9293519035452813</v>
      </c>
      <c r="D14" s="32">
        <v>0.37637269745000002</v>
      </c>
      <c r="E14" s="61">
        <f t="shared" si="0"/>
        <v>1.105046184575762</v>
      </c>
      <c r="F14" s="61">
        <v>24.506576900677818</v>
      </c>
      <c r="G14" s="31">
        <f t="shared" si="1"/>
        <v>4.5091821230454993E-2</v>
      </c>
      <c r="H14" s="36">
        <f t="shared" si="2"/>
        <v>7.2305720173051133E-2</v>
      </c>
      <c r="I14" s="31">
        <f t="shared" si="3"/>
        <v>1.771965691779769</v>
      </c>
    </row>
    <row r="15" spans="2:9" s="26" customFormat="1" x14ac:dyDescent="0.25">
      <c r="B15" s="159">
        <v>8</v>
      </c>
      <c r="C15" s="36">
        <v>1.0076015116435706</v>
      </c>
      <c r="D15" s="32">
        <v>0.38213056480000002</v>
      </c>
      <c r="E15" s="61">
        <f t="shared" si="0"/>
        <v>1.2071750553093223</v>
      </c>
      <c r="F15" s="61">
        <v>27.656407916528913</v>
      </c>
      <c r="G15" s="31">
        <f t="shared" si="1"/>
        <v>4.364901830175319E-2</v>
      </c>
      <c r="H15" s="36">
        <f t="shared" si="2"/>
        <v>7.0644404489152809E-2</v>
      </c>
      <c r="I15" s="31">
        <f t="shared" si="3"/>
        <v>1.9537704675722765</v>
      </c>
    </row>
    <row r="16" spans="2:9" s="26" customFormat="1" x14ac:dyDescent="0.25">
      <c r="B16" s="159">
        <v>9</v>
      </c>
      <c r="C16" s="36">
        <v>1.0972045864183075</v>
      </c>
      <c r="D16" s="32">
        <v>0.38759785935000002</v>
      </c>
      <c r="E16" s="61">
        <f t="shared" si="0"/>
        <v>1.326209686820965</v>
      </c>
      <c r="F16" s="61">
        <v>31.490090721081462</v>
      </c>
      <c r="G16" s="31">
        <f t="shared" si="1"/>
        <v>4.2115143413452162E-2</v>
      </c>
      <c r="H16" s="36">
        <f t="shared" si="2"/>
        <v>6.877040529079699E-2</v>
      </c>
      <c r="I16" s="31">
        <f t="shared" si="3"/>
        <v>2.1655863015327377</v>
      </c>
    </row>
    <row r="17" spans="2:13" s="26" customFormat="1" x14ac:dyDescent="0.25">
      <c r="B17" s="104">
        <v>10</v>
      </c>
      <c r="C17" s="106">
        <v>1.1999235621706403</v>
      </c>
      <c r="D17" s="107">
        <v>0.39278135000000003</v>
      </c>
      <c r="E17" s="88">
        <f t="shared" si="0"/>
        <v>1.4651377522329641</v>
      </c>
      <c r="F17" s="88">
        <v>35.983607211042894</v>
      </c>
      <c r="G17" s="19">
        <f t="shared" si="1"/>
        <v>4.0716811509195573E-2</v>
      </c>
      <c r="H17" s="106">
        <f t="shared" si="2"/>
        <v>6.7054612879883665E-2</v>
      </c>
      <c r="I17" s="19">
        <f t="shared" si="3"/>
        <v>2.4128668515582716</v>
      </c>
    </row>
    <row r="18" spans="2:13" s="26" customFormat="1" x14ac:dyDescent="0.25">
      <c r="B18" s="159">
        <v>11</v>
      </c>
      <c r="C18" s="36">
        <v>1.3126591016380704</v>
      </c>
      <c r="D18" s="32">
        <v>0.39768780565</v>
      </c>
      <c r="E18" s="61">
        <f t="shared" si="0"/>
        <v>1.6198427147670658</v>
      </c>
      <c r="F18" s="61">
        <v>40.920968011983341</v>
      </c>
      <c r="G18" s="31">
        <f t="shared" si="1"/>
        <v>3.9584662667137033E-2</v>
      </c>
      <c r="H18" s="36">
        <f t="shared" si="2"/>
        <v>6.5721170911798979E-2</v>
      </c>
      <c r="I18" s="31">
        <f t="shared" si="3"/>
        <v>2.689373932591816</v>
      </c>
    </row>
    <row r="19" spans="2:13" s="26" customFormat="1" x14ac:dyDescent="0.25">
      <c r="B19" s="159">
        <v>12</v>
      </c>
      <c r="C19" s="36">
        <v>1.4207481694198665</v>
      </c>
      <c r="D19" s="32">
        <v>0.40232399520000001</v>
      </c>
      <c r="E19" s="61">
        <f t="shared" si="0"/>
        <v>1.7686299976118998</v>
      </c>
      <c r="F19" s="61">
        <v>45.921621798727614</v>
      </c>
      <c r="G19" s="31">
        <f t="shared" si="1"/>
        <v>3.8514101382649872E-2</v>
      </c>
      <c r="H19" s="36">
        <f t="shared" si="2"/>
        <v>6.4439765145896763E-2</v>
      </c>
      <c r="I19" s="31">
        <f t="shared" si="3"/>
        <v>2.9591785238287005</v>
      </c>
    </row>
    <row r="20" spans="2:13" s="26" customFormat="1" x14ac:dyDescent="0.25">
      <c r="B20" s="159">
        <v>13</v>
      </c>
      <c r="C20" s="36">
        <v>1.508666182635569</v>
      </c>
      <c r="D20" s="32">
        <v>0.40669668754999999</v>
      </c>
      <c r="E20" s="61">
        <f t="shared" si="0"/>
        <v>1.8877871414325138</v>
      </c>
      <c r="F20" s="61">
        <v>50.562974255063295</v>
      </c>
      <c r="G20" s="31">
        <f t="shared" si="1"/>
        <v>3.7335365833299924E-2</v>
      </c>
      <c r="H20" s="36">
        <f t="shared" si="2"/>
        <v>6.2927957841877588E-2</v>
      </c>
      <c r="I20" s="31">
        <f t="shared" si="3"/>
        <v>3.1818247122825647</v>
      </c>
    </row>
    <row r="21" spans="2:13" s="26" customFormat="1" x14ac:dyDescent="0.25">
      <c r="B21" s="159">
        <v>14</v>
      </c>
      <c r="C21" s="36">
        <v>1.5745960905913443</v>
      </c>
      <c r="D21" s="32">
        <v>0.41081265160000002</v>
      </c>
      <c r="E21" s="61">
        <f t="shared" si="0"/>
        <v>1.9741184275104287</v>
      </c>
      <c r="F21" s="61">
        <v>54.528713185550821</v>
      </c>
      <c r="G21" s="31">
        <f t="shared" si="1"/>
        <v>3.6203282861139226E-2</v>
      </c>
      <c r="H21" s="36">
        <f t="shared" si="2"/>
        <v>6.1446130775640442E-2</v>
      </c>
      <c r="I21" s="31">
        <f t="shared" si="3"/>
        <v>3.350578441426745</v>
      </c>
    </row>
    <row r="22" spans="2:13" s="26" customFormat="1" x14ac:dyDescent="0.25">
      <c r="B22" s="159">
        <v>15</v>
      </c>
      <c r="C22" s="36">
        <v>1.622878505732064</v>
      </c>
      <c r="D22" s="32">
        <v>0.41467865625</v>
      </c>
      <c r="E22" s="61">
        <f t="shared" si="0"/>
        <v>2.0340513667310329</v>
      </c>
      <c r="F22" s="61">
        <v>57.686468800180961</v>
      </c>
      <c r="G22" s="31">
        <f t="shared" si="1"/>
        <v>3.5260458978287335E-2</v>
      </c>
      <c r="H22" s="36">
        <f t="shared" si="2"/>
        <v>6.0241198027023657E-2</v>
      </c>
      <c r="I22" s="31">
        <f t="shared" si="3"/>
        <v>3.4751019904714231</v>
      </c>
    </row>
    <row r="23" spans="2:13" s="26" customFormat="1" x14ac:dyDescent="0.25">
      <c r="B23" s="159">
        <v>16</v>
      </c>
      <c r="C23" s="36">
        <v>1.6576234310245059</v>
      </c>
      <c r="D23" s="32">
        <v>0.41830147039999999</v>
      </c>
      <c r="E23" s="61">
        <f t="shared" si="0"/>
        <v>2.0738665299182011</v>
      </c>
      <c r="F23" s="61">
        <v>60.067672365756145</v>
      </c>
      <c r="G23" s="31">
        <f t="shared" si="1"/>
        <v>3.452550179221673E-2</v>
      </c>
      <c r="H23" s="36">
        <f t="shared" si="2"/>
        <v>5.9352912265323916E-2</v>
      </c>
      <c r="I23" s="31">
        <f t="shared" si="3"/>
        <v>3.5651912879069463</v>
      </c>
    </row>
    <row r="24" spans="2:13" s="26" customFormat="1" x14ac:dyDescent="0.25">
      <c r="B24" s="159">
        <v>17</v>
      </c>
      <c r="C24" s="36">
        <v>1.6821945571748413</v>
      </c>
      <c r="D24" s="32">
        <v>0.42168786294999999</v>
      </c>
      <c r="E24" s="61">
        <f t="shared" si="0"/>
        <v>2.0987753758075649</v>
      </c>
      <c r="F24" s="61">
        <v>61.796641311133001</v>
      </c>
      <c r="G24" s="31">
        <f t="shared" si="1"/>
        <v>3.3962612389250663E-2</v>
      </c>
      <c r="H24" s="36">
        <f t="shared" si="2"/>
        <v>5.8727130581238879E-2</v>
      </c>
      <c r="I24" s="31">
        <f t="shared" si="3"/>
        <v>3.6291394237608889</v>
      </c>
    </row>
    <row r="25" spans="2:13" s="26" customFormat="1" x14ac:dyDescent="0.25">
      <c r="B25" s="159">
        <v>18</v>
      </c>
      <c r="C25" s="36">
        <v>1.6993651099713358</v>
      </c>
      <c r="D25" s="32">
        <v>0.42484460280000003</v>
      </c>
      <c r="E25" s="61">
        <f t="shared" si="0"/>
        <v>2.1130880176345115</v>
      </c>
      <c r="F25" s="61">
        <v>63.023876884237708</v>
      </c>
      <c r="G25" s="31">
        <f t="shared" si="1"/>
        <v>3.3528372453440668E-2</v>
      </c>
      <c r="H25" s="36">
        <f t="shared" si="2"/>
        <v>5.8294458535319588E-2</v>
      </c>
      <c r="I25" s="31">
        <f t="shared" si="3"/>
        <v>3.6739427777632816</v>
      </c>
      <c r="K25" s="244" t="s">
        <v>236</v>
      </c>
      <c r="L25" s="245"/>
      <c r="M25" s="246"/>
    </row>
    <row r="26" spans="2:13" s="26" customFormat="1" ht="30" x14ac:dyDescent="0.25">
      <c r="B26" s="159">
        <v>19</v>
      </c>
      <c r="C26" s="179">
        <v>1.7113198688105276</v>
      </c>
      <c r="D26" s="170">
        <v>0.42777845884999999</v>
      </c>
      <c r="E26" s="180">
        <f t="shared" si="0"/>
        <v>2.1201908193515084</v>
      </c>
      <c r="F26" s="180">
        <v>63.886643111966308</v>
      </c>
      <c r="G26" s="158">
        <f t="shared" si="1"/>
        <v>3.3186761990854789E-2</v>
      </c>
      <c r="H26" s="179">
        <f t="shared" si="2"/>
        <v>5.7996352119423861E-2</v>
      </c>
      <c r="I26" s="158">
        <f t="shared" si="3"/>
        <v>3.7051922496495631</v>
      </c>
      <c r="K26" s="127" t="s">
        <v>15</v>
      </c>
      <c r="L26" s="128" t="s">
        <v>237</v>
      </c>
      <c r="M26" s="127" t="s">
        <v>238</v>
      </c>
    </row>
    <row r="27" spans="2:13" s="26" customFormat="1" x14ac:dyDescent="0.25">
      <c r="B27" s="159">
        <v>20</v>
      </c>
      <c r="C27" s="36">
        <v>1.7196845916164114</v>
      </c>
      <c r="D27" s="32">
        <v>0.4304962</v>
      </c>
      <c r="E27" s="61">
        <f t="shared" si="0"/>
        <v>2.1225887906719825</v>
      </c>
      <c r="F27" s="61">
        <v>64.494109284869964</v>
      </c>
      <c r="G27" s="31">
        <f t="shared" si="1"/>
        <v>3.2911359102527099E-2</v>
      </c>
      <c r="H27" s="36">
        <f t="shared" si="2"/>
        <v>5.7789533805616571E-2</v>
      </c>
      <c r="I27" s="31">
        <f t="shared" si="3"/>
        <v>3.7270845087811222</v>
      </c>
      <c r="K27" s="127" t="s">
        <v>239</v>
      </c>
      <c r="L27" s="127">
        <v>290</v>
      </c>
      <c r="M27" s="127"/>
    </row>
    <row r="28" spans="2:13" s="26" customFormat="1" x14ac:dyDescent="0.25">
      <c r="B28" s="159">
        <v>21</v>
      </c>
      <c r="C28" s="36">
        <v>1.7256150326524335</v>
      </c>
      <c r="D28" s="32">
        <v>0.43300459515</v>
      </c>
      <c r="E28" s="61">
        <f t="shared" si="0"/>
        <v>2.1220478759017753</v>
      </c>
      <c r="F28" s="61">
        <v>64.926599621061627</v>
      </c>
      <c r="G28" s="31">
        <f t="shared" si="1"/>
        <v>3.268379813954405E-2</v>
      </c>
      <c r="H28" s="36">
        <f t="shared" si="2"/>
        <v>5.7643850126423209E-2</v>
      </c>
      <c r="I28" s="31">
        <f t="shared" si="3"/>
        <v>3.7426191777747624</v>
      </c>
      <c r="K28" s="127">
        <v>1</v>
      </c>
      <c r="L28" s="127">
        <v>530</v>
      </c>
      <c r="M28" s="127">
        <f>0.747*1000</f>
        <v>747</v>
      </c>
    </row>
    <row r="29" spans="2:13" s="26" customFormat="1" x14ac:dyDescent="0.25">
      <c r="B29" s="159">
        <v>22</v>
      </c>
      <c r="C29" s="36">
        <v>1.731071208698802</v>
      </c>
      <c r="D29" s="32">
        <v>0.43531041319999997</v>
      </c>
      <c r="E29" s="61">
        <f t="shared" si="0"/>
        <v>2.1214943597803306</v>
      </c>
      <c r="F29" s="61">
        <v>65.325791514810419</v>
      </c>
      <c r="G29" s="31">
        <f t="shared" si="1"/>
        <v>3.2475601299057411E-2</v>
      </c>
      <c r="H29" s="36">
        <f t="shared" si="2"/>
        <v>5.7510536865202577E-2</v>
      </c>
      <c r="I29" s="31">
        <f t="shared" si="3"/>
        <v>3.7569213411610423</v>
      </c>
      <c r="K29" s="127">
        <v>5</v>
      </c>
      <c r="L29" s="127">
        <v>1500</v>
      </c>
      <c r="M29" s="127">
        <f>1.465*1000</f>
        <v>1465</v>
      </c>
    </row>
    <row r="30" spans="2:13" s="26" customFormat="1" x14ac:dyDescent="0.25">
      <c r="B30" s="159">
        <v>23</v>
      </c>
      <c r="C30" s="36">
        <v>1.7372636054462667</v>
      </c>
      <c r="D30" s="32">
        <v>0.43742042305000001</v>
      </c>
      <c r="E30" s="61">
        <f t="shared" si="0"/>
        <v>2.1227054107652394</v>
      </c>
      <c r="F30" s="61">
        <v>65.780304330831555</v>
      </c>
      <c r="G30" s="31">
        <f t="shared" si="1"/>
        <v>3.2269619795150702E-2</v>
      </c>
      <c r="H30" s="36">
        <f t="shared" si="2"/>
        <v>5.7360098228412419E-2</v>
      </c>
      <c r="I30" s="31">
        <f t="shared" si="3"/>
        <v>3.773164717911361</v>
      </c>
      <c r="K30" s="127">
        <v>10</v>
      </c>
      <c r="L30" s="127">
        <v>2500</v>
      </c>
      <c r="M30" s="127">
        <f>2.413*1000</f>
        <v>2413</v>
      </c>
    </row>
    <row r="31" spans="2:13" s="26" customFormat="1" x14ac:dyDescent="0.25">
      <c r="B31" s="159">
        <v>24</v>
      </c>
      <c r="C31" s="36">
        <v>1.7462454098904858</v>
      </c>
      <c r="D31" s="32">
        <v>0.43934139360000002</v>
      </c>
      <c r="E31" s="61">
        <f t="shared" si="0"/>
        <v>2.128678577400585</v>
      </c>
      <c r="F31" s="61">
        <v>66.442278786561701</v>
      </c>
      <c r="G31" s="31">
        <f t="shared" si="1"/>
        <v>3.2038012787591524E-2</v>
      </c>
      <c r="H31" s="36">
        <f t="shared" si="2"/>
        <v>5.7143531592796261E-2</v>
      </c>
      <c r="I31" s="31">
        <f t="shared" si="3"/>
        <v>3.7967464569372655</v>
      </c>
      <c r="K31" s="127">
        <v>15</v>
      </c>
      <c r="L31" s="127">
        <v>3500</v>
      </c>
      <c r="M31" s="127">
        <f>3.475*1000</f>
        <v>3475</v>
      </c>
    </row>
    <row r="32" spans="2:13" s="26" customFormat="1" x14ac:dyDescent="0.25">
      <c r="B32" s="178">
        <v>25</v>
      </c>
      <c r="C32" s="108">
        <v>1.7548335398437895</v>
      </c>
      <c r="D32" s="109">
        <v>0.44108009375000001</v>
      </c>
      <c r="E32" s="110">
        <f>(10^(1.2082 *LOG10(C32) + 3.2869)) * (1 + 0) * (1 - D32) / 1000</f>
        <v>2.134692989467299</v>
      </c>
      <c r="F32" s="88">
        <v>67.078246029899788</v>
      </c>
      <c r="G32" s="19">
        <f t="shared" si="1"/>
        <v>3.1823923787687745E-2</v>
      </c>
      <c r="H32" s="106">
        <f>G32/(1-D32)</f>
        <v>5.6938254357777662E-2</v>
      </c>
      <c r="I32" s="19">
        <f t="shared" si="3"/>
        <v>3.8193182343240237</v>
      </c>
      <c r="K32" s="127" t="s">
        <v>240</v>
      </c>
      <c r="L32" s="127">
        <v>4100</v>
      </c>
      <c r="M32" s="127">
        <f>3.786*1000</f>
        <v>3786</v>
      </c>
    </row>
    <row r="33" spans="2:9" s="26" customFormat="1" x14ac:dyDescent="0.25">
      <c r="B33" s="159">
        <v>26</v>
      </c>
      <c r="C33" s="36">
        <v>1.7630342860504022</v>
      </c>
      <c r="D33" s="32">
        <v>0.4426432924</v>
      </c>
      <c r="E33" s="61">
        <f t="shared" ref="E33:E67" si="4">(10^(1.2082 *LOG10(C33) + 3.2869)) * (1 + 0) * (1 - D33) / 1000</f>
        <v>2.1407476705791351</v>
      </c>
      <c r="F33" s="61">
        <v>67.688269215733612</v>
      </c>
      <c r="G33" s="31">
        <f t="shared" si="1"/>
        <v>3.1626568316530906E-2</v>
      </c>
      <c r="H33" s="36">
        <f t="shared" si="2"/>
        <v>5.674385521027666E-2</v>
      </c>
      <c r="I33" s="31">
        <f t="shared" si="3"/>
        <v>3.8408933478118148</v>
      </c>
    </row>
    <row r="34" spans="2:9" s="26" customFormat="1" x14ac:dyDescent="0.25">
      <c r="B34" s="159">
        <v>27</v>
      </c>
      <c r="C34" s="36">
        <v>1.7708535756905106</v>
      </c>
      <c r="D34" s="32">
        <v>0.44403775844999999</v>
      </c>
      <c r="E34" s="61">
        <f t="shared" si="4"/>
        <v>2.1468395046653188</v>
      </c>
      <c r="F34" s="61">
        <v>68.272411498951101</v>
      </c>
      <c r="G34" s="31">
        <f t="shared" si="1"/>
        <v>3.1445198104629743E-2</v>
      </c>
      <c r="H34" s="36">
        <f t="shared" si="2"/>
        <v>5.6559952735210597E-2</v>
      </c>
      <c r="I34" s="31">
        <f t="shared" si="3"/>
        <v>3.8614843674995227</v>
      </c>
    </row>
    <row r="35" spans="2:9" s="26" customFormat="1" x14ac:dyDescent="0.25">
      <c r="B35" s="159">
        <v>28</v>
      </c>
      <c r="C35" s="36">
        <v>1.7782969989458648</v>
      </c>
      <c r="D35" s="32">
        <v>0.44527026079999998</v>
      </c>
      <c r="E35" s="61">
        <f t="shared" si="4"/>
        <v>2.1529633608003707</v>
      </c>
      <c r="F35" s="61">
        <v>68.830736034440065</v>
      </c>
      <c r="G35" s="31">
        <f t="shared" si="1"/>
        <v>3.1279098333673441E-2</v>
      </c>
      <c r="H35" s="36">
        <f t="shared" si="2"/>
        <v>5.6386193353870649E-2</v>
      </c>
      <c r="I35" s="31">
        <f t="shared" si="3"/>
        <v>3.8811031907271696</v>
      </c>
    </row>
    <row r="36" spans="2:9" s="26" customFormat="1" x14ac:dyDescent="0.25">
      <c r="B36" s="159">
        <v>29</v>
      </c>
      <c r="C36" s="36">
        <v>1.7853698292494875</v>
      </c>
      <c r="D36" s="32">
        <v>0.44634756835</v>
      </c>
      <c r="E36" s="61">
        <f t="shared" si="4"/>
        <v>2.1591122057782375</v>
      </c>
      <c r="F36" s="61">
        <v>69.363305977088416</v>
      </c>
      <c r="G36" s="31">
        <f t="shared" si="1"/>
        <v>3.1127585044626042E-2</v>
      </c>
      <c r="H36" s="36">
        <f t="shared" si="2"/>
        <v>5.6222249312369729E-2</v>
      </c>
      <c r="I36" s="31">
        <f t="shared" si="3"/>
        <v>3.8997610817740505</v>
      </c>
    </row>
    <row r="37" spans="2:9" s="26" customFormat="1" x14ac:dyDescent="0.25">
      <c r="B37" s="159">
        <v>30</v>
      </c>
      <c r="C37" s="36">
        <v>1.7920770406669644</v>
      </c>
      <c r="D37" s="32">
        <v>0.44727644999999999</v>
      </c>
      <c r="E37" s="61">
        <f t="shared" si="4"/>
        <v>2.1652772097827642</v>
      </c>
      <c r="F37" s="61">
        <v>69.87018448178398</v>
      </c>
      <c r="G37" s="31">
        <f t="shared" si="1"/>
        <v>3.0990002757861311E-2</v>
      </c>
      <c r="H37" s="36">
        <f t="shared" si="2"/>
        <v>5.6067816827890374E-2</v>
      </c>
      <c r="I37" s="31">
        <f t="shared" si="3"/>
        <v>3.9174687052555726</v>
      </c>
    </row>
    <row r="38" spans="2:9" s="26" customFormat="1" x14ac:dyDescent="0.25">
      <c r="B38" s="159">
        <v>31</v>
      </c>
      <c r="C38" s="36">
        <v>1.7984233234828528</v>
      </c>
      <c r="D38" s="32">
        <v>0.44806367465000002</v>
      </c>
      <c r="E38" s="61">
        <f t="shared" si="4"/>
        <v>2.171447846952657</v>
      </c>
      <c r="F38" s="61">
        <v>70.351434703414611</v>
      </c>
      <c r="G38" s="31">
        <f t="shared" si="1"/>
        <v>3.0865722299864663E-2</v>
      </c>
      <c r="H38" s="36">
        <f t="shared" si="2"/>
        <v>5.5922614407181381E-2</v>
      </c>
      <c r="I38" s="31">
        <f t="shared" si="3"/>
        <v>3.9342361559110541</v>
      </c>
    </row>
    <row r="39" spans="2:9" s="26" customFormat="1" x14ac:dyDescent="0.25">
      <c r="B39" s="159">
        <v>32</v>
      </c>
      <c r="C39" s="36">
        <v>1.8044130983837079</v>
      </c>
      <c r="D39" s="32">
        <v>0.44871601119999999</v>
      </c>
      <c r="E39" s="61">
        <f t="shared" si="4"/>
        <v>2.1776119916098531</v>
      </c>
      <c r="F39" s="61">
        <v>70.807119796868221</v>
      </c>
      <c r="G39" s="31">
        <f t="shared" ref="G39:G67" si="5">E39/F39</f>
        <v>3.0754138819048083E-2</v>
      </c>
      <c r="H39" s="36">
        <f t="shared" si="2"/>
        <v>5.5786381327692348E-2</v>
      </c>
      <c r="I39" s="31">
        <f t="shared" si="3"/>
        <v>3.9500729857036845</v>
      </c>
    </row>
    <row r="40" spans="2:9" s="26" customFormat="1" x14ac:dyDescent="0.25">
      <c r="B40" s="159">
        <v>33</v>
      </c>
      <c r="C40" s="36">
        <v>1.8100505294266482</v>
      </c>
      <c r="D40" s="32">
        <v>0.44924022855000001</v>
      </c>
      <c r="E40" s="61">
        <f t="shared" si="4"/>
        <v>2.183756010604887</v>
      </c>
      <c r="F40" s="61">
        <v>71.237302917032622</v>
      </c>
      <c r="G40" s="31">
        <f t="shared" si="5"/>
        <v>3.0654669971829571E-2</v>
      </c>
      <c r="H40" s="36">
        <f t="shared" si="2"/>
        <v>5.5658876266732771E-2</v>
      </c>
      <c r="I40" s="31">
        <f t="shared" si="3"/>
        <v>3.9649882286348803</v>
      </c>
    </row>
    <row r="41" spans="2:9" s="26" customFormat="1" x14ac:dyDescent="0.25">
      <c r="B41" s="159">
        <v>34</v>
      </c>
      <c r="C41" s="36">
        <v>1.8153395359164715</v>
      </c>
      <c r="D41" s="32">
        <v>0.44964309559999999</v>
      </c>
      <c r="E41" s="61">
        <f t="shared" si="4"/>
        <v>2.1898648521221986</v>
      </c>
      <c r="F41" s="61">
        <v>71.64204721879571</v>
      </c>
      <c r="G41" s="31">
        <f t="shared" si="5"/>
        <v>3.05667542614231E-2</v>
      </c>
      <c r="H41" s="36">
        <f t="shared" si="2"/>
        <v>5.5539876064146086E-2</v>
      </c>
      <c r="I41" s="31">
        <f t="shared" si="3"/>
        <v>3.9789904235136158</v>
      </c>
    </row>
    <row r="42" spans="2:9" s="26" customFormat="1" x14ac:dyDescent="0.25">
      <c r="B42" s="159">
        <v>35</v>
      </c>
      <c r="C42" s="36">
        <v>1.8202838032880166</v>
      </c>
      <c r="D42" s="32">
        <v>0.44993138125000004</v>
      </c>
      <c r="E42" s="61">
        <f t="shared" si="4"/>
        <v>2.1959221312370398</v>
      </c>
      <c r="F42" s="61">
        <v>72.021415857045355</v>
      </c>
      <c r="G42" s="31">
        <f t="shared" si="5"/>
        <v>3.048984951359059E-2</v>
      </c>
      <c r="H42" s="36">
        <f t="shared" si="2"/>
        <v>5.5429174605301175E-2</v>
      </c>
      <c r="I42" s="31">
        <f t="shared" si="3"/>
        <v>3.9920876348611736</v>
      </c>
    </row>
    <row r="43" spans="2:9" s="26" customFormat="1" x14ac:dyDescent="0.25">
      <c r="B43" s="159">
        <v>36</v>
      </c>
      <c r="C43" s="36">
        <v>1.8248867930763126</v>
      </c>
      <c r="D43" s="32">
        <v>0.45011185440000001</v>
      </c>
      <c r="E43" s="61">
        <f t="shared" si="4"/>
        <v>2.2019102124842918</v>
      </c>
      <c r="F43" s="61">
        <v>72.375471986669368</v>
      </c>
      <c r="G43" s="31">
        <f t="shared" si="5"/>
        <v>3.0423431475374078E-2</v>
      </c>
      <c r="H43" s="36">
        <f t="shared" si="2"/>
        <v>5.5326581812703252E-2</v>
      </c>
      <c r="I43" s="31">
        <f t="shared" si="3"/>
        <v>4.0042874721034751</v>
      </c>
    </row>
    <row r="44" spans="2:9" s="26" customFormat="1" x14ac:dyDescent="0.25">
      <c r="B44" s="159">
        <v>37</v>
      </c>
      <c r="C44" s="36">
        <v>1.829151752047012</v>
      </c>
      <c r="D44" s="32">
        <v>0.45019128395000002</v>
      </c>
      <c r="E44" s="61">
        <f t="shared" si="4"/>
        <v>2.2078102896746681</v>
      </c>
      <c r="F44" s="61">
        <v>72.70427876255566</v>
      </c>
      <c r="G44" s="31">
        <f t="shared" si="5"/>
        <v>3.0366992524403391E-2</v>
      </c>
      <c r="H44" s="36">
        <f t="shared" si="2"/>
        <v>5.5231922735909836E-2</v>
      </c>
      <c r="I44" s="31">
        <f t="shared" si="3"/>
        <v>4.0155971071835248</v>
      </c>
    </row>
    <row r="45" spans="2:9" s="26" customFormat="1" x14ac:dyDescent="0.25">
      <c r="B45" s="159">
        <v>38</v>
      </c>
      <c r="C45" s="36">
        <v>1.8330817205514862</v>
      </c>
      <c r="D45" s="32">
        <v>0.45017643880000002</v>
      </c>
      <c r="E45" s="61">
        <f t="shared" si="4"/>
        <v>2.2136024631735154</v>
      </c>
      <c r="F45" s="61">
        <v>73.0078993395921</v>
      </c>
      <c r="G45" s="31">
        <f t="shared" si="5"/>
        <v>3.0320040477771714E-2</v>
      </c>
      <c r="H45" s="36">
        <f t="shared" si="2"/>
        <v>5.514503673068806E-2</v>
      </c>
      <c r="I45" s="31">
        <f t="shared" si="3"/>
        <v>4.0260232907121827</v>
      </c>
    </row>
    <row r="46" spans="2:9" s="26" customFormat="1" x14ac:dyDescent="0.25">
      <c r="B46" s="159">
        <v>39</v>
      </c>
      <c r="C46" s="36">
        <v>1.836679540163896</v>
      </c>
      <c r="D46" s="32">
        <v>0.45007408785000003</v>
      </c>
      <c r="E46" s="61">
        <f t="shared" si="4"/>
        <v>2.2192658148390199</v>
      </c>
      <c r="F46" s="61">
        <v>73.286396872666501</v>
      </c>
      <c r="G46" s="31">
        <f t="shared" si="5"/>
        <v>3.0282097490683644E-2</v>
      </c>
      <c r="H46" s="36">
        <f t="shared" si="2"/>
        <v>5.5065776719435217E-2</v>
      </c>
      <c r="I46" s="31">
        <f t="shared" si="3"/>
        <v>4.0355723667621692</v>
      </c>
    </row>
    <row r="47" spans="2:9" s="26" customFormat="1" x14ac:dyDescent="0.25">
      <c r="B47" s="159">
        <v>40</v>
      </c>
      <c r="C47" s="36">
        <v>1.8399478606513409</v>
      </c>
      <c r="D47" s="32">
        <v>0.44989099999999999</v>
      </c>
      <c r="E47" s="61">
        <f t="shared" si="4"/>
        <v>2.2247784808008682</v>
      </c>
      <c r="F47" s="61">
        <v>73.539834516666772</v>
      </c>
      <c r="G47" s="31">
        <f t="shared" si="5"/>
        <v>3.0252699036148269E-2</v>
      </c>
      <c r="H47" s="36">
        <f t="shared" si="2"/>
        <v>5.4994008525852643E-2</v>
      </c>
      <c r="I47" s="31">
        <f t="shared" si="3"/>
        <v>4.0442502863993646</v>
      </c>
    </row>
    <row r="48" spans="2:9" s="26" customFormat="1" x14ac:dyDescent="0.25">
      <c r="B48" s="159">
        <v>41</v>
      </c>
      <c r="C48" s="36">
        <v>1.8428891463226258</v>
      </c>
      <c r="D48" s="32">
        <v>0.44963394415000002</v>
      </c>
      <c r="E48" s="61">
        <f t="shared" si="4"/>
        <v>2.2301177222460011</v>
      </c>
      <c r="F48" s="61">
        <v>73.76827542648077</v>
      </c>
      <c r="G48" s="31">
        <f t="shared" si="5"/>
        <v>3.023139295791983E-2</v>
      </c>
      <c r="H48" s="36">
        <f t="shared" si="2"/>
        <v>5.4929610277708103E-2</v>
      </c>
      <c r="I48" s="31">
        <f t="shared" si="3"/>
        <v>4.0520626200352199</v>
      </c>
    </row>
    <row r="49" spans="2:9" s="26" customFormat="1" x14ac:dyDescent="0.25">
      <c r="B49" s="159">
        <v>42</v>
      </c>
      <c r="C49" s="36">
        <v>1.8455056817962137</v>
      </c>
      <c r="D49" s="32">
        <v>0.44930968920000003</v>
      </c>
      <c r="E49" s="61">
        <f t="shared" si="4"/>
        <v>2.2352599943653439</v>
      </c>
      <c r="F49" s="61">
        <v>73.971782756996333</v>
      </c>
      <c r="G49" s="31">
        <f t="shared" si="5"/>
        <v>3.0217738589704741E-2</v>
      </c>
      <c r="H49" s="36">
        <f t="shared" si="2"/>
        <v>5.4872471872270213E-2</v>
      </c>
      <c r="I49" s="31">
        <f t="shared" si="3"/>
        <v>4.0590145686749644</v>
      </c>
    </row>
    <row r="50" spans="2:9" s="26" customFormat="1" x14ac:dyDescent="0.25">
      <c r="B50" s="159">
        <v>43</v>
      </c>
      <c r="C50" s="36">
        <v>1.8477995772234119</v>
      </c>
      <c r="D50" s="32">
        <v>0.44892500404999996</v>
      </c>
      <c r="E50" s="61">
        <f t="shared" si="4"/>
        <v>2.2401810136041247</v>
      </c>
      <c r="F50" s="61">
        <v>74.15041966310136</v>
      </c>
      <c r="G50" s="31">
        <f t="shared" si="5"/>
        <v>3.0211305934373298E-2</v>
      </c>
      <c r="H50" s="36">
        <f t="shared" si="2"/>
        <v>5.482249449966773E-2</v>
      </c>
      <c r="I50" s="31">
        <f t="shared" si="3"/>
        <v>4.0651109741284284</v>
      </c>
    </row>
    <row r="51" spans="2:9" s="26" customFormat="1" x14ac:dyDescent="0.25">
      <c r="B51" s="159">
        <v>44</v>
      </c>
      <c r="C51" s="36">
        <v>1.8497727729988007</v>
      </c>
      <c r="D51" s="32">
        <v>0.44848665759999995</v>
      </c>
      <c r="E51" s="61">
        <f t="shared" si="4"/>
        <v>2.2448558233480305</v>
      </c>
      <c r="F51" s="61">
        <v>74.304249299683661</v>
      </c>
      <c r="G51" s="31">
        <f t="shared" si="5"/>
        <v>3.0211674897543006E-2</v>
      </c>
      <c r="H51" s="36">
        <f t="shared" si="2"/>
        <v>5.4779590220015328E-2</v>
      </c>
      <c r="I51" s="31">
        <f t="shared" si="3"/>
        <v>4.0703563282425321</v>
      </c>
    </row>
    <row r="52" spans="2:9" s="26" customFormat="1" x14ac:dyDescent="0.25">
      <c r="B52" s="159">
        <v>45</v>
      </c>
      <c r="C52" s="36">
        <v>1.8514270439862035</v>
      </c>
      <c r="D52" s="32">
        <v>0.44800141874999999</v>
      </c>
      <c r="E52" s="61">
        <f t="shared" si="4"/>
        <v>2.2492588581684725</v>
      </c>
      <c r="F52" s="61">
        <v>74.433334821631163</v>
      </c>
      <c r="G52" s="31">
        <f t="shared" si="5"/>
        <v>3.0218434570458242E-2</v>
      </c>
      <c r="H52" s="36">
        <f t="shared" si="2"/>
        <v>5.4743681590682061E-2</v>
      </c>
      <c r="I52" s="31">
        <f t="shared" si="3"/>
        <v>4.0747547812080036</v>
      </c>
    </row>
    <row r="53" spans="2:9" s="26" customFormat="1" x14ac:dyDescent="0.25">
      <c r="B53" s="159">
        <v>46</v>
      </c>
      <c r="C53" s="36">
        <v>1.8527640032851145</v>
      </c>
      <c r="D53" s="32">
        <v>0.44747605639999999</v>
      </c>
      <c r="E53" s="61">
        <f t="shared" si="4"/>
        <v>2.2533640067420535</v>
      </c>
      <c r="F53" s="61">
        <v>74.537739383831678</v>
      </c>
      <c r="G53" s="31">
        <f t="shared" si="5"/>
        <v>3.0231182557581577E-2</v>
      </c>
      <c r="H53" s="36">
        <f t="shared" si="2"/>
        <v>5.4714701340558475E-2</v>
      </c>
      <c r="I53" s="31">
        <f t="shared" si="3"/>
        <v>4.0783101489867333</v>
      </c>
    </row>
    <row r="54" spans="2:9" s="26" customFormat="1" x14ac:dyDescent="0.25">
      <c r="B54" s="159">
        <v>47</v>
      </c>
      <c r="C54" s="36">
        <v>1.8537851055594012</v>
      </c>
      <c r="D54" s="32">
        <v>0.44691733945000001</v>
      </c>
      <c r="E54" s="61">
        <f t="shared" si="4"/>
        <v>2.2571446735519118</v>
      </c>
      <c r="F54" s="61">
        <v>74.617526141173087</v>
      </c>
      <c r="G54" s="31">
        <f t="shared" si="5"/>
        <v>3.0249524344742991E-2</v>
      </c>
      <c r="H54" s="36">
        <f t="shared" si="2"/>
        <v>5.4692592088607633E-2</v>
      </c>
      <c r="I54" s="31">
        <f t="shared" si="3"/>
        <v>4.0810259199001964</v>
      </c>
    </row>
    <row r="55" spans="2:9" s="26" customFormat="1" x14ac:dyDescent="0.25">
      <c r="B55" s="159">
        <v>48</v>
      </c>
      <c r="C55" s="36">
        <v>1.8544916499472395</v>
      </c>
      <c r="D55" s="32">
        <v>0.4463320368</v>
      </c>
      <c r="E55" s="61">
        <f t="shared" si="4"/>
        <v>2.2605738394722827</v>
      </c>
      <c r="F55" s="61">
        <v>74.672758248543275</v>
      </c>
      <c r="G55" s="31">
        <f t="shared" si="5"/>
        <v>3.0273072704079231E-2</v>
      </c>
      <c r="H55" s="36">
        <f t="shared" si="2"/>
        <v>5.4677306104387639E-2</v>
      </c>
      <c r="I55" s="31">
        <f t="shared" si="3"/>
        <v>4.0829052604145373</v>
      </c>
    </row>
    <row r="56" spans="2:9" s="26" customFormat="1" x14ac:dyDescent="0.25">
      <c r="B56" s="159">
        <v>49</v>
      </c>
      <c r="C56" s="36">
        <v>1.8548847825685495</v>
      </c>
      <c r="D56" s="32">
        <v>0.44572691734999997</v>
      </c>
      <c r="E56" s="61">
        <f t="shared" si="4"/>
        <v>2.263624121331635</v>
      </c>
      <c r="F56" s="61">
        <v>74.703498860830067</v>
      </c>
      <c r="G56" s="31">
        <f t="shared" si="5"/>
        <v>3.0301447132331585E-2</v>
      </c>
      <c r="H56" s="36">
        <f t="shared" si="2"/>
        <v>5.4668805108592414E-2</v>
      </c>
      <c r="I56" s="31">
        <f t="shared" si="3"/>
        <v>4.0839510201526741</v>
      </c>
    </row>
    <row r="57" spans="2:9" s="26" customFormat="1" x14ac:dyDescent="0.25">
      <c r="B57" s="159">
        <v>50</v>
      </c>
      <c r="C57" s="36">
        <v>1.854965498643766</v>
      </c>
      <c r="D57" s="32">
        <v>0.44510874999999994</v>
      </c>
      <c r="E57" s="61">
        <f t="shared" si="4"/>
        <v>2.266267830544666</v>
      </c>
      <c r="F57" s="61">
        <v>74.709811132921374</v>
      </c>
      <c r="G57" s="31">
        <f t="shared" si="5"/>
        <v>3.0334273319371569E-2</v>
      </c>
      <c r="H57" s="36">
        <f t="shared" si="2"/>
        <v>5.4667060111997741E-2</v>
      </c>
      <c r="I57" s="31">
        <f t="shared" si="3"/>
        <v>4.0841657361594104</v>
      </c>
    </row>
    <row r="58" spans="2:9" s="26" customFormat="1" x14ac:dyDescent="0.25">
      <c r="B58" s="159">
        <v>51</v>
      </c>
      <c r="C58" s="36">
        <v>1.8547346442353214</v>
      </c>
      <c r="D58" s="32">
        <v>0.44448430365000002</v>
      </c>
      <c r="E58" s="61">
        <f t="shared" si="4"/>
        <v>2.2684770308987687</v>
      </c>
      <c r="F58" s="61">
        <v>74.69175821970498</v>
      </c>
      <c r="G58" s="31">
        <f t="shared" si="5"/>
        <v>3.0371182644088637E-2</v>
      </c>
      <c r="H58" s="36">
        <f t="shared" si="2"/>
        <v>5.4672051291514576E-2</v>
      </c>
      <c r="I58" s="31">
        <f t="shared" si="3"/>
        <v>4.0835516364411157</v>
      </c>
    </row>
    <row r="59" spans="2:9" s="26" customFormat="1" x14ac:dyDescent="0.25">
      <c r="B59" s="159">
        <v>52</v>
      </c>
      <c r="C59" s="36">
        <v>1.854192917621122</v>
      </c>
      <c r="D59" s="32">
        <v>0.4438603472</v>
      </c>
      <c r="E59" s="61">
        <f t="shared" si="4"/>
        <v>2.2702235955765433</v>
      </c>
      <c r="F59" s="61">
        <v>74.649403276068824</v>
      </c>
      <c r="G59" s="31">
        <f t="shared" si="5"/>
        <v>3.0411811695008333E-2</v>
      </c>
      <c r="H59" s="36">
        <f t="shared" si="2"/>
        <v>5.4683767902349315E-2</v>
      </c>
      <c r="I59" s="31">
        <f t="shared" si="3"/>
        <v>4.0821106427974225</v>
      </c>
    </row>
    <row r="60" spans="2:9" s="26" customFormat="1" x14ac:dyDescent="0.25">
      <c r="B60" s="159">
        <v>53</v>
      </c>
      <c r="C60" s="36">
        <v>1.8533408703070131</v>
      </c>
      <c r="D60" s="32">
        <v>0.44324364954999995</v>
      </c>
      <c r="E60" s="61">
        <f t="shared" si="4"/>
        <v>2.2714792634923957</v>
      </c>
      <c r="F60" s="61">
        <v>74.582809456900748</v>
      </c>
      <c r="G60" s="31">
        <f t="shared" si="5"/>
        <v>3.0455801813218341E-2</v>
      </c>
      <c r="H60" s="36">
        <f t="shared" si="2"/>
        <v>5.4702208225559247E-2</v>
      </c>
      <c r="I60" s="31">
        <f t="shared" si="3"/>
        <v>4.0798443729585943</v>
      </c>
    </row>
    <row r="61" spans="2:9" s="26" customFormat="1" x14ac:dyDescent="0.25">
      <c r="B61" s="159">
        <v>54</v>
      </c>
      <c r="C61" s="36">
        <v>1.8521789076832842</v>
      </c>
      <c r="D61" s="32">
        <v>0.44264097959999998</v>
      </c>
      <c r="E61" s="61">
        <f t="shared" si="4"/>
        <v>2.2722156950180228</v>
      </c>
      <c r="F61" s="61">
        <v>74.492039917088604</v>
      </c>
      <c r="G61" s="31">
        <f t="shared" si="5"/>
        <v>3.0502798655360389E-2</v>
      </c>
      <c r="H61" s="36">
        <f t="shared" si="2"/>
        <v>5.4727379550562283E-2</v>
      </c>
      <c r="I61" s="31">
        <f t="shared" si="3"/>
        <v>4.0767541420381441</v>
      </c>
    </row>
    <row r="62" spans="2:9" s="26" customFormat="1" x14ac:dyDescent="0.25">
      <c r="B62" s="159">
        <v>55</v>
      </c>
      <c r="C62" s="36">
        <v>1.8507072893281238</v>
      </c>
      <c r="D62" s="32">
        <v>0.44205910625</v>
      </c>
      <c r="E62" s="61">
        <f t="shared" si="4"/>
        <v>2.2724045271689737</v>
      </c>
      <c r="F62" s="61">
        <v>74.377157811520263</v>
      </c>
      <c r="G62" s="31">
        <f t="shared" si="5"/>
        <v>3.0552451774609239E-2</v>
      </c>
      <c r="H62" s="36">
        <f t="shared" si="2"/>
        <v>5.475929819243374E-2</v>
      </c>
      <c r="I62" s="31">
        <f t="shared" si="3"/>
        <v>4.0728409633067404</v>
      </c>
    </row>
    <row r="63" spans="2:9" s="26" customFormat="1" x14ac:dyDescent="0.25">
      <c r="B63" s="159">
        <v>56</v>
      </c>
      <c r="C63" s="36">
        <v>1.8489261289590395</v>
      </c>
      <c r="D63" s="32">
        <v>0.44150479839999995</v>
      </c>
      <c r="E63" s="61">
        <f t="shared" si="4"/>
        <v>2.2720174283221723</v>
      </c>
      <c r="F63" s="61">
        <v>74.238226295083564</v>
      </c>
      <c r="G63" s="31">
        <f t="shared" si="5"/>
        <v>3.060441421770117E-2</v>
      </c>
      <c r="H63" s="36">
        <f t="shared" si="2"/>
        <v>5.4797989544089883E-2</v>
      </c>
      <c r="I63" s="31">
        <f t="shared" si="3"/>
        <v>4.0681055482897674</v>
      </c>
    </row>
    <row r="64" spans="2:9" s="26" customFormat="1" x14ac:dyDescent="0.25">
      <c r="B64" s="159">
        <v>57</v>
      </c>
      <c r="C64" s="36">
        <v>1.8468353940311877</v>
      </c>
      <c r="D64" s="32">
        <v>0.44098482495000008</v>
      </c>
      <c r="E64" s="61">
        <f t="shared" si="4"/>
        <v>2.2710261525322744</v>
      </c>
      <c r="F64" s="61">
        <v>74.075308522666418</v>
      </c>
      <c r="G64" s="31">
        <f t="shared" si="5"/>
        <v>3.0658342136197239E-2</v>
      </c>
      <c r="H64" s="36">
        <f t="shared" si="2"/>
        <v>5.4843488163724842E-2</v>
      </c>
      <c r="I64" s="31">
        <f t="shared" si="3"/>
        <v>4.0625483061871215</v>
      </c>
    </row>
    <row r="65" spans="2:9" s="26" customFormat="1" x14ac:dyDescent="0.25">
      <c r="B65" s="159">
        <v>58</v>
      </c>
      <c r="C65" s="36">
        <v>1.8444349049795887</v>
      </c>
      <c r="D65" s="32">
        <v>0.44050595479999999</v>
      </c>
      <c r="E65" s="61">
        <f t="shared" si="4"/>
        <v>2.2694025935132167</v>
      </c>
      <c r="F65" s="61">
        <v>73.888467649156638</v>
      </c>
      <c r="G65" s="31">
        <f t="shared" si="5"/>
        <v>3.0713894410274993E-2</v>
      </c>
      <c r="H65" s="36">
        <f t="shared" si="2"/>
        <v>5.4895837898142105E-2</v>
      </c>
      <c r="I65" s="31">
        <f t="shared" si="3"/>
        <v>4.0561693426102199</v>
      </c>
    </row>
    <row r="66" spans="2:9" s="26" customFormat="1" x14ac:dyDescent="0.25">
      <c r="B66" s="159">
        <v>59</v>
      </c>
      <c r="C66" s="36">
        <v>1.8417243341001681</v>
      </c>
      <c r="D66" s="32">
        <v>0.44007495685000003</v>
      </c>
      <c r="E66" s="61">
        <f t="shared" si="4"/>
        <v>2.2671188383500747</v>
      </c>
      <c r="F66" s="61">
        <v>73.67776682944212</v>
      </c>
      <c r="G66" s="31">
        <f t="shared" si="5"/>
        <v>3.0770732283434507E-2</v>
      </c>
      <c r="H66" s="36">
        <f t="shared" si="2"/>
        <v>5.4955092042902678E-2</v>
      </c>
      <c r="I66" s="31">
        <f t="shared" si="3"/>
        <v>4.048968457627514</v>
      </c>
    </row>
    <row r="67" spans="2:9" s="26" customFormat="1" x14ac:dyDescent="0.25">
      <c r="B67" s="159">
        <v>60</v>
      </c>
      <c r="C67" s="36">
        <v>1.8387032040624416</v>
      </c>
      <c r="D67" s="32">
        <v>0.43969860000000005</v>
      </c>
      <c r="E67" s="61">
        <f t="shared" si="4"/>
        <v>2.2641472210053948</v>
      </c>
      <c r="F67" s="61">
        <v>73.443269218410734</v>
      </c>
      <c r="G67" s="31">
        <f t="shared" si="5"/>
        <v>3.0828519006583371E-2</v>
      </c>
      <c r="H67" s="36">
        <f t="shared" si="2"/>
        <v>5.5021313540504047E-2</v>
      </c>
      <c r="I67" s="31">
        <f t="shared" si="3"/>
        <v>4.0409451431058265</v>
      </c>
    </row>
    <row r="68" spans="2:9" s="26" customFormat="1" x14ac:dyDescent="0.25"/>
    <row r="69" spans="2:9" s="26" customFormat="1" x14ac:dyDescent="0.25"/>
    <row r="70" spans="2:9" s="26" customFormat="1" x14ac:dyDescent="0.25"/>
    <row r="71" spans="2:9" s="26" customFormat="1" x14ac:dyDescent="0.25"/>
    <row r="72" spans="2:9" s="26" customFormat="1" x14ac:dyDescent="0.25"/>
    <row r="73" spans="2:9" s="26" customFormat="1" x14ac:dyDescent="0.25"/>
    <row r="74" spans="2:9" s="26" customFormat="1" x14ac:dyDescent="0.25"/>
    <row r="75" spans="2:9" s="26" customFormat="1" x14ac:dyDescent="0.25"/>
    <row r="76" spans="2:9" s="26" customFormat="1" x14ac:dyDescent="0.25"/>
    <row r="77" spans="2:9" s="26" customFormat="1" x14ac:dyDescent="0.25"/>
    <row r="78" spans="2:9" s="26" customFormat="1" x14ac:dyDescent="0.25"/>
    <row r="79" spans="2:9" s="26" customFormat="1" x14ac:dyDescent="0.25"/>
    <row r="80" spans="2:9" s="26" customFormat="1" x14ac:dyDescent="0.25"/>
    <row r="81" s="26" customFormat="1" x14ac:dyDescent="0.25"/>
    <row r="82" s="26" customFormat="1" x14ac:dyDescent="0.25"/>
    <row r="83" s="26" customFormat="1" x14ac:dyDescent="0.25"/>
    <row r="84" s="26" customFormat="1" x14ac:dyDescent="0.25"/>
    <row r="85" s="26" customFormat="1" x14ac:dyDescent="0.25"/>
    <row r="86" s="26" customFormat="1" x14ac:dyDescent="0.25"/>
    <row r="87" s="26" customFormat="1" x14ac:dyDescent="0.25"/>
    <row r="88" s="26" customFormat="1" x14ac:dyDescent="0.25"/>
    <row r="89" s="26" customFormat="1" x14ac:dyDescent="0.25"/>
    <row r="90" s="26" customFormat="1" x14ac:dyDescent="0.25"/>
    <row r="91" s="26" customFormat="1" x14ac:dyDescent="0.25"/>
    <row r="92" s="26" customFormat="1" x14ac:dyDescent="0.25"/>
    <row r="93" s="26" customFormat="1" x14ac:dyDescent="0.25"/>
    <row r="94" s="26" customFormat="1" x14ac:dyDescent="0.25"/>
    <row r="95" s="26" customFormat="1" x14ac:dyDescent="0.25"/>
    <row r="96" s="26" customFormat="1" x14ac:dyDescent="0.25"/>
    <row r="97" s="26" customFormat="1" x14ac:dyDescent="0.25"/>
    <row r="98" s="26" customFormat="1" x14ac:dyDescent="0.25"/>
    <row r="99" s="26" customFormat="1" x14ac:dyDescent="0.25"/>
    <row r="100" s="26" customFormat="1" x14ac:dyDescent="0.25"/>
  </sheetData>
  <mergeCells count="2">
    <mergeCell ref="B2:D2"/>
    <mergeCell ref="K25:M25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3:K135"/>
  <sheetViews>
    <sheetView zoomScale="70" zoomScaleNormal="70" workbookViewId="0">
      <selection activeCell="G10" sqref="G10:G70"/>
    </sheetView>
  </sheetViews>
  <sheetFormatPr defaultColWidth="9.140625" defaultRowHeight="15.75" x14ac:dyDescent="0.25"/>
  <cols>
    <col min="1" max="1" width="9.140625" style="3"/>
    <col min="2" max="2" width="20" style="2" bestFit="1" customWidth="1"/>
    <col min="3" max="3" width="16.140625" style="2" customWidth="1"/>
    <col min="4" max="4" width="21.140625" style="2" customWidth="1"/>
    <col min="5" max="5" width="16.140625" style="3" customWidth="1"/>
    <col min="6" max="6" width="19.7109375" style="2" customWidth="1"/>
    <col min="7" max="7" width="11.85546875" style="2" bestFit="1" customWidth="1"/>
    <col min="8" max="8" width="9.140625" style="3"/>
    <col min="9" max="10" width="13.140625" style="3" bestFit="1" customWidth="1"/>
    <col min="11" max="16384" width="9.140625" style="3"/>
  </cols>
  <sheetData>
    <row r="3" spans="2:11" ht="35.25" customHeight="1" x14ac:dyDescent="0.25">
      <c r="B3" s="249" t="s">
        <v>61</v>
      </c>
      <c r="C3" s="249"/>
      <c r="D3" s="249"/>
      <c r="E3" s="249"/>
      <c r="F3" s="249"/>
      <c r="G3" s="249"/>
    </row>
    <row r="4" spans="2:11" s="2" customFormat="1" ht="63" x14ac:dyDescent="0.25">
      <c r="B4" s="8" t="s">
        <v>44</v>
      </c>
      <c r="C4" s="8" t="s">
        <v>49</v>
      </c>
      <c r="D4" s="8" t="s">
        <v>45</v>
      </c>
      <c r="E4" s="15" t="s">
        <v>57</v>
      </c>
      <c r="F4" s="15" t="s">
        <v>56</v>
      </c>
      <c r="G4" s="15">
        <v>3.5</v>
      </c>
    </row>
    <row r="5" spans="2:11" s="2" customFormat="1" ht="63" x14ac:dyDescent="0.25">
      <c r="B5" s="8" t="s">
        <v>46</v>
      </c>
      <c r="C5" s="8" t="s">
        <v>48</v>
      </c>
      <c r="D5" s="8" t="s">
        <v>47</v>
      </c>
      <c r="E5" s="8" t="s">
        <v>58</v>
      </c>
      <c r="F5" s="8" t="s">
        <v>59</v>
      </c>
      <c r="G5" s="8">
        <v>0</v>
      </c>
    </row>
    <row r="6" spans="2:11" s="2" customFormat="1" ht="31.5" x14ac:dyDescent="0.25">
      <c r="B6" s="8" t="s">
        <v>51</v>
      </c>
      <c r="C6" s="8" t="s">
        <v>52</v>
      </c>
      <c r="D6" s="8" t="s">
        <v>50</v>
      </c>
      <c r="E6" s="8"/>
      <c r="F6" s="8"/>
      <c r="G6" s="8"/>
      <c r="I6" s="13"/>
    </row>
    <row r="7" spans="2:11" s="2" customFormat="1" ht="47.25" x14ac:dyDescent="0.25">
      <c r="B7" s="8" t="s">
        <v>113</v>
      </c>
      <c r="C7" s="8" t="s">
        <v>112</v>
      </c>
      <c r="D7" s="8" t="s">
        <v>111</v>
      </c>
      <c r="E7" s="8"/>
      <c r="F7" s="8"/>
      <c r="G7" s="8"/>
    </row>
    <row r="8" spans="2:11" s="2" customFormat="1" x14ac:dyDescent="0.25"/>
    <row r="9" spans="2:11" s="2" customFormat="1" ht="42" customHeight="1" x14ac:dyDescent="0.25">
      <c r="B9" s="196" t="s">
        <v>60</v>
      </c>
      <c r="C9" s="196" t="s">
        <v>11</v>
      </c>
      <c r="D9" s="196" t="s">
        <v>43</v>
      </c>
      <c r="E9" s="196" t="s">
        <v>53</v>
      </c>
      <c r="F9" s="196" t="s">
        <v>54</v>
      </c>
      <c r="G9" s="196" t="s">
        <v>55</v>
      </c>
    </row>
    <row r="10" spans="2:11" s="26" customFormat="1" ht="15.75" customHeight="1" x14ac:dyDescent="0.25">
      <c r="B10" s="104">
        <v>0.5</v>
      </c>
      <c r="C10" s="107">
        <v>0.36748268225543174</v>
      </c>
      <c r="D10" s="107">
        <v>0.35899999999999999</v>
      </c>
      <c r="E10" s="107">
        <f>3.5 * C10 * (1 + 0)</f>
        <v>1.2861893878940112</v>
      </c>
      <c r="F10" s="104">
        <f>E10 * 60</f>
        <v>77.171363273640665</v>
      </c>
      <c r="G10" s="88">
        <f>F10 * (1 - D10)</f>
        <v>49.466843858403671</v>
      </c>
    </row>
    <row r="11" spans="2:11" s="26" customFormat="1" ht="15.75" customHeight="1" x14ac:dyDescent="0.25">
      <c r="B11" s="104">
        <v>1</v>
      </c>
      <c r="C11" s="107">
        <v>0.45488969149254993</v>
      </c>
      <c r="D11" s="107">
        <v>0.35899999999999999</v>
      </c>
      <c r="E11" s="107">
        <f>3.5 * C11 * (1 + 0)</f>
        <v>1.5921139202239247</v>
      </c>
      <c r="F11" s="104">
        <f>E11 * 60</f>
        <v>95.52683521343549</v>
      </c>
      <c r="G11" s="88">
        <f>F11 * (1 - D11)</f>
        <v>61.232701371812148</v>
      </c>
      <c r="I11" s="244" t="s">
        <v>236</v>
      </c>
      <c r="J11" s="245"/>
      <c r="K11" s="246"/>
    </row>
    <row r="12" spans="2:11" s="26" customFormat="1" x14ac:dyDescent="0.25">
      <c r="B12" s="159">
        <v>2</v>
      </c>
      <c r="C12" s="32">
        <v>0.57453062042081449</v>
      </c>
      <c r="D12" s="32">
        <v>0.34298785720000002</v>
      </c>
      <c r="E12" s="32">
        <f t="shared" ref="E12:E70" si="0">3.5 * C12 * (1 + 0)</f>
        <v>2.0108571714728507</v>
      </c>
      <c r="F12" s="72">
        <f t="shared" ref="F12:F70" si="1">E12 * 60</f>
        <v>120.65143028837105</v>
      </c>
      <c r="G12" s="61">
        <f t="shared" ref="G12:G70" si="2">F12 * (1 - D12)</f>
        <v>79.269454745647479</v>
      </c>
      <c r="I12" s="127" t="s">
        <v>15</v>
      </c>
      <c r="J12" s="128" t="s">
        <v>237</v>
      </c>
      <c r="K12" s="127" t="s">
        <v>238</v>
      </c>
    </row>
    <row r="13" spans="2:11" s="26" customFormat="1" x14ac:dyDescent="0.25">
      <c r="B13" s="159">
        <v>3</v>
      </c>
      <c r="C13" s="32">
        <v>0.6572257425427771</v>
      </c>
      <c r="D13" s="32">
        <v>0.35030012205</v>
      </c>
      <c r="E13" s="32">
        <f t="shared" si="0"/>
        <v>2.3002900988997199</v>
      </c>
      <c r="F13" s="72">
        <f t="shared" si="1"/>
        <v>138.01740593398318</v>
      </c>
      <c r="G13" s="61">
        <f t="shared" si="2"/>
        <v>89.669891790284495</v>
      </c>
      <c r="I13" s="127" t="s">
        <v>239</v>
      </c>
      <c r="J13" s="127">
        <f>0.6*60</f>
        <v>36</v>
      </c>
      <c r="K13" s="127"/>
    </row>
    <row r="14" spans="2:11" s="26" customFormat="1" x14ac:dyDescent="0.25">
      <c r="B14" s="159">
        <v>4</v>
      </c>
      <c r="C14" s="32">
        <v>0.72810004813477081</v>
      </c>
      <c r="D14" s="32">
        <v>0.35728796960000003</v>
      </c>
      <c r="E14" s="32">
        <f t="shared" si="0"/>
        <v>2.548350168471698</v>
      </c>
      <c r="F14" s="72">
        <f t="shared" si="1"/>
        <v>152.90101010830188</v>
      </c>
      <c r="G14" s="61">
        <f t="shared" si="2"/>
        <v>98.271318656917629</v>
      </c>
      <c r="I14" s="127">
        <v>1</v>
      </c>
      <c r="J14" s="127">
        <f>1.2*60</f>
        <v>72</v>
      </c>
      <c r="K14" s="127">
        <v>95.53</v>
      </c>
    </row>
    <row r="15" spans="2:11" s="26" customFormat="1" x14ac:dyDescent="0.25">
      <c r="B15" s="104">
        <v>5</v>
      </c>
      <c r="C15" s="107">
        <v>0.79391924933230318</v>
      </c>
      <c r="D15" s="107">
        <v>0.36395816875000003</v>
      </c>
      <c r="E15" s="107">
        <f t="shared" si="0"/>
        <v>2.7787173726630612</v>
      </c>
      <c r="F15" s="104">
        <f t="shared" si="1"/>
        <v>166.72304235978368</v>
      </c>
      <c r="G15" s="88">
        <f t="shared" si="2"/>
        <v>106.04282917408814</v>
      </c>
      <c r="I15" s="127">
        <v>5</v>
      </c>
      <c r="J15" s="127">
        <f>3.4*60</f>
        <v>204</v>
      </c>
      <c r="K15" s="127">
        <v>166.72</v>
      </c>
    </row>
    <row r="16" spans="2:11" s="26" customFormat="1" x14ac:dyDescent="0.25">
      <c r="B16" s="159">
        <v>6</v>
      </c>
      <c r="C16" s="32">
        <v>0.85943090178124271</v>
      </c>
      <c r="D16" s="32">
        <v>0.37031748840000001</v>
      </c>
      <c r="E16" s="32">
        <f t="shared" si="0"/>
        <v>3.0080081562343493</v>
      </c>
      <c r="F16" s="72">
        <f t="shared" si="1"/>
        <v>180.48048937406097</v>
      </c>
      <c r="G16" s="61">
        <f t="shared" si="2"/>
        <v>113.64540784385582</v>
      </c>
      <c r="I16" s="127">
        <v>10</v>
      </c>
      <c r="J16" s="127">
        <f>5*60</f>
        <v>300</v>
      </c>
      <c r="K16" s="127">
        <v>251.98</v>
      </c>
    </row>
    <row r="17" spans="2:11" s="26" customFormat="1" x14ac:dyDescent="0.25">
      <c r="B17" s="159">
        <v>7</v>
      </c>
      <c r="C17" s="32">
        <v>0.9293519035452813</v>
      </c>
      <c r="D17" s="32">
        <v>0.37637269745000002</v>
      </c>
      <c r="E17" s="32">
        <f t="shared" si="0"/>
        <v>3.2527316624084843</v>
      </c>
      <c r="F17" s="72">
        <f t="shared" si="1"/>
        <v>195.16389974450905</v>
      </c>
      <c r="G17" s="61">
        <f t="shared" si="2"/>
        <v>121.70953635280681</v>
      </c>
      <c r="I17" s="127">
        <v>15</v>
      </c>
      <c r="J17" s="127">
        <f>6.1*60</f>
        <v>366</v>
      </c>
      <c r="K17" s="127">
        <v>340.8</v>
      </c>
    </row>
    <row r="18" spans="2:11" s="26" customFormat="1" x14ac:dyDescent="0.25">
      <c r="B18" s="159">
        <v>8</v>
      </c>
      <c r="C18" s="32">
        <v>1.0076015116435706</v>
      </c>
      <c r="D18" s="32">
        <v>0.38213056480000002</v>
      </c>
      <c r="E18" s="32">
        <f t="shared" si="0"/>
        <v>3.5266052907524972</v>
      </c>
      <c r="F18" s="72">
        <f t="shared" si="1"/>
        <v>211.59631744514982</v>
      </c>
      <c r="G18" s="61">
        <f t="shared" si="2"/>
        <v>130.73889715023464</v>
      </c>
      <c r="I18" s="127" t="s">
        <v>240</v>
      </c>
      <c r="J18" s="127">
        <f>5.9*60</f>
        <v>354</v>
      </c>
      <c r="K18" s="127">
        <v>368</v>
      </c>
    </row>
    <row r="19" spans="2:11" s="26" customFormat="1" x14ac:dyDescent="0.25">
      <c r="B19" s="159">
        <v>9</v>
      </c>
      <c r="C19" s="32">
        <v>1.0972045864183075</v>
      </c>
      <c r="D19" s="32">
        <v>0.38759785935000002</v>
      </c>
      <c r="E19" s="32">
        <f t="shared" si="0"/>
        <v>3.8402160524640765</v>
      </c>
      <c r="F19" s="72">
        <f t="shared" si="1"/>
        <v>230.41296314784458</v>
      </c>
      <c r="G19" s="61">
        <f t="shared" si="2"/>
        <v>141.10539186524957</v>
      </c>
    </row>
    <row r="20" spans="2:11" s="26" customFormat="1" x14ac:dyDescent="0.25">
      <c r="B20" s="104">
        <v>10</v>
      </c>
      <c r="C20" s="107">
        <v>1.1999235621706403</v>
      </c>
      <c r="D20" s="107">
        <v>0.39278135000000003</v>
      </c>
      <c r="E20" s="107">
        <f t="shared" si="0"/>
        <v>4.1997324675972409</v>
      </c>
      <c r="F20" s="104">
        <f t="shared" si="1"/>
        <v>251.98394805583445</v>
      </c>
      <c r="G20" s="88">
        <f t="shared" si="2"/>
        <v>153.00935276013391</v>
      </c>
    </row>
    <row r="21" spans="2:11" s="26" customFormat="1" x14ac:dyDescent="0.25">
      <c r="B21" s="159">
        <v>11</v>
      </c>
      <c r="C21" s="32">
        <v>1.3126591016380704</v>
      </c>
      <c r="D21" s="32">
        <v>0.39768780565</v>
      </c>
      <c r="E21" s="32">
        <f t="shared" si="0"/>
        <v>4.5943068557332465</v>
      </c>
      <c r="F21" s="72">
        <f t="shared" si="1"/>
        <v>275.65841134399477</v>
      </c>
      <c r="G21" s="61">
        <f t="shared" si="2"/>
        <v>166.03242262763644</v>
      </c>
    </row>
    <row r="22" spans="2:11" s="26" customFormat="1" x14ac:dyDescent="0.25">
      <c r="B22" s="159">
        <v>12</v>
      </c>
      <c r="C22" s="32">
        <v>1.4207481694198665</v>
      </c>
      <c r="D22" s="32">
        <v>0.40232399520000001</v>
      </c>
      <c r="E22" s="32">
        <f t="shared" si="0"/>
        <v>4.9726185929695328</v>
      </c>
      <c r="F22" s="72">
        <f t="shared" si="1"/>
        <v>298.35711557817194</v>
      </c>
      <c r="G22" s="61">
        <f t="shared" si="2"/>
        <v>178.32088884241367</v>
      </c>
    </row>
    <row r="23" spans="2:11" s="26" customFormat="1" x14ac:dyDescent="0.25">
      <c r="B23" s="159">
        <v>13</v>
      </c>
      <c r="C23" s="32">
        <v>1.508666182635569</v>
      </c>
      <c r="D23" s="32">
        <v>0.40669668754999999</v>
      </c>
      <c r="E23" s="32">
        <f t="shared" si="0"/>
        <v>5.2803316392244914</v>
      </c>
      <c r="F23" s="72">
        <f t="shared" si="1"/>
        <v>316.81989835346951</v>
      </c>
      <c r="G23" s="61">
        <f t="shared" si="2"/>
        <v>187.97029514318575</v>
      </c>
    </row>
    <row r="24" spans="2:11" s="26" customFormat="1" x14ac:dyDescent="0.25">
      <c r="B24" s="159">
        <v>14</v>
      </c>
      <c r="C24" s="32">
        <v>1.5745960905913443</v>
      </c>
      <c r="D24" s="32">
        <v>0.41081265160000002</v>
      </c>
      <c r="E24" s="32">
        <f t="shared" si="0"/>
        <v>5.5110863170697053</v>
      </c>
      <c r="F24" s="72">
        <f t="shared" si="1"/>
        <v>330.66517902418229</v>
      </c>
      <c r="G24" s="61">
        <f t="shared" si="2"/>
        <v>194.82374003746926</v>
      </c>
    </row>
    <row r="25" spans="2:11" s="26" customFormat="1" x14ac:dyDescent="0.25">
      <c r="B25" s="159">
        <v>15</v>
      </c>
      <c r="C25" s="32">
        <v>1.622878505732064</v>
      </c>
      <c r="D25" s="32">
        <v>0.41467865625</v>
      </c>
      <c r="E25" s="32">
        <f t="shared" si="0"/>
        <v>5.6800747700622241</v>
      </c>
      <c r="F25" s="72">
        <f t="shared" si="1"/>
        <v>340.80448620373346</v>
      </c>
      <c r="G25" s="61">
        <f t="shared" si="2"/>
        <v>199.4801398207976</v>
      </c>
    </row>
    <row r="26" spans="2:11" s="26" customFormat="1" x14ac:dyDescent="0.25">
      <c r="B26" s="159">
        <v>16</v>
      </c>
      <c r="C26" s="32">
        <v>1.6576234310245059</v>
      </c>
      <c r="D26" s="32">
        <v>0.41830147039999999</v>
      </c>
      <c r="E26" s="32">
        <f t="shared" si="0"/>
        <v>5.8016820085857708</v>
      </c>
      <c r="F26" s="72">
        <f t="shared" si="1"/>
        <v>348.10092051514624</v>
      </c>
      <c r="G26" s="61">
        <f t="shared" si="2"/>
        <v>202.48979361606706</v>
      </c>
    </row>
    <row r="27" spans="2:11" s="26" customFormat="1" x14ac:dyDescent="0.25">
      <c r="B27" s="159">
        <v>17</v>
      </c>
      <c r="C27" s="32">
        <v>1.6821945571748413</v>
      </c>
      <c r="D27" s="32">
        <v>0.42168786294999999</v>
      </c>
      <c r="E27" s="32">
        <f t="shared" si="0"/>
        <v>5.8876809501119443</v>
      </c>
      <c r="F27" s="72">
        <f t="shared" si="1"/>
        <v>353.26085700671666</v>
      </c>
      <c r="G27" s="61">
        <f t="shared" si="2"/>
        <v>204.29504115166876</v>
      </c>
    </row>
    <row r="28" spans="2:11" s="26" customFormat="1" x14ac:dyDescent="0.25">
      <c r="B28" s="159">
        <v>18</v>
      </c>
      <c r="C28" s="32">
        <v>1.6993651099713358</v>
      </c>
      <c r="D28" s="32">
        <v>0.42484460280000003</v>
      </c>
      <c r="E28" s="32">
        <f t="shared" si="0"/>
        <v>5.9477778848996756</v>
      </c>
      <c r="F28" s="72">
        <f t="shared" si="1"/>
        <v>356.86667309398052</v>
      </c>
      <c r="G28" s="61">
        <f t="shared" si="2"/>
        <v>205.2537931108109</v>
      </c>
    </row>
    <row r="29" spans="2:11" s="26" customFormat="1" x14ac:dyDescent="0.25">
      <c r="B29" s="159">
        <v>19</v>
      </c>
      <c r="C29" s="32">
        <v>1.7113198688105276</v>
      </c>
      <c r="D29" s="32">
        <v>0.42777845884999999</v>
      </c>
      <c r="E29" s="32">
        <f t="shared" si="0"/>
        <v>5.9896195408368467</v>
      </c>
      <c r="F29" s="72">
        <f t="shared" si="1"/>
        <v>359.37717245021082</v>
      </c>
      <c r="G29" s="61">
        <f t="shared" si="2"/>
        <v>205.64335947358896</v>
      </c>
    </row>
    <row r="30" spans="2:11" s="26" customFormat="1" x14ac:dyDescent="0.25">
      <c r="B30" s="159">
        <v>20</v>
      </c>
      <c r="C30" s="32">
        <v>1.7196845916164114</v>
      </c>
      <c r="D30" s="32">
        <v>0.4304962</v>
      </c>
      <c r="E30" s="32">
        <f t="shared" si="0"/>
        <v>6.0188960706574397</v>
      </c>
      <c r="F30" s="72">
        <f t="shared" si="1"/>
        <v>361.13376423944641</v>
      </c>
      <c r="G30" s="61">
        <f t="shared" si="2"/>
        <v>205.66705104266885</v>
      </c>
    </row>
    <row r="31" spans="2:11" s="26" customFormat="1" x14ac:dyDescent="0.25">
      <c r="B31" s="159">
        <v>21</v>
      </c>
      <c r="C31" s="32">
        <v>1.7256150326524335</v>
      </c>
      <c r="D31" s="32">
        <v>0.43300459515</v>
      </c>
      <c r="E31" s="32">
        <f t="shared" si="0"/>
        <v>6.0396526142835176</v>
      </c>
      <c r="F31" s="72">
        <f t="shared" si="1"/>
        <v>362.37915685701108</v>
      </c>
      <c r="G31" s="61">
        <f t="shared" si="2"/>
        <v>205.46731675134265</v>
      </c>
    </row>
    <row r="32" spans="2:11" s="26" customFormat="1" x14ac:dyDescent="0.25">
      <c r="B32" s="159">
        <v>22</v>
      </c>
      <c r="C32" s="32">
        <v>1.731071208698802</v>
      </c>
      <c r="D32" s="32">
        <v>0.43531041319999997</v>
      </c>
      <c r="E32" s="32">
        <f t="shared" si="0"/>
        <v>6.058749230445807</v>
      </c>
      <c r="F32" s="72">
        <f t="shared" si="1"/>
        <v>363.5249538267484</v>
      </c>
      <c r="G32" s="61">
        <f t="shared" si="2"/>
        <v>205.27875596791566</v>
      </c>
    </row>
    <row r="33" spans="2:7" s="26" customFormat="1" x14ac:dyDescent="0.25">
      <c r="B33" s="159">
        <v>23</v>
      </c>
      <c r="C33" s="32">
        <v>1.7372636054462667</v>
      </c>
      <c r="D33" s="32">
        <v>0.43742042305000001</v>
      </c>
      <c r="E33" s="32">
        <f t="shared" si="0"/>
        <v>6.0804226190619337</v>
      </c>
      <c r="F33" s="72">
        <f t="shared" si="1"/>
        <v>364.82535714371602</v>
      </c>
      <c r="G33" s="61">
        <f t="shared" si="2"/>
        <v>205.24329508254439</v>
      </c>
    </row>
    <row r="34" spans="2:7" s="26" customFormat="1" x14ac:dyDescent="0.25">
      <c r="B34" s="159">
        <v>24</v>
      </c>
      <c r="C34" s="32">
        <v>1.7462454098904858</v>
      </c>
      <c r="D34" s="32">
        <v>0.43934139360000002</v>
      </c>
      <c r="E34" s="32">
        <f t="shared" si="0"/>
        <v>6.1118589346167003</v>
      </c>
      <c r="F34" s="72">
        <f t="shared" si="1"/>
        <v>366.71153607700199</v>
      </c>
      <c r="G34" s="61">
        <f t="shared" si="2"/>
        <v>205.59997876773525</v>
      </c>
    </row>
    <row r="35" spans="2:7" s="26" customFormat="1" x14ac:dyDescent="0.25">
      <c r="B35" s="104">
        <v>25</v>
      </c>
      <c r="C35" s="109">
        <v>1.7548335398437895</v>
      </c>
      <c r="D35" s="109">
        <v>0.44108009375000001</v>
      </c>
      <c r="E35" s="109">
        <f t="shared" si="0"/>
        <v>6.1419173894532637</v>
      </c>
      <c r="F35" s="104">
        <f t="shared" si="1"/>
        <v>368.5150433671958</v>
      </c>
      <c r="G35" s="110">
        <f t="shared" si="2"/>
        <v>205.97039349050775</v>
      </c>
    </row>
    <row r="36" spans="2:7" s="26" customFormat="1" x14ac:dyDescent="0.25">
      <c r="B36" s="159">
        <v>26</v>
      </c>
      <c r="C36" s="32">
        <v>1.7630342860504022</v>
      </c>
      <c r="D36" s="32">
        <v>0.4426432924</v>
      </c>
      <c r="E36" s="32">
        <f t="shared" si="0"/>
        <v>6.1706200011764079</v>
      </c>
      <c r="F36" s="72">
        <f t="shared" si="1"/>
        <v>370.23720007058449</v>
      </c>
      <c r="G36" s="61">
        <f t="shared" si="2"/>
        <v>206.35418686238347</v>
      </c>
    </row>
    <row r="37" spans="2:7" s="26" customFormat="1" x14ac:dyDescent="0.25">
      <c r="B37" s="159">
        <v>27</v>
      </c>
      <c r="C37" s="32">
        <v>1.7708535756905106</v>
      </c>
      <c r="D37" s="32">
        <v>0.44403775844999999</v>
      </c>
      <c r="E37" s="32">
        <f t="shared" si="0"/>
        <v>6.1979875149167869</v>
      </c>
      <c r="F37" s="72">
        <f t="shared" si="1"/>
        <v>371.8792508950072</v>
      </c>
      <c r="G37" s="61">
        <f t="shared" si="2"/>
        <v>206.75082191352308</v>
      </c>
    </row>
    <row r="38" spans="2:7" s="26" customFormat="1" x14ac:dyDescent="0.25">
      <c r="B38" s="159">
        <v>28</v>
      </c>
      <c r="C38" s="32">
        <v>1.7782969989458648</v>
      </c>
      <c r="D38" s="32">
        <v>0.44527026079999998</v>
      </c>
      <c r="E38" s="32">
        <f t="shared" si="0"/>
        <v>6.2240394963105263</v>
      </c>
      <c r="F38" s="72">
        <f t="shared" si="1"/>
        <v>373.44236977863159</v>
      </c>
      <c r="G38" s="61">
        <f t="shared" si="2"/>
        <v>207.15958839353027</v>
      </c>
    </row>
    <row r="39" spans="2:7" s="26" customFormat="1" x14ac:dyDescent="0.25">
      <c r="B39" s="159">
        <v>29</v>
      </c>
      <c r="C39" s="32">
        <v>1.7853698292494875</v>
      </c>
      <c r="D39" s="32">
        <v>0.44634756835</v>
      </c>
      <c r="E39" s="32">
        <f t="shared" si="0"/>
        <v>6.248794402373206</v>
      </c>
      <c r="F39" s="72">
        <f t="shared" si="1"/>
        <v>374.92766414239236</v>
      </c>
      <c r="G39" s="61">
        <f t="shared" si="2"/>
        <v>207.57961294529005</v>
      </c>
    </row>
    <row r="40" spans="2:7" s="26" customFormat="1" x14ac:dyDescent="0.25">
      <c r="B40" s="159">
        <v>30</v>
      </c>
      <c r="C40" s="32">
        <v>1.7920770406669644</v>
      </c>
      <c r="D40" s="32">
        <v>0.44727644999999999</v>
      </c>
      <c r="E40" s="32">
        <f t="shared" si="0"/>
        <v>6.2722696423343756</v>
      </c>
      <c r="F40" s="72">
        <f t="shared" si="1"/>
        <v>376.33617854006252</v>
      </c>
      <c r="G40" s="61">
        <f t="shared" si="2"/>
        <v>208.00986859609719</v>
      </c>
    </row>
    <row r="41" spans="2:7" s="26" customFormat="1" x14ac:dyDescent="0.25">
      <c r="B41" s="159">
        <v>31</v>
      </c>
      <c r="C41" s="32">
        <v>1.7984233234828528</v>
      </c>
      <c r="D41" s="32">
        <v>0.44806367465000002</v>
      </c>
      <c r="E41" s="32">
        <f t="shared" si="0"/>
        <v>6.294481632189985</v>
      </c>
      <c r="F41" s="72">
        <f t="shared" si="1"/>
        <v>377.6688979313991</v>
      </c>
      <c r="G41" s="61">
        <f t="shared" si="2"/>
        <v>208.44918372324065</v>
      </c>
    </row>
    <row r="42" spans="2:7" s="26" customFormat="1" x14ac:dyDescent="0.25">
      <c r="B42" s="159">
        <v>32</v>
      </c>
      <c r="C42" s="32">
        <v>1.8044130983837079</v>
      </c>
      <c r="D42" s="32">
        <v>0.44871601119999999</v>
      </c>
      <c r="E42" s="32">
        <f t="shared" si="0"/>
        <v>6.3154458443429773</v>
      </c>
      <c r="F42" s="72">
        <f t="shared" si="1"/>
        <v>378.92675066057865</v>
      </c>
      <c r="G42" s="61">
        <f t="shared" si="2"/>
        <v>208.89625056718685</v>
      </c>
    </row>
    <row r="43" spans="2:7" s="26" customFormat="1" x14ac:dyDescent="0.25">
      <c r="B43" s="159">
        <v>33</v>
      </c>
      <c r="C43" s="32">
        <v>1.8100505294266482</v>
      </c>
      <c r="D43" s="32">
        <v>0.44924022855000001</v>
      </c>
      <c r="E43" s="32">
        <f t="shared" si="0"/>
        <v>6.3351768529932686</v>
      </c>
      <c r="F43" s="72">
        <f t="shared" si="1"/>
        <v>380.11061117959611</v>
      </c>
      <c r="G43" s="61">
        <f t="shared" si="2"/>
        <v>209.34963333899415</v>
      </c>
    </row>
    <row r="44" spans="2:7" s="26" customFormat="1" x14ac:dyDescent="0.25">
      <c r="B44" s="159">
        <v>34</v>
      </c>
      <c r="C44" s="32">
        <v>1.8153395359164715</v>
      </c>
      <c r="D44" s="32">
        <v>0.44964309559999999</v>
      </c>
      <c r="E44" s="32">
        <f t="shared" si="0"/>
        <v>6.3536883757076499</v>
      </c>
      <c r="F44" s="72">
        <f t="shared" si="1"/>
        <v>381.221302542459</v>
      </c>
      <c r="G44" s="61">
        <f t="shared" si="2"/>
        <v>209.8077759586036</v>
      </c>
    </row>
    <row r="45" spans="2:7" s="26" customFormat="1" x14ac:dyDescent="0.25">
      <c r="B45" s="159">
        <v>35</v>
      </c>
      <c r="C45" s="32">
        <v>1.8202838032880166</v>
      </c>
      <c r="D45" s="32">
        <v>0.44993138125000004</v>
      </c>
      <c r="E45" s="32">
        <f t="shared" si="0"/>
        <v>6.3709933115080579</v>
      </c>
      <c r="F45" s="72">
        <f t="shared" si="1"/>
        <v>382.25959869048347</v>
      </c>
      <c r="G45" s="61">
        <f t="shared" si="2"/>
        <v>210.26900945560351</v>
      </c>
    </row>
    <row r="46" spans="2:7" s="26" customFormat="1" x14ac:dyDescent="0.25">
      <c r="B46" s="159">
        <v>36</v>
      </c>
      <c r="C46" s="32">
        <v>1.8248867930763126</v>
      </c>
      <c r="D46" s="32">
        <v>0.45011185440000001</v>
      </c>
      <c r="E46" s="32">
        <f t="shared" si="0"/>
        <v>6.3871037757670939</v>
      </c>
      <c r="F46" s="72">
        <f t="shared" si="1"/>
        <v>383.22622654602566</v>
      </c>
      <c r="G46" s="61">
        <f t="shared" si="2"/>
        <v>210.73155906067953</v>
      </c>
    </row>
    <row r="47" spans="2:7" s="26" customFormat="1" x14ac:dyDescent="0.25">
      <c r="B47" s="159">
        <v>37</v>
      </c>
      <c r="C47" s="32">
        <v>1.829151752047012</v>
      </c>
      <c r="D47" s="32">
        <v>0.45019128395000002</v>
      </c>
      <c r="E47" s="32">
        <f t="shared" si="0"/>
        <v>6.4020311321645416</v>
      </c>
      <c r="F47" s="72">
        <f t="shared" si="1"/>
        <v>384.12186792987251</v>
      </c>
      <c r="G47" s="61">
        <f t="shared" si="2"/>
        <v>211.1935510132509</v>
      </c>
    </row>
    <row r="48" spans="2:7" s="26" customFormat="1" x14ac:dyDescent="0.25">
      <c r="B48" s="159">
        <v>38</v>
      </c>
      <c r="C48" s="32">
        <v>1.8330817205514862</v>
      </c>
      <c r="D48" s="32">
        <v>0.45017643880000002</v>
      </c>
      <c r="E48" s="32">
        <f t="shared" si="0"/>
        <v>6.4157860219302014</v>
      </c>
      <c r="F48" s="72">
        <f t="shared" si="1"/>
        <v>384.94716131581208</v>
      </c>
      <c r="G48" s="61">
        <f t="shared" si="2"/>
        <v>211.65301910849067</v>
      </c>
    </row>
    <row r="49" spans="2:7" s="26" customFormat="1" x14ac:dyDescent="0.25">
      <c r="B49" s="159">
        <v>39</v>
      </c>
      <c r="C49" s="32">
        <v>1.836679540163896</v>
      </c>
      <c r="D49" s="32">
        <v>0.45007408785000003</v>
      </c>
      <c r="E49" s="32">
        <f t="shared" si="0"/>
        <v>6.428378390573636</v>
      </c>
      <c r="F49" s="72">
        <f t="shared" si="1"/>
        <v>385.70270343441814</v>
      </c>
      <c r="G49" s="61">
        <f t="shared" si="2"/>
        <v>212.10791100489331</v>
      </c>
    </row>
    <row r="50" spans="2:7" s="26" customFormat="1" x14ac:dyDescent="0.25">
      <c r="B50" s="159">
        <v>40</v>
      </c>
      <c r="C50" s="32">
        <v>1.8399478606513409</v>
      </c>
      <c r="D50" s="32">
        <v>0.44989099999999999</v>
      </c>
      <c r="E50" s="32">
        <f t="shared" si="0"/>
        <v>6.439817512279693</v>
      </c>
      <c r="F50" s="72">
        <f t="shared" si="1"/>
        <v>386.3890507367816</v>
      </c>
      <c r="G50" s="61">
        <f t="shared" si="2"/>
        <v>212.55609431176018</v>
      </c>
    </row>
    <row r="51" spans="2:7" s="26" customFormat="1" x14ac:dyDescent="0.25">
      <c r="B51" s="159">
        <v>41</v>
      </c>
      <c r="C51" s="32">
        <v>1.8428891463226258</v>
      </c>
      <c r="D51" s="32">
        <v>0.44963394415000002</v>
      </c>
      <c r="E51" s="32">
        <f t="shared" si="0"/>
        <v>6.4501120121291899</v>
      </c>
      <c r="F51" s="72">
        <f t="shared" si="1"/>
        <v>387.00672072775137</v>
      </c>
      <c r="G51" s="61">
        <f t="shared" si="2"/>
        <v>212.99536247437496</v>
      </c>
    </row>
    <row r="52" spans="2:7" s="26" customFormat="1" x14ac:dyDescent="0.25">
      <c r="B52" s="159">
        <v>42</v>
      </c>
      <c r="C52" s="32">
        <v>1.8455056817962137</v>
      </c>
      <c r="D52" s="32">
        <v>0.44930968920000003</v>
      </c>
      <c r="E52" s="32">
        <f t="shared" si="0"/>
        <v>6.4592698862867479</v>
      </c>
      <c r="F52" s="72">
        <f t="shared" si="1"/>
        <v>387.55619317720488</v>
      </c>
      <c r="G52" s="61">
        <f t="shared" si="2"/>
        <v>213.42344047321978</v>
      </c>
    </row>
    <row r="53" spans="2:7" s="26" customFormat="1" x14ac:dyDescent="0.25">
      <c r="B53" s="159">
        <v>43</v>
      </c>
      <c r="C53" s="32">
        <v>1.8477995772234119</v>
      </c>
      <c r="D53" s="32">
        <v>0.44892500404999996</v>
      </c>
      <c r="E53" s="32">
        <f t="shared" si="0"/>
        <v>6.4672985202819415</v>
      </c>
      <c r="F53" s="72">
        <f t="shared" si="1"/>
        <v>388.03791121691648</v>
      </c>
      <c r="G53" s="61">
        <f t="shared" si="2"/>
        <v>213.83799035230874</v>
      </c>
    </row>
    <row r="54" spans="2:7" s="26" customFormat="1" x14ac:dyDescent="0.25">
      <c r="B54" s="159">
        <v>44</v>
      </c>
      <c r="C54" s="32">
        <v>1.8497727729988007</v>
      </c>
      <c r="D54" s="32">
        <v>0.44848665759999995</v>
      </c>
      <c r="E54" s="32">
        <f t="shared" si="0"/>
        <v>6.4742047054958025</v>
      </c>
      <c r="F54" s="72">
        <f t="shared" si="1"/>
        <v>388.45228232974813</v>
      </c>
      <c r="G54" s="61">
        <f t="shared" si="2"/>
        <v>214.23661659058786</v>
      </c>
    </row>
    <row r="55" spans="2:7" s="26" customFormat="1" x14ac:dyDescent="0.25">
      <c r="B55" s="159">
        <v>45</v>
      </c>
      <c r="C55" s="32">
        <v>1.8514270439862035</v>
      </c>
      <c r="D55" s="32">
        <v>0.44800141874999999</v>
      </c>
      <c r="E55" s="32">
        <f t="shared" si="0"/>
        <v>6.4799946539517119</v>
      </c>
      <c r="F55" s="72">
        <f t="shared" si="1"/>
        <v>388.79967923710274</v>
      </c>
      <c r="G55" s="61">
        <f t="shared" si="2"/>
        <v>214.61687132933579</v>
      </c>
    </row>
    <row r="56" spans="2:7" s="26" customFormat="1" x14ac:dyDescent="0.25">
      <c r="B56" s="159">
        <v>46</v>
      </c>
      <c r="C56" s="32">
        <v>1.8527640032851145</v>
      </c>
      <c r="D56" s="32">
        <v>0.44747605639999999</v>
      </c>
      <c r="E56" s="32">
        <f t="shared" si="0"/>
        <v>6.4846740114979005</v>
      </c>
      <c r="F56" s="72">
        <f t="shared" si="1"/>
        <v>389.08044068987402</v>
      </c>
      <c r="G56" s="61">
        <f t="shared" si="2"/>
        <v>214.9762594675951</v>
      </c>
    </row>
    <row r="57" spans="2:7" s="26" customFormat="1" x14ac:dyDescent="0.25">
      <c r="B57" s="159">
        <v>47</v>
      </c>
      <c r="C57" s="32">
        <v>1.8537851055594012</v>
      </c>
      <c r="D57" s="32">
        <v>0.44691733945000001</v>
      </c>
      <c r="E57" s="32">
        <f t="shared" si="0"/>
        <v>6.4882478694579042</v>
      </c>
      <c r="F57" s="72">
        <f t="shared" si="1"/>
        <v>389.29487216747424</v>
      </c>
      <c r="G57" s="61">
        <f t="shared" si="2"/>
        <v>215.3122436368588</v>
      </c>
    </row>
    <row r="58" spans="2:7" s="26" customFormat="1" x14ac:dyDescent="0.25">
      <c r="B58" s="159">
        <v>48</v>
      </c>
      <c r="C58" s="32">
        <v>1.8544916499472395</v>
      </c>
      <c r="D58" s="32">
        <v>0.4463320368</v>
      </c>
      <c r="E58" s="32">
        <f t="shared" si="0"/>
        <v>6.4907207748153386</v>
      </c>
      <c r="F58" s="72">
        <f t="shared" si="1"/>
        <v>389.44324648892029</v>
      </c>
      <c r="G58" s="61">
        <f t="shared" si="2"/>
        <v>215.62224906551606</v>
      </c>
    </row>
    <row r="59" spans="2:7" s="26" customFormat="1" x14ac:dyDescent="0.25">
      <c r="B59" s="159">
        <v>49</v>
      </c>
      <c r="C59" s="32">
        <v>1.8548847825685495</v>
      </c>
      <c r="D59" s="32">
        <v>0.44572691734999997</v>
      </c>
      <c r="E59" s="32">
        <f t="shared" si="0"/>
        <v>6.4920967389899236</v>
      </c>
      <c r="F59" s="72">
        <f t="shared" si="1"/>
        <v>389.52580433939539</v>
      </c>
      <c r="G59" s="61">
        <f t="shared" si="2"/>
        <v>215.90366834291743</v>
      </c>
    </row>
    <row r="60" spans="2:7" s="26" customFormat="1" x14ac:dyDescent="0.25">
      <c r="B60" s="159">
        <v>50</v>
      </c>
      <c r="C60" s="32">
        <v>1.854965498643766</v>
      </c>
      <c r="D60" s="32">
        <v>0.44510874999999994</v>
      </c>
      <c r="E60" s="32">
        <f t="shared" si="0"/>
        <v>6.492379245253181</v>
      </c>
      <c r="F60" s="72">
        <f t="shared" si="1"/>
        <v>389.54275471519088</v>
      </c>
      <c r="G60" s="61">
        <f t="shared" si="2"/>
        <v>216.15386609235568</v>
      </c>
    </row>
    <row r="61" spans="2:7" s="26" customFormat="1" x14ac:dyDescent="0.25">
      <c r="B61" s="159">
        <v>51</v>
      </c>
      <c r="C61" s="32">
        <v>1.8547346442353214</v>
      </c>
      <c r="D61" s="32">
        <v>0.44448430365000002</v>
      </c>
      <c r="E61" s="32">
        <f t="shared" si="0"/>
        <v>6.4915712548236248</v>
      </c>
      <c r="F61" s="72">
        <f t="shared" si="1"/>
        <v>389.49427528941749</v>
      </c>
      <c r="G61" s="61">
        <f t="shared" si="2"/>
        <v>216.37018356173934</v>
      </c>
    </row>
    <row r="62" spans="2:7" s="26" customFormat="1" x14ac:dyDescent="0.25">
      <c r="B62" s="159">
        <v>52</v>
      </c>
      <c r="C62" s="32">
        <v>1.854192917621122</v>
      </c>
      <c r="D62" s="32">
        <v>0.4438603472</v>
      </c>
      <c r="E62" s="32">
        <f t="shared" si="0"/>
        <v>6.4896752116739274</v>
      </c>
      <c r="F62" s="72">
        <f t="shared" si="1"/>
        <v>389.38051270043565</v>
      </c>
      <c r="G62" s="61">
        <f t="shared" si="2"/>
        <v>216.54994314030625</v>
      </c>
    </row>
    <row r="63" spans="2:7" s="26" customFormat="1" x14ac:dyDescent="0.25">
      <c r="B63" s="159">
        <v>53</v>
      </c>
      <c r="C63" s="32">
        <v>1.8533408703070131</v>
      </c>
      <c r="D63" s="32">
        <v>0.44324364954999995</v>
      </c>
      <c r="E63" s="32">
        <f t="shared" si="0"/>
        <v>6.4866930460745458</v>
      </c>
      <c r="F63" s="72">
        <f t="shared" si="1"/>
        <v>389.20158276447273</v>
      </c>
      <c r="G63" s="61">
        <f t="shared" si="2"/>
        <v>216.69045280931147</v>
      </c>
    </row>
    <row r="64" spans="2:7" s="26" customFormat="1" x14ac:dyDescent="0.25">
      <c r="B64" s="159">
        <v>54</v>
      </c>
      <c r="C64" s="32">
        <v>1.8521789076832842</v>
      </c>
      <c r="D64" s="32">
        <v>0.44264097959999998</v>
      </c>
      <c r="E64" s="32">
        <f t="shared" si="0"/>
        <v>6.482626176891495</v>
      </c>
      <c r="F64" s="72">
        <f t="shared" si="1"/>
        <v>388.95757061348968</v>
      </c>
      <c r="G64" s="61">
        <f t="shared" si="2"/>
        <v>216.78901053429846</v>
      </c>
    </row>
    <row r="65" spans="2:7" s="26" customFormat="1" x14ac:dyDescent="0.25">
      <c r="B65" s="159">
        <v>55</v>
      </c>
      <c r="C65" s="32">
        <v>1.8507072893281238</v>
      </c>
      <c r="D65" s="32">
        <v>0.44205910625</v>
      </c>
      <c r="E65" s="32">
        <f t="shared" si="0"/>
        <v>6.4774755126484331</v>
      </c>
      <c r="F65" s="72">
        <f t="shared" si="1"/>
        <v>388.64853075890596</v>
      </c>
      <c r="G65" s="61">
        <f t="shared" si="2"/>
        <v>216.84290860624836</v>
      </c>
    </row>
    <row r="66" spans="2:7" s="26" customFormat="1" x14ac:dyDescent="0.25">
      <c r="B66" s="159">
        <v>56</v>
      </c>
      <c r="C66" s="32">
        <v>1.8489261289590395</v>
      </c>
      <c r="D66" s="32">
        <v>0.44150479839999995</v>
      </c>
      <c r="E66" s="32">
        <f t="shared" si="0"/>
        <v>6.4712414513566383</v>
      </c>
      <c r="F66" s="72">
        <f t="shared" si="1"/>
        <v>388.27448708139832</v>
      </c>
      <c r="G66" s="61">
        <f t="shared" si="2"/>
        <v>216.84943793866213</v>
      </c>
    </row>
    <row r="67" spans="2:7" s="26" customFormat="1" x14ac:dyDescent="0.25">
      <c r="B67" s="159">
        <v>57</v>
      </c>
      <c r="C67" s="32">
        <v>1.8468353940311877</v>
      </c>
      <c r="D67" s="32">
        <v>0.44098482495000008</v>
      </c>
      <c r="E67" s="32">
        <f t="shared" si="0"/>
        <v>6.4639238791091564</v>
      </c>
      <c r="F67" s="72">
        <f t="shared" si="1"/>
        <v>387.83543274654937</v>
      </c>
      <c r="G67" s="61">
        <f t="shared" si="2"/>
        <v>216.80589232740476</v>
      </c>
    </row>
    <row r="68" spans="2:7" s="26" customFormat="1" x14ac:dyDescent="0.25">
      <c r="B68" s="159">
        <v>58</v>
      </c>
      <c r="C68" s="32">
        <v>1.8444349049795887</v>
      </c>
      <c r="D68" s="32">
        <v>0.44050595479999999</v>
      </c>
      <c r="E68" s="32">
        <f t="shared" si="0"/>
        <v>6.4555221674285601</v>
      </c>
      <c r="F68" s="72">
        <f t="shared" si="1"/>
        <v>387.33133004571363</v>
      </c>
      <c r="G68" s="61">
        <f t="shared" si="2"/>
        <v>216.70957267997261</v>
      </c>
    </row>
    <row r="69" spans="2:7" s="26" customFormat="1" x14ac:dyDescent="0.25">
      <c r="B69" s="159">
        <v>59</v>
      </c>
      <c r="C69" s="32">
        <v>1.8417243341001681</v>
      </c>
      <c r="D69" s="32">
        <v>0.44007495685000003</v>
      </c>
      <c r="E69" s="32">
        <f t="shared" si="0"/>
        <v>6.4460351693505888</v>
      </c>
      <c r="F69" s="72">
        <f t="shared" si="1"/>
        <v>386.76211016103531</v>
      </c>
      <c r="G69" s="61">
        <f t="shared" si="2"/>
        <v>216.55779122070277</v>
      </c>
    </row>
    <row r="70" spans="2:7" s="26" customFormat="1" x14ac:dyDescent="0.25">
      <c r="B70" s="159">
        <v>60</v>
      </c>
      <c r="C70" s="32">
        <v>1.8387032040624416</v>
      </c>
      <c r="D70" s="32">
        <v>0.43969860000000005</v>
      </c>
      <c r="E70" s="32">
        <f t="shared" si="0"/>
        <v>6.4354612142185452</v>
      </c>
      <c r="F70" s="72">
        <f t="shared" si="1"/>
        <v>386.1276728531127</v>
      </c>
      <c r="G70" s="61">
        <f t="shared" si="2"/>
        <v>216.34787567834101</v>
      </c>
    </row>
    <row r="71" spans="2:7" s="2" customFormat="1" x14ac:dyDescent="0.25"/>
    <row r="72" spans="2:7" s="2" customFormat="1" x14ac:dyDescent="0.25"/>
    <row r="73" spans="2:7" s="2" customFormat="1" x14ac:dyDescent="0.25"/>
    <row r="74" spans="2:7" s="2" customFormat="1" x14ac:dyDescent="0.25"/>
    <row r="75" spans="2:7" s="2" customFormat="1" x14ac:dyDescent="0.25"/>
    <row r="76" spans="2:7" s="2" customFormat="1" x14ac:dyDescent="0.25">
      <c r="C76" s="2">
        <v>1</v>
      </c>
      <c r="D76" s="13">
        <f>F10</f>
        <v>77.171363273640665</v>
      </c>
    </row>
    <row r="77" spans="2:7" s="2" customFormat="1" x14ac:dyDescent="0.25">
      <c r="C77" s="2">
        <v>2</v>
      </c>
      <c r="D77" s="13">
        <f t="shared" ref="D77:D135" si="3">F11</f>
        <v>95.52683521343549</v>
      </c>
    </row>
    <row r="78" spans="2:7" s="2" customFormat="1" x14ac:dyDescent="0.25">
      <c r="C78" s="2">
        <v>3</v>
      </c>
      <c r="D78" s="13">
        <f t="shared" si="3"/>
        <v>120.65143028837105</v>
      </c>
    </row>
    <row r="79" spans="2:7" s="2" customFormat="1" x14ac:dyDescent="0.25">
      <c r="C79" s="2">
        <v>4</v>
      </c>
      <c r="D79" s="13">
        <f t="shared" si="3"/>
        <v>138.01740593398318</v>
      </c>
    </row>
    <row r="80" spans="2:7" s="2" customFormat="1" x14ac:dyDescent="0.25">
      <c r="C80" s="2">
        <v>5</v>
      </c>
      <c r="D80" s="13">
        <f t="shared" si="3"/>
        <v>152.90101010830188</v>
      </c>
    </row>
    <row r="81" spans="3:4" s="2" customFormat="1" x14ac:dyDescent="0.25">
      <c r="C81" s="2">
        <v>6</v>
      </c>
      <c r="D81" s="13">
        <f t="shared" si="3"/>
        <v>166.72304235978368</v>
      </c>
    </row>
    <row r="82" spans="3:4" s="2" customFormat="1" x14ac:dyDescent="0.25">
      <c r="C82" s="2">
        <v>7</v>
      </c>
      <c r="D82" s="13">
        <f t="shared" si="3"/>
        <v>180.48048937406097</v>
      </c>
    </row>
    <row r="83" spans="3:4" s="2" customFormat="1" x14ac:dyDescent="0.25">
      <c r="C83" s="2">
        <v>8</v>
      </c>
      <c r="D83" s="13">
        <f t="shared" si="3"/>
        <v>195.16389974450905</v>
      </c>
    </row>
    <row r="84" spans="3:4" s="2" customFormat="1" x14ac:dyDescent="0.25">
      <c r="C84" s="2">
        <v>9</v>
      </c>
      <c r="D84" s="13">
        <f t="shared" si="3"/>
        <v>211.59631744514982</v>
      </c>
    </row>
    <row r="85" spans="3:4" s="2" customFormat="1" x14ac:dyDescent="0.25">
      <c r="C85" s="2">
        <v>10</v>
      </c>
      <c r="D85" s="13">
        <f t="shared" si="3"/>
        <v>230.41296314784458</v>
      </c>
    </row>
    <row r="86" spans="3:4" s="2" customFormat="1" x14ac:dyDescent="0.25">
      <c r="C86" s="2">
        <v>11</v>
      </c>
      <c r="D86" s="13">
        <f t="shared" si="3"/>
        <v>251.98394805583445</v>
      </c>
    </row>
    <row r="87" spans="3:4" s="2" customFormat="1" x14ac:dyDescent="0.25">
      <c r="C87" s="2">
        <v>12</v>
      </c>
      <c r="D87" s="13">
        <f t="shared" si="3"/>
        <v>275.65841134399477</v>
      </c>
    </row>
    <row r="88" spans="3:4" s="2" customFormat="1" x14ac:dyDescent="0.25">
      <c r="C88" s="2">
        <v>13</v>
      </c>
      <c r="D88" s="13">
        <f t="shared" si="3"/>
        <v>298.35711557817194</v>
      </c>
    </row>
    <row r="89" spans="3:4" s="2" customFormat="1" x14ac:dyDescent="0.25">
      <c r="C89" s="2">
        <v>14</v>
      </c>
      <c r="D89" s="13">
        <f t="shared" si="3"/>
        <v>316.81989835346951</v>
      </c>
    </row>
    <row r="90" spans="3:4" s="2" customFormat="1" x14ac:dyDescent="0.25">
      <c r="C90" s="2">
        <v>15</v>
      </c>
      <c r="D90" s="13">
        <f t="shared" si="3"/>
        <v>330.66517902418229</v>
      </c>
    </row>
    <row r="91" spans="3:4" s="2" customFormat="1" x14ac:dyDescent="0.25">
      <c r="C91" s="2">
        <v>16</v>
      </c>
      <c r="D91" s="13">
        <f t="shared" si="3"/>
        <v>340.80448620373346</v>
      </c>
    </row>
    <row r="92" spans="3:4" s="2" customFormat="1" x14ac:dyDescent="0.25">
      <c r="C92" s="2">
        <v>17</v>
      </c>
      <c r="D92" s="13">
        <f t="shared" si="3"/>
        <v>348.10092051514624</v>
      </c>
    </row>
    <row r="93" spans="3:4" s="2" customFormat="1" x14ac:dyDescent="0.25">
      <c r="C93" s="2">
        <v>18</v>
      </c>
      <c r="D93" s="13">
        <f t="shared" si="3"/>
        <v>353.26085700671666</v>
      </c>
    </row>
    <row r="94" spans="3:4" s="2" customFormat="1" x14ac:dyDescent="0.25">
      <c r="C94" s="2">
        <v>19</v>
      </c>
      <c r="D94" s="13">
        <f t="shared" si="3"/>
        <v>356.86667309398052</v>
      </c>
    </row>
    <row r="95" spans="3:4" s="2" customFormat="1" x14ac:dyDescent="0.25">
      <c r="C95" s="2">
        <v>20</v>
      </c>
      <c r="D95" s="13">
        <f t="shared" si="3"/>
        <v>359.37717245021082</v>
      </c>
    </row>
    <row r="96" spans="3:4" s="2" customFormat="1" x14ac:dyDescent="0.25">
      <c r="C96" s="2">
        <v>21</v>
      </c>
      <c r="D96" s="13">
        <f t="shared" si="3"/>
        <v>361.13376423944641</v>
      </c>
    </row>
    <row r="97" spans="3:4" s="2" customFormat="1" x14ac:dyDescent="0.25">
      <c r="C97" s="2">
        <v>22</v>
      </c>
      <c r="D97" s="13">
        <f t="shared" si="3"/>
        <v>362.37915685701108</v>
      </c>
    </row>
    <row r="98" spans="3:4" s="2" customFormat="1" x14ac:dyDescent="0.25">
      <c r="C98" s="2">
        <v>23</v>
      </c>
      <c r="D98" s="13">
        <f t="shared" si="3"/>
        <v>363.5249538267484</v>
      </c>
    </row>
    <row r="99" spans="3:4" s="2" customFormat="1" x14ac:dyDescent="0.25">
      <c r="C99" s="2">
        <v>24</v>
      </c>
      <c r="D99" s="13">
        <f t="shared" si="3"/>
        <v>364.82535714371602</v>
      </c>
    </row>
    <row r="100" spans="3:4" s="2" customFormat="1" x14ac:dyDescent="0.25">
      <c r="C100" s="2">
        <v>25</v>
      </c>
      <c r="D100" s="13">
        <f t="shared" si="3"/>
        <v>366.71153607700199</v>
      </c>
    </row>
    <row r="101" spans="3:4" s="2" customFormat="1" x14ac:dyDescent="0.25">
      <c r="C101" s="2">
        <v>26</v>
      </c>
      <c r="D101" s="13">
        <f t="shared" si="3"/>
        <v>368.5150433671958</v>
      </c>
    </row>
    <row r="102" spans="3:4" s="2" customFormat="1" x14ac:dyDescent="0.25">
      <c r="C102" s="2">
        <v>27</v>
      </c>
      <c r="D102" s="13">
        <f t="shared" si="3"/>
        <v>370.23720007058449</v>
      </c>
    </row>
    <row r="103" spans="3:4" s="2" customFormat="1" x14ac:dyDescent="0.25">
      <c r="C103" s="2">
        <v>28</v>
      </c>
      <c r="D103" s="13">
        <f t="shared" si="3"/>
        <v>371.8792508950072</v>
      </c>
    </row>
    <row r="104" spans="3:4" x14ac:dyDescent="0.25">
      <c r="C104" s="2">
        <v>29</v>
      </c>
      <c r="D104" s="13">
        <f t="shared" si="3"/>
        <v>373.44236977863159</v>
      </c>
    </row>
    <row r="105" spans="3:4" x14ac:dyDescent="0.25">
      <c r="C105" s="2">
        <v>30</v>
      </c>
      <c r="D105" s="13">
        <f t="shared" si="3"/>
        <v>374.92766414239236</v>
      </c>
    </row>
    <row r="106" spans="3:4" x14ac:dyDescent="0.25">
      <c r="C106" s="2">
        <v>31</v>
      </c>
      <c r="D106" s="13">
        <f t="shared" si="3"/>
        <v>376.33617854006252</v>
      </c>
    </row>
    <row r="107" spans="3:4" x14ac:dyDescent="0.25">
      <c r="C107" s="2">
        <v>32</v>
      </c>
      <c r="D107" s="13">
        <f t="shared" si="3"/>
        <v>377.6688979313991</v>
      </c>
    </row>
    <row r="108" spans="3:4" x14ac:dyDescent="0.25">
      <c r="C108" s="2">
        <v>33</v>
      </c>
      <c r="D108" s="13">
        <f t="shared" si="3"/>
        <v>378.92675066057865</v>
      </c>
    </row>
    <row r="109" spans="3:4" x14ac:dyDescent="0.25">
      <c r="C109" s="2">
        <v>34</v>
      </c>
      <c r="D109" s="13">
        <f t="shared" si="3"/>
        <v>380.11061117959611</v>
      </c>
    </row>
    <row r="110" spans="3:4" x14ac:dyDescent="0.25">
      <c r="C110" s="2">
        <v>35</v>
      </c>
      <c r="D110" s="13">
        <f t="shared" si="3"/>
        <v>381.221302542459</v>
      </c>
    </row>
    <row r="111" spans="3:4" x14ac:dyDescent="0.25">
      <c r="C111" s="2">
        <v>36</v>
      </c>
      <c r="D111" s="13">
        <f t="shared" si="3"/>
        <v>382.25959869048347</v>
      </c>
    </row>
    <row r="112" spans="3:4" x14ac:dyDescent="0.25">
      <c r="C112" s="2">
        <v>37</v>
      </c>
      <c r="D112" s="13">
        <f t="shared" si="3"/>
        <v>383.22622654602566</v>
      </c>
    </row>
    <row r="113" spans="3:4" x14ac:dyDescent="0.25">
      <c r="C113" s="2">
        <v>38</v>
      </c>
      <c r="D113" s="13">
        <f t="shared" si="3"/>
        <v>384.12186792987251</v>
      </c>
    </row>
    <row r="114" spans="3:4" x14ac:dyDescent="0.25">
      <c r="C114" s="2">
        <v>39</v>
      </c>
      <c r="D114" s="13">
        <f t="shared" si="3"/>
        <v>384.94716131581208</v>
      </c>
    </row>
    <row r="115" spans="3:4" x14ac:dyDescent="0.25">
      <c r="C115" s="2">
        <v>40</v>
      </c>
      <c r="D115" s="13">
        <f t="shared" si="3"/>
        <v>385.70270343441814</v>
      </c>
    </row>
    <row r="116" spans="3:4" x14ac:dyDescent="0.25">
      <c r="C116" s="2">
        <v>41</v>
      </c>
      <c r="D116" s="13">
        <f t="shared" si="3"/>
        <v>386.3890507367816</v>
      </c>
    </row>
    <row r="117" spans="3:4" x14ac:dyDescent="0.25">
      <c r="C117" s="2">
        <v>42</v>
      </c>
      <c r="D117" s="13">
        <f t="shared" si="3"/>
        <v>387.00672072775137</v>
      </c>
    </row>
    <row r="118" spans="3:4" x14ac:dyDescent="0.25">
      <c r="C118" s="2">
        <v>43</v>
      </c>
      <c r="D118" s="13">
        <f t="shared" si="3"/>
        <v>387.55619317720488</v>
      </c>
    </row>
    <row r="119" spans="3:4" x14ac:dyDescent="0.25">
      <c r="C119" s="2">
        <v>44</v>
      </c>
      <c r="D119" s="13">
        <f t="shared" si="3"/>
        <v>388.03791121691648</v>
      </c>
    </row>
    <row r="120" spans="3:4" x14ac:dyDescent="0.25">
      <c r="C120" s="2">
        <v>45</v>
      </c>
      <c r="D120" s="13">
        <f t="shared" si="3"/>
        <v>388.45228232974813</v>
      </c>
    </row>
    <row r="121" spans="3:4" x14ac:dyDescent="0.25">
      <c r="C121" s="2">
        <v>46</v>
      </c>
      <c r="D121" s="13">
        <f t="shared" si="3"/>
        <v>388.79967923710274</v>
      </c>
    </row>
    <row r="122" spans="3:4" x14ac:dyDescent="0.25">
      <c r="C122" s="2">
        <v>47</v>
      </c>
      <c r="D122" s="13">
        <f t="shared" si="3"/>
        <v>389.08044068987402</v>
      </c>
    </row>
    <row r="123" spans="3:4" x14ac:dyDescent="0.25">
      <c r="C123" s="2">
        <v>48</v>
      </c>
      <c r="D123" s="13">
        <f t="shared" si="3"/>
        <v>389.29487216747424</v>
      </c>
    </row>
    <row r="124" spans="3:4" x14ac:dyDescent="0.25">
      <c r="C124" s="2">
        <v>49</v>
      </c>
      <c r="D124" s="13">
        <f t="shared" si="3"/>
        <v>389.44324648892029</v>
      </c>
    </row>
    <row r="125" spans="3:4" x14ac:dyDescent="0.25">
      <c r="C125" s="2">
        <v>50</v>
      </c>
      <c r="D125" s="13">
        <f t="shared" si="3"/>
        <v>389.52580433939539</v>
      </c>
    </row>
    <row r="126" spans="3:4" x14ac:dyDescent="0.25">
      <c r="C126" s="2">
        <v>51</v>
      </c>
      <c r="D126" s="13">
        <f t="shared" si="3"/>
        <v>389.54275471519088</v>
      </c>
    </row>
    <row r="127" spans="3:4" x14ac:dyDescent="0.25">
      <c r="C127" s="2">
        <v>52</v>
      </c>
      <c r="D127" s="13">
        <f t="shared" si="3"/>
        <v>389.49427528941749</v>
      </c>
    </row>
    <row r="128" spans="3:4" x14ac:dyDescent="0.25">
      <c r="C128" s="2">
        <v>53</v>
      </c>
      <c r="D128" s="13">
        <f t="shared" si="3"/>
        <v>389.38051270043565</v>
      </c>
    </row>
    <row r="129" spans="3:4" x14ac:dyDescent="0.25">
      <c r="C129" s="2">
        <v>54</v>
      </c>
      <c r="D129" s="13">
        <f t="shared" si="3"/>
        <v>389.20158276447273</v>
      </c>
    </row>
    <row r="130" spans="3:4" x14ac:dyDescent="0.25">
      <c r="C130" s="2">
        <v>55</v>
      </c>
      <c r="D130" s="13">
        <f t="shared" si="3"/>
        <v>388.95757061348968</v>
      </c>
    </row>
    <row r="131" spans="3:4" x14ac:dyDescent="0.25">
      <c r="C131" s="2">
        <v>56</v>
      </c>
      <c r="D131" s="13">
        <f t="shared" si="3"/>
        <v>388.64853075890596</v>
      </c>
    </row>
    <row r="132" spans="3:4" x14ac:dyDescent="0.25">
      <c r="C132" s="2">
        <v>57</v>
      </c>
      <c r="D132" s="13">
        <f t="shared" si="3"/>
        <v>388.27448708139832</v>
      </c>
    </row>
    <row r="133" spans="3:4" x14ac:dyDescent="0.25">
      <c r="C133" s="2">
        <v>58</v>
      </c>
      <c r="D133" s="13">
        <f t="shared" si="3"/>
        <v>387.83543274654937</v>
      </c>
    </row>
    <row r="134" spans="3:4" x14ac:dyDescent="0.25">
      <c r="C134" s="2">
        <v>59</v>
      </c>
      <c r="D134" s="13">
        <f t="shared" si="3"/>
        <v>387.33133004571363</v>
      </c>
    </row>
    <row r="135" spans="3:4" x14ac:dyDescent="0.25">
      <c r="C135" s="2">
        <v>60</v>
      </c>
      <c r="D135" s="13">
        <f t="shared" si="3"/>
        <v>386.76211016103531</v>
      </c>
    </row>
  </sheetData>
  <mergeCells count="2">
    <mergeCell ref="B3:G3"/>
    <mergeCell ref="I11:K11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O73"/>
  <sheetViews>
    <sheetView zoomScale="80" zoomScaleNormal="80" workbookViewId="0">
      <selection activeCell="M10" sqref="M10"/>
    </sheetView>
  </sheetViews>
  <sheetFormatPr defaultColWidth="9.140625" defaultRowHeight="15.75" x14ac:dyDescent="0.25"/>
  <cols>
    <col min="1" max="1" width="14.7109375" style="25" customWidth="1"/>
    <col min="2" max="2" width="30.5703125" style="25" customWidth="1"/>
    <col min="3" max="5" width="9.140625" style="25"/>
    <col min="6" max="6" width="13.140625" style="25" bestFit="1" customWidth="1"/>
    <col min="7" max="7" width="9.140625" style="25"/>
    <col min="8" max="8" width="9" style="25" customWidth="1"/>
    <col min="9" max="9" width="13.140625" style="25" bestFit="1" customWidth="1"/>
    <col min="10" max="10" width="9.140625" style="25"/>
    <col min="11" max="11" width="11.85546875" style="25" bestFit="1" customWidth="1"/>
    <col min="12" max="16384" width="9.140625" style="25"/>
  </cols>
  <sheetData>
    <row r="2" spans="1:15" ht="15.75" customHeight="1" x14ac:dyDescent="0.25">
      <c r="A2" s="222" t="s">
        <v>243</v>
      </c>
      <c r="B2" s="222"/>
      <c r="C2" s="222"/>
      <c r="L2" s="250" t="s">
        <v>269</v>
      </c>
      <c r="M2" s="251"/>
      <c r="N2" s="251"/>
      <c r="O2" s="251"/>
    </row>
    <row r="3" spans="1:15" s="26" customFormat="1" x14ac:dyDescent="0.25">
      <c r="A3" s="131" t="s">
        <v>241</v>
      </c>
      <c r="B3" s="129" t="s">
        <v>242</v>
      </c>
      <c r="C3" s="129" t="s">
        <v>263</v>
      </c>
      <c r="D3" s="129" t="s">
        <v>264</v>
      </c>
      <c r="E3" s="129" t="s">
        <v>265</v>
      </c>
      <c r="F3" s="132" t="s">
        <v>266</v>
      </c>
      <c r="G3" s="129" t="s">
        <v>267</v>
      </c>
      <c r="H3" s="129" t="s">
        <v>268</v>
      </c>
      <c r="I3" s="131" t="s">
        <v>240</v>
      </c>
      <c r="L3" s="250"/>
      <c r="M3" s="251"/>
      <c r="N3" s="251"/>
      <c r="O3" s="251"/>
    </row>
    <row r="4" spans="1:15" s="26" customFormat="1" x14ac:dyDescent="0.25">
      <c r="A4" s="72" t="s">
        <v>66</v>
      </c>
      <c r="B4" s="130">
        <v>0.31818181818181812</v>
      </c>
      <c r="C4" s="130">
        <v>0.40737704918032785</v>
      </c>
      <c r="D4" s="130">
        <v>0.4006578947368421</v>
      </c>
      <c r="E4" s="130">
        <v>0.3794736842105263</v>
      </c>
      <c r="F4" s="130">
        <v>0.36650190114068443</v>
      </c>
      <c r="G4" s="130">
        <v>0.22727272727272729</v>
      </c>
      <c r="H4" s="130">
        <v>0.12924271844660196</v>
      </c>
      <c r="I4" s="130">
        <v>0.118804920913884</v>
      </c>
      <c r="L4" s="250"/>
      <c r="M4" s="251"/>
      <c r="N4" s="251"/>
      <c r="O4" s="251"/>
    </row>
    <row r="5" spans="1:15" s="26" customFormat="1" x14ac:dyDescent="0.25"/>
    <row r="6" spans="1:15" s="26" customFormat="1" x14ac:dyDescent="0.25"/>
    <row r="7" spans="1:15" s="26" customFormat="1" ht="24" customHeight="1" x14ac:dyDescent="0.25">
      <c r="A7" s="181" t="s">
        <v>67</v>
      </c>
      <c r="B7" s="181" t="s">
        <v>157</v>
      </c>
    </row>
    <row r="8" spans="1:15" s="26" customFormat="1" ht="42.75" customHeight="1" x14ac:dyDescent="0.25">
      <c r="A8" s="158" t="s">
        <v>66</v>
      </c>
      <c r="B8" s="158" t="s">
        <v>254</v>
      </c>
    </row>
    <row r="9" spans="1:15" s="26" customFormat="1" x14ac:dyDescent="0.25"/>
    <row r="10" spans="1:15" s="26" customFormat="1" ht="36.75" customHeight="1" x14ac:dyDescent="0.25">
      <c r="B10" s="208" t="s">
        <v>19</v>
      </c>
      <c r="C10" s="208" t="s">
        <v>66</v>
      </c>
      <c r="D10" s="208" t="s">
        <v>55</v>
      </c>
      <c r="E10" s="208" t="s">
        <v>80</v>
      </c>
    </row>
    <row r="11" spans="1:15" s="26" customFormat="1" ht="15.75" customHeight="1" x14ac:dyDescent="0.25">
      <c r="B11" s="31"/>
      <c r="C11" s="31"/>
      <c r="D11" s="31"/>
      <c r="E11" s="31"/>
    </row>
    <row r="12" spans="1:15" s="26" customFormat="1" ht="15.75" customHeight="1" x14ac:dyDescent="0.25">
      <c r="B12" s="107">
        <v>0.5</v>
      </c>
      <c r="C12" s="19">
        <f>(3.064/B12)*EXP(-0.5*(LN(B12/47.57)/1.94)^2)</f>
        <v>0.38908349058104885</v>
      </c>
      <c r="D12" s="19">
        <v>49.467040112990802</v>
      </c>
      <c r="E12" s="19">
        <f t="shared" ref="E12:E72" si="0">C12*D12</f>
        <v>19.246808635875222</v>
      </c>
    </row>
    <row r="13" spans="1:15" s="26" customFormat="1" x14ac:dyDescent="0.25">
      <c r="B13" s="111">
        <v>1</v>
      </c>
      <c r="C13" s="19">
        <f t="shared" ref="C13:C37" si="1">(3.064/B13)*EXP(-0.5*(LN(B13/47.57)/1.94)^2)</f>
        <v>0.42232813487255788</v>
      </c>
      <c r="D13" s="19">
        <v>61.232944313725149</v>
      </c>
      <c r="E13" s="19">
        <f t="shared" si="0"/>
        <v>25.86039516477074</v>
      </c>
    </row>
    <row r="14" spans="1:15" s="26" customFormat="1" x14ac:dyDescent="0.25">
      <c r="B14" s="64">
        <v>2</v>
      </c>
      <c r="C14" s="31">
        <f t="shared" si="1"/>
        <v>0.40347453874003048</v>
      </c>
      <c r="D14" s="31">
        <v>79.269769274918261</v>
      </c>
      <c r="E14" s="31">
        <f t="shared" si="0"/>
        <v>31.983333594226284</v>
      </c>
    </row>
    <row r="15" spans="1:15" s="26" customFormat="1" x14ac:dyDescent="0.25">
      <c r="B15" s="64">
        <v>3</v>
      </c>
      <c r="C15" s="31">
        <f t="shared" si="1"/>
        <v>0.37026539934174552</v>
      </c>
      <c r="D15" s="31">
        <v>89.670247635677129</v>
      </c>
      <c r="E15" s="31">
        <f t="shared" si="0"/>
        <v>33.201790049897205</v>
      </c>
    </row>
    <row r="16" spans="1:15" s="26" customFormat="1" x14ac:dyDescent="0.25">
      <c r="B16" s="64">
        <v>4</v>
      </c>
      <c r="C16" s="31">
        <f t="shared" si="1"/>
        <v>0.33926664289660124</v>
      </c>
      <c r="D16" s="31">
        <v>98.271318855589442</v>
      </c>
      <c r="E16" s="31">
        <f t="shared" si="0"/>
        <v>33.340180441157301</v>
      </c>
    </row>
    <row r="17" spans="2:5" s="26" customFormat="1" x14ac:dyDescent="0.25">
      <c r="B17" s="111">
        <v>5</v>
      </c>
      <c r="C17" s="19">
        <f t="shared" si="1"/>
        <v>0.31225623350017867</v>
      </c>
      <c r="D17" s="19">
        <v>106.04282953122835</v>
      </c>
      <c r="E17" s="19">
        <f t="shared" si="0"/>
        <v>33.112534539122883</v>
      </c>
    </row>
    <row r="18" spans="2:5" s="26" customFormat="1" ht="15.75" customHeight="1" x14ac:dyDescent="0.25">
      <c r="B18" s="64">
        <v>6</v>
      </c>
      <c r="C18" s="31">
        <f t="shared" si="1"/>
        <v>0.28893968690553667</v>
      </c>
      <c r="D18" s="31">
        <v>113.6454084449928</v>
      </c>
      <c r="E18" s="31">
        <f t="shared" si="0"/>
        <v>32.836668734348052</v>
      </c>
    </row>
    <row r="19" spans="2:5" s="26" customFormat="1" x14ac:dyDescent="0.25">
      <c r="B19" s="64">
        <v>7</v>
      </c>
      <c r="C19" s="31">
        <f t="shared" si="1"/>
        <v>0.2687313673988338</v>
      </c>
      <c r="D19" s="31">
        <v>121.7095372999007</v>
      </c>
      <c r="E19" s="31">
        <f t="shared" si="0"/>
        <v>32.707170384081685</v>
      </c>
    </row>
    <row r="20" spans="2:5" s="26" customFormat="1" x14ac:dyDescent="0.25">
      <c r="B20" s="64">
        <v>8</v>
      </c>
      <c r="C20" s="31">
        <f t="shared" si="1"/>
        <v>0.25108750273018487</v>
      </c>
      <c r="D20" s="31">
        <v>130.73889853853908</v>
      </c>
      <c r="E20" s="31">
        <f t="shared" si="0"/>
        <v>32.82690354373679</v>
      </c>
    </row>
    <row r="21" spans="2:5" s="26" customFormat="1" x14ac:dyDescent="0.25">
      <c r="B21" s="64">
        <v>9</v>
      </c>
      <c r="C21" s="31">
        <f t="shared" si="1"/>
        <v>0.23556043034208862</v>
      </c>
      <c r="D21" s="31">
        <v>141.10539374322971</v>
      </c>
      <c r="E21" s="31">
        <f t="shared" si="0"/>
        <v>33.238847273745051</v>
      </c>
    </row>
    <row r="22" spans="2:5" s="26" customFormat="1" x14ac:dyDescent="0.25">
      <c r="B22" s="111">
        <v>10</v>
      </c>
      <c r="C22" s="19">
        <f t="shared" si="1"/>
        <v>0.22179257737444322</v>
      </c>
      <c r="D22" s="19">
        <v>153.00935508733028</v>
      </c>
      <c r="E22" s="19">
        <f t="shared" si="0"/>
        <v>33.936339227220358</v>
      </c>
    </row>
    <row r="23" spans="2:5" s="26" customFormat="1" x14ac:dyDescent="0.25">
      <c r="B23" s="64">
        <v>11</v>
      </c>
      <c r="C23" s="31">
        <f t="shared" si="1"/>
        <v>0.20949956621195548</v>
      </c>
      <c r="D23" s="31">
        <v>166.0324252528554</v>
      </c>
      <c r="E23" s="31">
        <f t="shared" si="0"/>
        <v>34.783721067592133</v>
      </c>
    </row>
    <row r="24" spans="2:5" s="26" customFormat="1" x14ac:dyDescent="0.25">
      <c r="B24" s="64">
        <v>12</v>
      </c>
      <c r="C24" s="31">
        <f t="shared" si="1"/>
        <v>0.19845414495841604</v>
      </c>
      <c r="D24" s="31">
        <v>178.32089151867854</v>
      </c>
      <c r="E24" s="31">
        <f t="shared" si="0"/>
        <v>35.388520054561809</v>
      </c>
    </row>
    <row r="25" spans="2:5" s="26" customFormat="1" x14ac:dyDescent="0.25">
      <c r="B25" s="64">
        <v>13</v>
      </c>
      <c r="C25" s="31">
        <f t="shared" si="1"/>
        <v>0.18847322640060493</v>
      </c>
      <c r="D25" s="31">
        <v>187.97029761087566</v>
      </c>
      <c r="E25" s="31">
        <f t="shared" si="0"/>
        <v>35.427368458203659</v>
      </c>
    </row>
    <row r="26" spans="2:5" s="26" customFormat="1" x14ac:dyDescent="0.25">
      <c r="B26" s="64">
        <v>14</v>
      </c>
      <c r="C26" s="31">
        <f t="shared" si="1"/>
        <v>0.17940794001927543</v>
      </c>
      <c r="D26" s="31">
        <v>194.82374212617574</v>
      </c>
      <c r="E26" s="31">
        <f t="shared" si="0"/>
        <v>34.952926241703722</v>
      </c>
    </row>
    <row r="27" spans="2:5" s="26" customFormat="1" x14ac:dyDescent="0.25">
      <c r="B27" s="64">
        <v>15</v>
      </c>
      <c r="C27" s="31">
        <f t="shared" si="1"/>
        <v>0.17113610662297168</v>
      </c>
      <c r="D27" s="31">
        <v>199.48014147468479</v>
      </c>
      <c r="E27" s="31">
        <f t="shared" si="0"/>
        <v>34.138254760577134</v>
      </c>
    </row>
    <row r="28" spans="2:5" s="26" customFormat="1" x14ac:dyDescent="0.25">
      <c r="B28" s="64">
        <v>16</v>
      </c>
      <c r="C28" s="31">
        <f t="shared" si="1"/>
        <v>0.16355655013698442</v>
      </c>
      <c r="D28" s="31">
        <v>202.48979486199141</v>
      </c>
      <c r="E28" s="31">
        <f t="shared" si="0"/>
        <v>33.118532285572989</v>
      </c>
    </row>
    <row r="29" spans="2:5" s="26" customFormat="1" x14ac:dyDescent="0.25">
      <c r="B29" s="64">
        <v>17</v>
      </c>
      <c r="C29" s="31">
        <f t="shared" si="1"/>
        <v>0.1565847758043179</v>
      </c>
      <c r="D29" s="31">
        <v>204.29504205691799</v>
      </c>
      <c r="E29" s="31">
        <f t="shared" si="0"/>
        <v>31.989493358416201</v>
      </c>
    </row>
    <row r="30" spans="2:5" s="26" customFormat="1" x14ac:dyDescent="0.25">
      <c r="B30" s="64">
        <v>18</v>
      </c>
      <c r="C30" s="31">
        <f t="shared" si="1"/>
        <v>0.15014966088149906</v>
      </c>
      <c r="D30" s="31">
        <v>205.25379375185952</v>
      </c>
      <c r="E30" s="31">
        <f t="shared" si="0"/>
        <v>30.818787526482858</v>
      </c>
    </row>
    <row r="31" spans="2:5" s="26" customFormat="1" x14ac:dyDescent="0.25">
      <c r="B31" s="64">
        <v>19</v>
      </c>
      <c r="C31" s="31">
        <f t="shared" si="1"/>
        <v>0.14419089807752153</v>
      </c>
      <c r="D31" s="31">
        <v>205.64335991944739</v>
      </c>
      <c r="E31" s="31">
        <f t="shared" si="0"/>
        <v>29.651900750464115</v>
      </c>
    </row>
    <row r="32" spans="2:5" s="26" customFormat="1" x14ac:dyDescent="0.25">
      <c r="B32" s="64">
        <v>20</v>
      </c>
      <c r="C32" s="31">
        <f t="shared" si="1"/>
        <v>0.13865700235742046</v>
      </c>
      <c r="D32" s="31">
        <v>205.66705134889739</v>
      </c>
      <c r="E32" s="31">
        <f t="shared" si="0"/>
        <v>28.51717682372778</v>
      </c>
    </row>
    <row r="33" spans="2:5" s="26" customFormat="1" x14ac:dyDescent="0.25">
      <c r="B33" s="64">
        <v>21</v>
      </c>
      <c r="C33" s="31">
        <f t="shared" si="1"/>
        <v>0.13350374284126096</v>
      </c>
      <c r="D33" s="31">
        <v>205.46731695982297</v>
      </c>
      <c r="E33" s="31">
        <f t="shared" si="0"/>
        <v>27.430655845688062</v>
      </c>
    </row>
    <row r="34" spans="2:5" s="26" customFormat="1" x14ac:dyDescent="0.25">
      <c r="B34" s="64">
        <v>22</v>
      </c>
      <c r="C34" s="31">
        <f t="shared" si="1"/>
        <v>0.12869289829838287</v>
      </c>
      <c r="D34" s="31">
        <v>205.2787560917794</v>
      </c>
      <c r="E34" s="31">
        <f t="shared" si="0"/>
        <v>26.417918080537909</v>
      </c>
    </row>
    <row r="35" spans="2:5" s="26" customFormat="1" x14ac:dyDescent="0.25">
      <c r="B35" s="64">
        <v>23</v>
      </c>
      <c r="C35" s="31">
        <f t="shared" si="1"/>
        <v>0.12419126117723246</v>
      </c>
      <c r="D35" s="31">
        <v>203.763768244365</v>
      </c>
      <c r="E35" s="31">
        <f t="shared" si="0"/>
        <v>25.305679360492999</v>
      </c>
    </row>
    <row r="36" spans="2:5" s="26" customFormat="1" x14ac:dyDescent="0.25">
      <c r="B36" s="64">
        <v>24</v>
      </c>
      <c r="C36" s="31">
        <f t="shared" si="1"/>
        <v>0.11996983420261943</v>
      </c>
      <c r="D36" s="31">
        <v>204.11788072212718</v>
      </c>
      <c r="E36" s="31">
        <f t="shared" si="0"/>
        <v>24.487988308023649</v>
      </c>
    </row>
    <row r="37" spans="2:5" s="26" customFormat="1" x14ac:dyDescent="0.25">
      <c r="B37" s="112">
        <v>25</v>
      </c>
      <c r="C37" s="19">
        <f t="shared" si="1"/>
        <v>0.11600317744683623</v>
      </c>
      <c r="D37" s="19">
        <v>204.48562525524321</v>
      </c>
      <c r="E37" s="19">
        <f t="shared" si="0"/>
        <v>23.720982271811234</v>
      </c>
    </row>
    <row r="38" spans="2:5" s="26" customFormat="1" x14ac:dyDescent="0.25">
      <c r="B38" s="64">
        <v>26</v>
      </c>
      <c r="C38" s="31">
        <v>0.11600317744683623</v>
      </c>
      <c r="D38" s="31">
        <v>204.86665199547932</v>
      </c>
      <c r="E38" s="31">
        <f t="shared" si="0"/>
        <v>23.765182584370834</v>
      </c>
    </row>
    <row r="39" spans="2:5" s="26" customFormat="1" x14ac:dyDescent="0.25">
      <c r="B39" s="64">
        <v>27</v>
      </c>
      <c r="C39" s="31">
        <v>0.11600317744683623</v>
      </c>
      <c r="D39" s="31">
        <v>205.26042784382304</v>
      </c>
      <c r="E39" s="31">
        <f t="shared" si="0"/>
        <v>23.810861833980528</v>
      </c>
    </row>
    <row r="40" spans="2:5" s="26" customFormat="1" x14ac:dyDescent="0.25">
      <c r="B40" s="64">
        <v>28</v>
      </c>
      <c r="C40" s="31">
        <v>0.11600317744683623</v>
      </c>
      <c r="D40" s="31">
        <v>205.66624766982392</v>
      </c>
      <c r="E40" s="31">
        <f t="shared" si="0"/>
        <v>23.857938223267553</v>
      </c>
    </row>
    <row r="41" spans="2:5" s="26" customFormat="1" x14ac:dyDescent="0.25">
      <c r="B41" s="64">
        <v>29</v>
      </c>
      <c r="C41" s="31">
        <v>0.11600317744683623</v>
      </c>
      <c r="D41" s="31">
        <v>206.08324441209163</v>
      </c>
      <c r="E41" s="31">
        <f t="shared" si="0"/>
        <v>23.906311170355586</v>
      </c>
    </row>
    <row r="42" spans="2:5" s="26" customFormat="1" x14ac:dyDescent="0.25">
      <c r="B42" s="64">
        <v>30</v>
      </c>
      <c r="C42" s="31">
        <v>0.11600317744683623</v>
      </c>
      <c r="D42" s="31">
        <v>206.51039850100676</v>
      </c>
      <c r="E42" s="31">
        <f t="shared" si="0"/>
        <v>23.955862401929149</v>
      </c>
    </row>
    <row r="43" spans="2:5" s="26" customFormat="1" x14ac:dyDescent="0.25">
      <c r="B43" s="64">
        <v>31</v>
      </c>
      <c r="C43" s="31">
        <v>0.11600317744683623</v>
      </c>
      <c r="D43" s="31">
        <v>206.9465467596745</v>
      </c>
      <c r="E43" s="31">
        <f t="shared" si="0"/>
        <v>24.006456985772513</v>
      </c>
    </row>
    <row r="44" spans="2:5" s="26" customFormat="1" x14ac:dyDescent="0.25">
      <c r="B44" s="64">
        <v>32</v>
      </c>
      <c r="C44" s="31">
        <v>0.11600317744683623</v>
      </c>
      <c r="D44" s="31">
        <v>207.39039085574089</v>
      </c>
      <c r="E44" s="31">
        <f t="shared" si="0"/>
        <v>24.057944311207233</v>
      </c>
    </row>
    <row r="45" spans="2:5" s="26" customFormat="1" x14ac:dyDescent="0.25">
      <c r="B45" s="64">
        <v>33</v>
      </c>
      <c r="C45" s="31">
        <v>0.11600317744683623</v>
      </c>
      <c r="D45" s="31">
        <v>207.84050535036229</v>
      </c>
      <c r="E45" s="31">
        <f t="shared" si="0"/>
        <v>24.110159022798193</v>
      </c>
    </row>
    <row r="46" spans="2:5" s="26" customFormat="1" x14ac:dyDescent="0.25">
      <c r="B46" s="64">
        <v>34</v>
      </c>
      <c r="C46" s="31">
        <v>0.11600317744683623</v>
      </c>
      <c r="D46" s="31">
        <v>208.29534538071474</v>
      </c>
      <c r="E46" s="31">
        <f t="shared" si="0"/>
        <v>24.162921911549091</v>
      </c>
    </row>
    <row r="47" spans="2:5" s="26" customFormat="1" x14ac:dyDescent="0.25">
      <c r="B47" s="64">
        <v>35</v>
      </c>
      <c r="C47" s="31">
        <v>0.11600317744683623</v>
      </c>
      <c r="D47" s="31">
        <v>208.75325400740795</v>
      </c>
      <c r="E47" s="31">
        <f t="shared" si="0"/>
        <v>24.21604076722582</v>
      </c>
    </row>
    <row r="48" spans="2:5" s="26" customFormat="1" x14ac:dyDescent="0.25">
      <c r="B48" s="64">
        <v>36</v>
      </c>
      <c r="C48" s="31">
        <v>0.11600317744683623</v>
      </c>
      <c r="D48" s="31">
        <v>209.21246925481626</v>
      </c>
      <c r="E48" s="31">
        <f t="shared" si="0"/>
        <v>24.26931119505722</v>
      </c>
    </row>
    <row r="49" spans="2:5" s="26" customFormat="1" x14ac:dyDescent="0.25">
      <c r="B49" s="64">
        <v>37</v>
      </c>
      <c r="C49" s="31">
        <v>0.11600317744683623</v>
      </c>
      <c r="D49" s="31">
        <v>209.67113086964102</v>
      </c>
      <c r="E49" s="31">
        <f t="shared" si="0"/>
        <v>24.322517399749788</v>
      </c>
    </row>
    <row r="50" spans="2:5" s="26" customFormat="1" x14ac:dyDescent="0.25">
      <c r="B50" s="64">
        <v>38</v>
      </c>
      <c r="C50" s="31">
        <v>0.11600317744683623</v>
      </c>
      <c r="D50" s="31">
        <v>210.12728682073546</v>
      </c>
      <c r="E50" s="31">
        <f t="shared" si="0"/>
        <v>24.375432939488029</v>
      </c>
    </row>
    <row r="51" spans="2:5" s="26" customFormat="1" x14ac:dyDescent="0.25">
      <c r="B51" s="64">
        <v>39</v>
      </c>
      <c r="C51" s="31">
        <v>0.11600317744683623</v>
      </c>
      <c r="D51" s="31">
        <v>210.57889956120306</v>
      </c>
      <c r="E51" s="31">
        <f t="shared" si="0"/>
        <v>24.427821452357744</v>
      </c>
    </row>
    <row r="52" spans="2:5" s="26" customFormat="1" x14ac:dyDescent="0.25">
      <c r="B52" s="64">
        <v>40</v>
      </c>
      <c r="C52" s="31">
        <v>0.11600317744683623</v>
      </c>
      <c r="D52" s="31">
        <v>211.02385207200075</v>
      </c>
      <c r="E52" s="31">
        <f t="shared" si="0"/>
        <v>24.479437357423222</v>
      </c>
    </row>
    <row r="53" spans="2:5" s="26" customFormat="1" x14ac:dyDescent="0.25">
      <c r="B53" s="64">
        <v>41</v>
      </c>
      <c r="C53" s="31">
        <v>0.11600317744683623</v>
      </c>
      <c r="D53" s="31">
        <v>211.45995370469083</v>
      </c>
      <c r="E53" s="31">
        <f t="shared" si="0"/>
        <v>24.530026532505026</v>
      </c>
    </row>
    <row r="54" spans="2:5" s="26" customFormat="1" x14ac:dyDescent="0.25">
      <c r="B54" s="64">
        <v>42</v>
      </c>
      <c r="C54" s="31">
        <v>0.11600317744683623</v>
      </c>
      <c r="D54" s="31">
        <v>211.88494583957177</v>
      </c>
      <c r="E54" s="31">
        <f t="shared" si="0"/>
        <v>24.579326970541128</v>
      </c>
    </row>
    <row r="55" spans="2:5" s="26" customFormat="1" x14ac:dyDescent="0.25">
      <c r="B55" s="64">
        <v>43</v>
      </c>
      <c r="C55" s="31">
        <v>0.11600317744683623</v>
      </c>
      <c r="D55" s="31">
        <v>212.29650737416154</v>
      </c>
      <c r="E55" s="31">
        <f t="shared" si="0"/>
        <v>24.627069416268437</v>
      </c>
    </row>
    <row r="56" spans="2:5" s="26" customFormat="1" x14ac:dyDescent="0.25">
      <c r="B56" s="64">
        <v>44</v>
      </c>
      <c r="C56" s="31">
        <v>0.11600317744683623</v>
      </c>
      <c r="D56" s="31">
        <v>212.69226005587601</v>
      </c>
      <c r="E56" s="31">
        <f t="shared" si="0"/>
        <v>24.672977984830421</v>
      </c>
    </row>
    <row r="57" spans="2:5" s="26" customFormat="1" x14ac:dyDescent="0.25">
      <c r="B57" s="64">
        <v>45</v>
      </c>
      <c r="C57" s="31">
        <v>0.11600317744683623</v>
      </c>
      <c r="D57" s="31">
        <v>213.06977367174778</v>
      </c>
      <c r="E57" s="31">
        <f t="shared" si="0"/>
        <v>24.716770763800994</v>
      </c>
    </row>
    <row r="58" spans="2:5" s="26" customFormat="1" x14ac:dyDescent="0.25">
      <c r="B58" s="64">
        <v>46</v>
      </c>
      <c r="C58" s="31">
        <v>0.11600317744683623</v>
      </c>
      <c r="D58" s="31">
        <v>213.42657110712611</v>
      </c>
      <c r="E58" s="31">
        <f t="shared" si="0"/>
        <v>24.758160400009761</v>
      </c>
    </row>
    <row r="59" spans="2:5" s="26" customFormat="1" x14ac:dyDescent="0.25">
      <c r="B59" s="64">
        <v>47</v>
      </c>
      <c r="C59" s="31">
        <v>0.11600317744683623</v>
      </c>
      <c r="D59" s="31">
        <v>213.76013328450242</v>
      </c>
      <c r="E59" s="31">
        <f t="shared" si="0"/>
        <v>24.7968546724615</v>
      </c>
    </row>
    <row r="60" spans="2:5" s="26" customFormat="1" x14ac:dyDescent="0.25">
      <c r="B60" s="64">
        <v>48</v>
      </c>
      <c r="C60" s="31">
        <v>0.11600317744683623</v>
      </c>
      <c r="D60" s="31">
        <v>214.06790399289005</v>
      </c>
      <c r="E60" s="31">
        <f t="shared" si="0"/>
        <v>24.832557052559526</v>
      </c>
    </row>
    <row r="61" spans="2:5" s="26" customFormat="1" x14ac:dyDescent="0.25">
      <c r="B61" s="64">
        <v>49</v>
      </c>
      <c r="C61" s="31">
        <v>0.11600317744683623</v>
      </c>
      <c r="D61" s="31">
        <v>214.34729461754796</v>
      </c>
      <c r="E61" s="31">
        <f t="shared" si="0"/>
        <v>24.8649672527687</v>
      </c>
    </row>
    <row r="62" spans="2:5" s="26" customFormat="1" x14ac:dyDescent="0.25">
      <c r="B62" s="64">
        <v>50</v>
      </c>
      <c r="C62" s="31">
        <v>0.11600317744683623</v>
      </c>
      <c r="D62" s="31">
        <v>214.59568877927319</v>
      </c>
      <c r="E62" s="31">
        <f t="shared" si="0"/>
        <v>24.89378176478807</v>
      </c>
    </row>
    <row r="63" spans="2:5" s="26" customFormat="1" x14ac:dyDescent="0.25">
      <c r="B63" s="64">
        <v>51</v>
      </c>
      <c r="C63" s="31">
        <v>0.11600317744683623</v>
      </c>
      <c r="D63" s="31">
        <v>214.81044689198521</v>
      </c>
      <c r="E63" s="31">
        <f t="shared" si="0"/>
        <v>24.91869438824515</v>
      </c>
    </row>
    <row r="64" spans="2:5" s="26" customFormat="1" x14ac:dyDescent="0.25">
      <c r="B64" s="64">
        <v>52</v>
      </c>
      <c r="C64" s="31">
        <v>0.11600317744683623</v>
      </c>
      <c r="D64" s="31">
        <v>214.98891064687695</v>
      </c>
      <c r="E64" s="31">
        <f t="shared" si="0"/>
        <v>24.939396750871687</v>
      </c>
    </row>
    <row r="65" spans="2:5" s="26" customFormat="1" x14ac:dyDescent="0.25">
      <c r="B65" s="64">
        <v>53</v>
      </c>
      <c r="C65" s="31">
        <v>0.11600317744683623</v>
      </c>
      <c r="D65" s="31">
        <v>215.12840743102188</v>
      </c>
      <c r="E65" s="31">
        <f t="shared" si="0"/>
        <v>24.955578821076113</v>
      </c>
    </row>
    <row r="66" spans="2:5" s="26" customFormat="1" x14ac:dyDescent="0.25">
      <c r="B66" s="64">
        <v>54</v>
      </c>
      <c r="C66" s="31">
        <v>0.11600317744683623</v>
      </c>
      <c r="D66" s="31">
        <v>215.2262546879802</v>
      </c>
      <c r="E66" s="31">
        <f t="shared" si="0"/>
        <v>24.966929413787735</v>
      </c>
    </row>
    <row r="67" spans="2:5" s="26" customFormat="1" x14ac:dyDescent="0.25">
      <c r="B67" s="64">
        <v>55</v>
      </c>
      <c r="C67" s="31">
        <v>0.11600317744683623</v>
      </c>
      <c r="D67" s="31">
        <v>215.27976422765701</v>
      </c>
      <c r="E67" s="31">
        <f t="shared" si="0"/>
        <v>24.973136690413963</v>
      </c>
    </row>
    <row r="68" spans="2:5" s="26" customFormat="1" x14ac:dyDescent="0.25">
      <c r="B68" s="64">
        <v>56</v>
      </c>
      <c r="C68" s="31">
        <v>0.11600317744683623</v>
      </c>
      <c r="D68" s="31">
        <v>215.28624649240643</v>
      </c>
      <c r="E68" s="31">
        <f t="shared" si="0"/>
        <v>24.97388865372195</v>
      </c>
    </row>
    <row r="69" spans="2:5" s="26" customFormat="1" x14ac:dyDescent="0.25">
      <c r="B69" s="64">
        <v>57</v>
      </c>
      <c r="C69" s="31">
        <v>0.11600317744683623</v>
      </c>
      <c r="D69" s="31">
        <v>215.24301478616854</v>
      </c>
      <c r="E69" s="31">
        <f t="shared" si="0"/>
        <v>24.968873638431905</v>
      </c>
    </row>
    <row r="70" spans="2:5" s="26" customFormat="1" x14ac:dyDescent="0.25">
      <c r="B70" s="64">
        <v>58</v>
      </c>
      <c r="C70" s="31">
        <v>0.11600317744683623</v>
      </c>
      <c r="D70" s="31">
        <v>215.1473894732498</v>
      </c>
      <c r="E70" s="31">
        <f t="shared" si="0"/>
        <v>24.957780798288983</v>
      </c>
    </row>
    <row r="71" spans="2:5" s="26" customFormat="1" x14ac:dyDescent="0.25">
      <c r="B71" s="64">
        <v>59</v>
      </c>
      <c r="C71" s="31">
        <v>0.11600317744683623</v>
      </c>
      <c r="D71" s="31">
        <v>214.99670215321802</v>
      </c>
      <c r="E71" s="31">
        <f t="shared" si="0"/>
        <v>24.940300590364348</v>
      </c>
    </row>
    <row r="72" spans="2:5" s="26" customFormat="1" x14ac:dyDescent="0.25">
      <c r="B72" s="64">
        <v>60</v>
      </c>
      <c r="C72" s="31">
        <v>0.11600317744683623</v>
      </c>
      <c r="D72" s="31">
        <v>214.78829981828434</v>
      </c>
      <c r="E72" s="31">
        <f t="shared" si="0"/>
        <v>24.916125257324701</v>
      </c>
    </row>
    <row r="73" spans="2:5" s="26" customFormat="1" x14ac:dyDescent="0.25"/>
  </sheetData>
  <mergeCells count="1">
    <mergeCell ref="L2:O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3:K73"/>
  <sheetViews>
    <sheetView topLeftCell="A4" zoomScale="80" zoomScaleNormal="80" workbookViewId="0">
      <selection activeCell="D36" sqref="D36"/>
    </sheetView>
  </sheetViews>
  <sheetFormatPr defaultColWidth="9.140625" defaultRowHeight="15.75" x14ac:dyDescent="0.25"/>
  <cols>
    <col min="1" max="1" width="9.140625" style="25"/>
    <col min="2" max="2" width="18.28515625" style="26" customWidth="1"/>
    <col min="3" max="3" width="26.140625" style="26" customWidth="1"/>
    <col min="4" max="4" width="16.140625" style="25" customWidth="1"/>
    <col min="5" max="5" width="19.7109375" style="26" customWidth="1"/>
    <col min="6" max="6" width="13.140625" style="26" bestFit="1" customWidth="1"/>
    <col min="7" max="7" width="11.140625" style="26" bestFit="1" customWidth="1"/>
    <col min="8" max="8" width="12.42578125" style="25" bestFit="1" customWidth="1"/>
    <col min="9" max="16384" width="9.140625" style="25"/>
  </cols>
  <sheetData>
    <row r="3" spans="1:11" s="26" customFormat="1" x14ac:dyDescent="0.25">
      <c r="A3" s="25"/>
      <c r="B3" s="41"/>
      <c r="C3" s="41"/>
      <c r="D3" s="66"/>
      <c r="E3" s="66"/>
      <c r="F3" s="66"/>
      <c r="H3" s="25"/>
      <c r="I3" s="25"/>
      <c r="J3" s="25"/>
      <c r="K3" s="25"/>
    </row>
    <row r="4" spans="1:11" s="26" customFormat="1" x14ac:dyDescent="0.25">
      <c r="A4" s="25"/>
      <c r="B4" s="223" t="s">
        <v>100</v>
      </c>
      <c r="C4" s="223" t="s">
        <v>0</v>
      </c>
      <c r="D4" s="223" t="s">
        <v>65</v>
      </c>
      <c r="E4" s="67"/>
      <c r="I4" s="25"/>
      <c r="J4" s="25"/>
      <c r="K4" s="25"/>
    </row>
    <row r="5" spans="1:11" s="26" customFormat="1" ht="63" x14ac:dyDescent="0.25">
      <c r="B5" s="65" t="s">
        <v>104</v>
      </c>
      <c r="C5" s="65" t="s">
        <v>101</v>
      </c>
      <c r="D5" s="65"/>
      <c r="E5" s="68"/>
    </row>
    <row r="6" spans="1:11" s="26" customFormat="1" ht="31.5" x14ac:dyDescent="0.25">
      <c r="B6" s="65" t="s">
        <v>106</v>
      </c>
      <c r="C6" s="65" t="s">
        <v>109</v>
      </c>
      <c r="D6" s="65">
        <v>0.36799999999999999</v>
      </c>
      <c r="E6" s="68"/>
    </row>
    <row r="7" spans="1:11" s="26" customFormat="1" ht="63" x14ac:dyDescent="0.25">
      <c r="B7" s="65" t="s">
        <v>105</v>
      </c>
      <c r="C7" s="65" t="s">
        <v>158</v>
      </c>
      <c r="D7" s="65">
        <v>8.5000000000000006E-2</v>
      </c>
      <c r="E7" s="69"/>
    </row>
    <row r="8" spans="1:11" s="26" customFormat="1" x14ac:dyDescent="0.25">
      <c r="B8" s="65" t="s">
        <v>62</v>
      </c>
      <c r="C8" s="65" t="s">
        <v>159</v>
      </c>
      <c r="D8" s="65"/>
      <c r="E8" s="68"/>
    </row>
    <row r="9" spans="1:11" s="26" customFormat="1" x14ac:dyDescent="0.25">
      <c r="B9" s="40"/>
      <c r="C9" s="40"/>
      <c r="D9" s="40"/>
      <c r="E9" s="40"/>
      <c r="F9" s="40"/>
    </row>
    <row r="10" spans="1:11" s="26" customFormat="1" ht="21.75" customHeight="1" x14ac:dyDescent="0.25">
      <c r="B10" s="209" t="s">
        <v>19</v>
      </c>
      <c r="C10" s="196" t="s">
        <v>64</v>
      </c>
      <c r="D10" s="209" t="s">
        <v>104</v>
      </c>
      <c r="E10" s="209" t="s">
        <v>55</v>
      </c>
      <c r="F10" s="209" t="s">
        <v>63</v>
      </c>
    </row>
    <row r="11" spans="1:11" s="26" customFormat="1" ht="15.75" customHeight="1" x14ac:dyDescent="0.25">
      <c r="B11" s="182">
        <v>0.5</v>
      </c>
      <c r="C11" s="107">
        <v>0.37416998795041051</v>
      </c>
      <c r="D11" s="91">
        <f>(C11/0.368)*0.085</f>
        <v>8.6425133086371994E-2</v>
      </c>
      <c r="E11" s="88">
        <v>49.466843858403671</v>
      </c>
      <c r="F11" s="88">
        <f>D11*E11</f>
        <v>4.2751785638253201</v>
      </c>
    </row>
    <row r="12" spans="1:11" s="26" customFormat="1" ht="15.75" customHeight="1" x14ac:dyDescent="0.25">
      <c r="B12" s="183">
        <v>1</v>
      </c>
      <c r="C12" s="107">
        <v>0.37603490669540734</v>
      </c>
      <c r="D12" s="91">
        <f t="shared" ref="D12:D71" si="0">(C12/0.368)*0.085</f>
        <v>8.6855888774754419E-2</v>
      </c>
      <c r="E12" s="88">
        <v>61.232701371812148</v>
      </c>
      <c r="F12" s="88">
        <f t="shared" ref="F12:F71" si="1">D12*E12</f>
        <v>5.3184206997278682</v>
      </c>
    </row>
    <row r="13" spans="1:11" s="26" customFormat="1" x14ac:dyDescent="0.25">
      <c r="B13" s="184">
        <v>2</v>
      </c>
      <c r="C13" s="32">
        <v>0.35861267529805024</v>
      </c>
      <c r="D13" s="34">
        <f t="shared" si="0"/>
        <v>8.2831732066125735E-2</v>
      </c>
      <c r="E13" s="61">
        <v>79.269454745647479</v>
      </c>
      <c r="F13" s="61">
        <f t="shared" si="1"/>
        <v>6.5660262365193516</v>
      </c>
    </row>
    <row r="14" spans="1:11" s="26" customFormat="1" x14ac:dyDescent="0.25">
      <c r="B14" s="184">
        <v>3</v>
      </c>
      <c r="C14" s="32">
        <v>0.34056926917887731</v>
      </c>
      <c r="D14" s="34">
        <f t="shared" si="0"/>
        <v>7.8664097500555905E-2</v>
      </c>
      <c r="E14" s="61">
        <v>89.669891790284495</v>
      </c>
      <c r="F14" s="61">
        <f t="shared" si="1"/>
        <v>7.053801110655237</v>
      </c>
    </row>
    <row r="15" spans="1:11" s="26" customFormat="1" x14ac:dyDescent="0.25">
      <c r="B15" s="184">
        <v>4</v>
      </c>
      <c r="C15" s="32">
        <v>0.3170964866284105</v>
      </c>
      <c r="D15" s="34">
        <f t="shared" si="0"/>
        <v>7.3242395009279607E-2</v>
      </c>
      <c r="E15" s="61">
        <v>98.271318656917629</v>
      </c>
      <c r="F15" s="61">
        <f t="shared" si="1"/>
        <v>7.1976267391527493</v>
      </c>
    </row>
    <row r="16" spans="1:11" s="26" customFormat="1" x14ac:dyDescent="0.25">
      <c r="B16" s="183">
        <v>5</v>
      </c>
      <c r="C16" s="107">
        <v>0.29863364536321846</v>
      </c>
      <c r="D16" s="91">
        <f t="shared" si="0"/>
        <v>6.8977880043134709E-2</v>
      </c>
      <c r="E16" s="88">
        <v>106.04282917408814</v>
      </c>
      <c r="F16" s="88">
        <f t="shared" si="1"/>
        <v>7.3146095502048771</v>
      </c>
    </row>
    <row r="17" spans="2:9" s="26" customFormat="1" x14ac:dyDescent="0.25">
      <c r="B17" s="184">
        <v>6</v>
      </c>
      <c r="C17" s="32">
        <v>0.28786296431526259</v>
      </c>
      <c r="D17" s="34">
        <f t="shared" si="0"/>
        <v>6.649008686629708E-2</v>
      </c>
      <c r="E17" s="61">
        <v>113.64540784385582</v>
      </c>
      <c r="F17" s="61">
        <f t="shared" si="1"/>
        <v>7.5562930394937329</v>
      </c>
    </row>
    <row r="18" spans="2:9" s="26" customFormat="1" x14ac:dyDescent="0.25">
      <c r="B18" s="184">
        <v>7</v>
      </c>
      <c r="C18" s="32">
        <v>0.28404954136542443</v>
      </c>
      <c r="D18" s="34">
        <f t="shared" si="0"/>
        <v>6.5609269065383363E-2</v>
      </c>
      <c r="E18" s="61">
        <v>121.70953635280681</v>
      </c>
      <c r="F18" s="61">
        <f t="shared" si="1"/>
        <v>7.9852737183943594</v>
      </c>
    </row>
    <row r="19" spans="2:9" s="26" customFormat="1" x14ac:dyDescent="0.25">
      <c r="B19" s="184">
        <v>8</v>
      </c>
      <c r="C19" s="32">
        <v>0.28577131477471157</v>
      </c>
      <c r="D19" s="34">
        <f t="shared" si="0"/>
        <v>6.6006961293071972E-2</v>
      </c>
      <c r="E19" s="61">
        <v>130.73889715023464</v>
      </c>
      <c r="F19" s="61">
        <f t="shared" si="1"/>
        <v>8.6296773236944553</v>
      </c>
    </row>
    <row r="20" spans="2:9" s="26" customFormat="1" ht="23.25" x14ac:dyDescent="0.25">
      <c r="B20" s="184">
        <v>9</v>
      </c>
      <c r="C20" s="32">
        <v>0.29039309218712933</v>
      </c>
      <c r="D20" s="34">
        <f t="shared" si="0"/>
        <v>6.7074491401918471E-2</v>
      </c>
      <c r="E20" s="61">
        <v>141.10539186524957</v>
      </c>
      <c r="F20" s="61">
        <f t="shared" si="1"/>
        <v>9.4645723934300197</v>
      </c>
      <c r="I20" s="39"/>
    </row>
    <row r="21" spans="2:9" s="26" customFormat="1" ht="23.25" x14ac:dyDescent="0.25">
      <c r="B21" s="183">
        <v>10</v>
      </c>
      <c r="C21" s="107">
        <v>0.29382496689241056</v>
      </c>
      <c r="D21" s="91">
        <f t="shared" si="0"/>
        <v>6.7867179852866583E-2</v>
      </c>
      <c r="E21" s="88">
        <v>153.00935276013391</v>
      </c>
      <c r="F21" s="88">
        <f t="shared" si="1"/>
        <v>10.384313262942715</v>
      </c>
      <c r="I21" s="39"/>
    </row>
    <row r="22" spans="2:9" s="26" customFormat="1" ht="23.25" x14ac:dyDescent="0.25">
      <c r="B22" s="184">
        <v>11</v>
      </c>
      <c r="C22" s="32">
        <v>0.29396742551076943</v>
      </c>
      <c r="D22" s="34">
        <f t="shared" si="0"/>
        <v>6.7900084696780993E-2</v>
      </c>
      <c r="E22" s="61">
        <v>166.03242262763644</v>
      </c>
      <c r="F22" s="61">
        <f t="shared" si="1"/>
        <v>11.273615558828251</v>
      </c>
      <c r="I22" s="39"/>
    </row>
    <row r="23" spans="2:9" s="26" customFormat="1" ht="23.25" x14ac:dyDescent="0.25">
      <c r="B23" s="184">
        <v>12</v>
      </c>
      <c r="C23" s="32">
        <v>0.29583831945583505</v>
      </c>
      <c r="D23" s="34">
        <f t="shared" si="0"/>
        <v>6.8332220526483647E-2</v>
      </c>
      <c r="E23" s="61">
        <v>178.32088884241367</v>
      </c>
      <c r="F23" s="61">
        <f t="shared" si="1"/>
        <v>12.185062300858387</v>
      </c>
      <c r="I23" s="39"/>
    </row>
    <row r="24" spans="2:9" s="26" customFormat="1" ht="23.25" x14ac:dyDescent="0.25">
      <c r="B24" s="184">
        <v>13</v>
      </c>
      <c r="C24" s="32">
        <v>0.30356018352057107</v>
      </c>
      <c r="D24" s="34">
        <f t="shared" si="0"/>
        <v>7.0115803258827561E-2</v>
      </c>
      <c r="E24" s="61">
        <v>187.97029514318575</v>
      </c>
      <c r="F24" s="61">
        <f t="shared" si="1"/>
        <v>13.179688232763361</v>
      </c>
      <c r="I24" s="39"/>
    </row>
    <row r="25" spans="2:9" s="26" customFormat="1" ht="23.25" x14ac:dyDescent="0.25">
      <c r="B25" s="184">
        <v>14</v>
      </c>
      <c r="C25" s="32">
        <v>0.31404775230723198</v>
      </c>
      <c r="D25" s="34">
        <f t="shared" si="0"/>
        <v>7.2538203657920436E-2</v>
      </c>
      <c r="E25" s="61">
        <v>194.82374003746926</v>
      </c>
      <c r="F25" s="61">
        <f t="shared" si="1"/>
        <v>14.132164132235694</v>
      </c>
      <c r="I25" s="39"/>
    </row>
    <row r="26" spans="2:9" s="26" customFormat="1" x14ac:dyDescent="0.25">
      <c r="B26" s="184">
        <v>15</v>
      </c>
      <c r="C26" s="32">
        <v>0.32371492324713097</v>
      </c>
      <c r="D26" s="34">
        <f t="shared" si="0"/>
        <v>7.4771109989147114E-2</v>
      </c>
      <c r="E26" s="61">
        <v>199.4801398207976</v>
      </c>
      <c r="F26" s="61">
        <f t="shared" si="1"/>
        <v>14.915351475191303</v>
      </c>
    </row>
    <row r="27" spans="2:9" s="26" customFormat="1" x14ac:dyDescent="0.25">
      <c r="B27" s="184">
        <v>16</v>
      </c>
      <c r="C27" s="32">
        <v>0.33134284989021534</v>
      </c>
      <c r="D27" s="34">
        <f t="shared" si="0"/>
        <v>7.6532995219207353E-2</v>
      </c>
      <c r="E27" s="61">
        <v>202.48979361606706</v>
      </c>
      <c r="F27" s="61">
        <f t="shared" si="1"/>
        <v>15.497150406756743</v>
      </c>
    </row>
    <row r="28" spans="2:9" s="26" customFormat="1" x14ac:dyDescent="0.25">
      <c r="B28" s="184">
        <v>17</v>
      </c>
      <c r="C28" s="32">
        <v>0.33707256385053092</v>
      </c>
      <c r="D28" s="34">
        <f t="shared" si="0"/>
        <v>7.7856434585041115E-2</v>
      </c>
      <c r="E28" s="61">
        <v>204.29504115166876</v>
      </c>
      <c r="F28" s="61">
        <f t="shared" si="1"/>
        <v>15.905683507473181</v>
      </c>
    </row>
    <row r="29" spans="2:9" s="26" customFormat="1" x14ac:dyDescent="0.25">
      <c r="B29" s="184">
        <v>18</v>
      </c>
      <c r="C29" s="32">
        <v>0.34144374628152552</v>
      </c>
      <c r="D29" s="34">
        <f t="shared" si="0"/>
        <v>7.8866082700895845E-2</v>
      </c>
      <c r="E29" s="61">
        <v>205.2537931108109</v>
      </c>
      <c r="F29" s="61">
        <f t="shared" si="1"/>
        <v>16.18756262214978</v>
      </c>
    </row>
    <row r="30" spans="2:9" s="26" customFormat="1" x14ac:dyDescent="0.25">
      <c r="B30" s="184">
        <v>19</v>
      </c>
      <c r="C30" s="32">
        <v>0.34498705013068004</v>
      </c>
      <c r="D30" s="34">
        <f t="shared" si="0"/>
        <v>7.9684508861705999E-2</v>
      </c>
      <c r="E30" s="61">
        <v>205.64335947358896</v>
      </c>
      <c r="F30" s="61">
        <f t="shared" si="1"/>
        <v>16.386590100324192</v>
      </c>
    </row>
    <row r="31" spans="2:9" s="26" customFormat="1" x14ac:dyDescent="0.25">
      <c r="B31" s="184">
        <v>20</v>
      </c>
      <c r="C31" s="32">
        <v>0.3481082216073787</v>
      </c>
      <c r="D31" s="34">
        <f t="shared" si="0"/>
        <v>8.0405431621269549E-2</v>
      </c>
      <c r="E31" s="61">
        <v>205.66705104266885</v>
      </c>
      <c r="F31" s="61">
        <f t="shared" si="1"/>
        <v>16.536748009359464</v>
      </c>
    </row>
    <row r="32" spans="2:9" s="26" customFormat="1" x14ac:dyDescent="0.25">
      <c r="B32" s="184">
        <v>21</v>
      </c>
      <c r="C32" s="32">
        <v>0.35108369304068432</v>
      </c>
      <c r="D32" s="34">
        <f t="shared" si="0"/>
        <v>8.1092700838201554E-2</v>
      </c>
      <c r="E32" s="61">
        <v>205.46731675134265</v>
      </c>
      <c r="F32" s="61">
        <f t="shared" si="1"/>
        <v>16.66189964934463</v>
      </c>
    </row>
    <row r="33" spans="2:6" s="26" customFormat="1" x14ac:dyDescent="0.25">
      <c r="B33" s="184">
        <v>22</v>
      </c>
      <c r="C33" s="32">
        <v>0.35435707794112159</v>
      </c>
      <c r="D33" s="34">
        <f t="shared" si="0"/>
        <v>8.1848781589661246E-2</v>
      </c>
      <c r="E33" s="61">
        <v>205.27875596791566</v>
      </c>
      <c r="F33" s="61">
        <f t="shared" si="1"/>
        <v>16.801816062215298</v>
      </c>
    </row>
    <row r="34" spans="2:6" s="26" customFormat="1" x14ac:dyDescent="0.25">
      <c r="B34" s="184">
        <v>23</v>
      </c>
      <c r="C34" s="32">
        <v>0.35817153403606289</v>
      </c>
      <c r="D34" s="34">
        <f t="shared" si="0"/>
        <v>8.27298380246341E-2</v>
      </c>
      <c r="E34" s="61">
        <v>205.24329508254439</v>
      </c>
      <c r="F34" s="61">
        <f t="shared" si="1"/>
        <v>16.979744557821078</v>
      </c>
    </row>
    <row r="35" spans="2:6" s="26" customFormat="1" x14ac:dyDescent="0.25">
      <c r="B35" s="184">
        <v>24</v>
      </c>
      <c r="C35" s="32">
        <v>0.36294681984262483</v>
      </c>
      <c r="D35" s="34">
        <f t="shared" si="0"/>
        <v>8.3832825235388889E-2</v>
      </c>
      <c r="E35" s="61">
        <v>205.59997876773525</v>
      </c>
      <c r="F35" s="61">
        <f t="shared" si="1"/>
        <v>17.236027088435215</v>
      </c>
    </row>
    <row r="36" spans="2:6" s="26" customFormat="1" x14ac:dyDescent="0.25">
      <c r="B36" s="185">
        <v>25</v>
      </c>
      <c r="C36" s="113">
        <v>0.3679243723424972</v>
      </c>
      <c r="D36" s="91">
        <f t="shared" si="0"/>
        <v>8.4982531655196369E-2</v>
      </c>
      <c r="E36" s="88">
        <v>205.97039349050775</v>
      </c>
      <c r="F36" s="88">
        <f t="shared" si="1"/>
        <v>17.503885484840328</v>
      </c>
    </row>
    <row r="37" spans="2:6" s="26" customFormat="1" x14ac:dyDescent="0.25">
      <c r="B37" s="184">
        <v>26</v>
      </c>
      <c r="C37" s="32">
        <v>0.37067716038109599</v>
      </c>
      <c r="D37" s="34">
        <f t="shared" si="0"/>
        <v>8.561836584889447E-2</v>
      </c>
      <c r="E37" s="61">
        <v>206.35418686238347</v>
      </c>
      <c r="F37" s="61">
        <f t="shared" si="1"/>
        <v>17.66770826523468</v>
      </c>
    </row>
    <row r="38" spans="2:6" s="26" customFormat="1" x14ac:dyDescent="0.25">
      <c r="B38" s="184">
        <v>27</v>
      </c>
      <c r="C38" s="32">
        <v>0.37331786490307711</v>
      </c>
      <c r="D38" s="34">
        <f t="shared" si="0"/>
        <v>8.6228311186852064E-2</v>
      </c>
      <c r="E38" s="61">
        <v>206.75082191352308</v>
      </c>
      <c r="F38" s="61">
        <f t="shared" si="1"/>
        <v>17.827774210096702</v>
      </c>
    </row>
    <row r="39" spans="2:6" s="26" customFormat="1" x14ac:dyDescent="0.25">
      <c r="B39" s="184">
        <v>28</v>
      </c>
      <c r="C39" s="32">
        <v>0.37584908799707584</v>
      </c>
      <c r="D39" s="34">
        <f t="shared" si="0"/>
        <v>8.6812968694976761E-2</v>
      </c>
      <c r="E39" s="61">
        <v>207.15958839353027</v>
      </c>
      <c r="F39" s="61">
        <f t="shared" si="1"/>
        <v>17.984138862071813</v>
      </c>
    </row>
    <row r="40" spans="2:6" s="26" customFormat="1" x14ac:dyDescent="0.25">
      <c r="B40" s="184">
        <v>29</v>
      </c>
      <c r="C40" s="32">
        <v>0.37827331977858236</v>
      </c>
      <c r="D40" s="34">
        <f t="shared" si="0"/>
        <v>8.7372913535813862E-2</v>
      </c>
      <c r="E40" s="61">
        <v>207.57961294529005</v>
      </c>
      <c r="F40" s="61">
        <f t="shared" si="1"/>
        <v>18.136835573666534</v>
      </c>
    </row>
    <row r="41" spans="2:6" s="26" customFormat="1" x14ac:dyDescent="0.25">
      <c r="B41" s="184">
        <v>30</v>
      </c>
      <c r="C41" s="32">
        <v>0.38059293890592027</v>
      </c>
      <c r="D41" s="34">
        <f t="shared" si="0"/>
        <v>8.7908695127726158E-2</v>
      </c>
      <c r="E41" s="61">
        <v>208.00986859609719</v>
      </c>
      <c r="F41" s="61">
        <f t="shared" si="1"/>
        <v>18.285876121972688</v>
      </c>
    </row>
    <row r="42" spans="2:6" s="26" customFormat="1" x14ac:dyDescent="0.25">
      <c r="B42" s="184">
        <v>31</v>
      </c>
      <c r="C42" s="32">
        <v>0.38281021333724574</v>
      </c>
      <c r="D42" s="34">
        <f t="shared" si="0"/>
        <v>8.8420837319744261E-2</v>
      </c>
      <c r="E42" s="61">
        <v>208.44918372324065</v>
      </c>
      <c r="F42" s="61">
        <f t="shared" si="1"/>
        <v>18.431251363426146</v>
      </c>
    </row>
    <row r="43" spans="2:6" s="26" customFormat="1" x14ac:dyDescent="0.25">
      <c r="B43" s="184">
        <v>32</v>
      </c>
      <c r="C43" s="32">
        <v>0.38492730115376916</v>
      </c>
      <c r="D43" s="34">
        <f t="shared" si="0"/>
        <v>8.8909838581713002E-2</v>
      </c>
      <c r="E43" s="61">
        <v>208.89625056718685</v>
      </c>
      <c r="F43" s="61">
        <f t="shared" si="1"/>
        <v>18.572931918253655</v>
      </c>
    </row>
    <row r="44" spans="2:6" s="26" customFormat="1" x14ac:dyDescent="0.25">
      <c r="B44" s="184">
        <v>33</v>
      </c>
      <c r="C44" s="32">
        <v>0.38694625140008088</v>
      </c>
      <c r="D44" s="34">
        <f t="shared" si="0"/>
        <v>8.9376172198388254E-2</v>
      </c>
      <c r="E44" s="61">
        <v>209.34963333899415</v>
      </c>
      <c r="F44" s="61">
        <f t="shared" si="1"/>
        <v>18.710868878975383</v>
      </c>
    </row>
    <row r="45" spans="2:6" s="26" customFormat="1" x14ac:dyDescent="0.25">
      <c r="B45" s="184">
        <v>34</v>
      </c>
      <c r="C45" s="32">
        <v>0.38886900492777599</v>
      </c>
      <c r="D45" s="34">
        <f t="shared" si="0"/>
        <v>8.9820286464296087E-2</v>
      </c>
      <c r="E45" s="61">
        <v>209.8077759586036</v>
      </c>
      <c r="F45" s="61">
        <f t="shared" si="1"/>
        <v>18.84499453903863</v>
      </c>
    </row>
    <row r="46" spans="2:6" s="26" customFormat="1" x14ac:dyDescent="0.25">
      <c r="B46" s="184">
        <v>35</v>
      </c>
      <c r="C46" s="32">
        <v>0.39069739523850244</v>
      </c>
      <c r="D46" s="34">
        <f t="shared" si="0"/>
        <v>9.0242604878458463E-2</v>
      </c>
      <c r="E46" s="61">
        <v>210.26900945560351</v>
      </c>
      <c r="F46" s="61">
        <f t="shared" si="1"/>
        <v>18.975223138486875</v>
      </c>
    </row>
    <row r="47" spans="2:6" s="26" customFormat="1" x14ac:dyDescent="0.25">
      <c r="B47" s="184">
        <v>36</v>
      </c>
      <c r="C47" s="32">
        <v>0.39243314932534035</v>
      </c>
      <c r="D47" s="34">
        <f t="shared" si="0"/>
        <v>9.0643526338733516E-2</v>
      </c>
      <c r="E47" s="61">
        <v>210.73155906067953</v>
      </c>
      <c r="F47" s="61">
        <f t="shared" si="1"/>
        <v>19.101451624119083</v>
      </c>
    </row>
    <row r="48" spans="2:6" s="26" customFormat="1" x14ac:dyDescent="0.25">
      <c r="B48" s="184">
        <v>37</v>
      </c>
      <c r="C48" s="32">
        <v>0.39407788851221204</v>
      </c>
      <c r="D48" s="34">
        <f t="shared" si="0"/>
        <v>9.1023425335701166E-2</v>
      </c>
      <c r="E48" s="61">
        <v>211.1935510132509</v>
      </c>
      <c r="F48" s="61">
        <f t="shared" si="1"/>
        <v>19.22356042203624</v>
      </c>
    </row>
    <row r="49" spans="2:6" s="26" customFormat="1" x14ac:dyDescent="0.25">
      <c r="B49" s="184">
        <v>38</v>
      </c>
      <c r="C49" s="32">
        <v>0.39563312929123079</v>
      </c>
      <c r="D49" s="34">
        <f t="shared" si="0"/>
        <v>9.1382652146072343E-2</v>
      </c>
      <c r="E49" s="61">
        <v>211.65301910849067</v>
      </c>
      <c r="F49" s="61">
        <f t="shared" si="1"/>
        <v>19.341414220857207</v>
      </c>
    </row>
    <row r="50" spans="2:6" s="26" customFormat="1" x14ac:dyDescent="0.25">
      <c r="B50" s="184">
        <v>39</v>
      </c>
      <c r="C50" s="32">
        <v>0.39710028415796955</v>
      </c>
      <c r="D50" s="34">
        <f t="shared" si="0"/>
        <v>9.1721533025617988E-2</v>
      </c>
      <c r="E50" s="61">
        <v>212.10791100489331</v>
      </c>
      <c r="F50" s="61">
        <f t="shared" si="1"/>
        <v>19.454862764230164</v>
      </c>
    </row>
    <row r="51" spans="2:6" s="26" customFormat="1" x14ac:dyDescent="0.25">
      <c r="B51" s="184">
        <v>40</v>
      </c>
      <c r="C51" s="32">
        <v>0.39848066244463837</v>
      </c>
      <c r="D51" s="34">
        <f t="shared" si="0"/>
        <v>9.2040370401614849E-2</v>
      </c>
      <c r="E51" s="61">
        <v>212.55609431176018</v>
      </c>
      <c r="F51" s="61">
        <f t="shared" si="1"/>
        <v>19.563741651574986</v>
      </c>
    </row>
    <row r="52" spans="2:6" s="26" customFormat="1" x14ac:dyDescent="0.25">
      <c r="B52" s="184">
        <v>41</v>
      </c>
      <c r="C52" s="32">
        <v>0.39977547115117218</v>
      </c>
      <c r="D52" s="34">
        <f t="shared" si="0"/>
        <v>9.2339443064808804E-2</v>
      </c>
      <c r="E52" s="61">
        <v>212.99536247437496</v>
      </c>
      <c r="F52" s="61">
        <f t="shared" si="1"/>
        <v>19.66787314627086</v>
      </c>
    </row>
    <row r="53" spans="2:6" s="26" customFormat="1" x14ac:dyDescent="0.25">
      <c r="B53" s="184">
        <v>42</v>
      </c>
      <c r="C53" s="32">
        <v>0.40098581577422671</v>
      </c>
      <c r="D53" s="34">
        <f t="shared" si="0"/>
        <v>9.2619006360894776E-2</v>
      </c>
      <c r="E53" s="61">
        <v>213.42344047321978</v>
      </c>
      <c r="F53" s="61">
        <f t="shared" si="1"/>
        <v>19.76706699075319</v>
      </c>
    </row>
    <row r="54" spans="2:6" s="26" customFormat="1" x14ac:dyDescent="0.25">
      <c r="B54" s="184">
        <v>43</v>
      </c>
      <c r="C54" s="32">
        <v>0.4021127011340816</v>
      </c>
      <c r="D54" s="34">
        <f t="shared" si="0"/>
        <v>9.287929238151342E-2</v>
      </c>
      <c r="E54" s="61">
        <v>213.83799035230874</v>
      </c>
      <c r="F54" s="61">
        <f t="shared" si="1"/>
        <v>19.861121228207328</v>
      </c>
    </row>
    <row r="55" spans="2:6" s="26" customFormat="1" x14ac:dyDescent="0.25">
      <c r="B55" s="184">
        <v>44</v>
      </c>
      <c r="C55" s="32">
        <v>0.40315703219945381</v>
      </c>
      <c r="D55" s="34">
        <f t="shared" si="0"/>
        <v>9.3120510154765149E-2</v>
      </c>
      <c r="E55" s="61">
        <v>214.23661659058786</v>
      </c>
      <c r="F55" s="61">
        <f t="shared" si="1"/>
        <v>19.949823030746366</v>
      </c>
    </row>
    <row r="56" spans="2:6" s="26" customFormat="1" x14ac:dyDescent="0.25">
      <c r="B56" s="184">
        <v>45</v>
      </c>
      <c r="C56" s="32">
        <v>0.40411961491021703</v>
      </c>
      <c r="D56" s="34">
        <f t="shared" si="0"/>
        <v>9.3342845835240357E-2</v>
      </c>
      <c r="E56" s="61">
        <v>214.61687132933579</v>
      </c>
      <c r="F56" s="61">
        <f t="shared" si="1"/>
        <v>20.032949534135806</v>
      </c>
    </row>
    <row r="57" spans="2:6" s="26" customFormat="1" x14ac:dyDescent="0.25">
      <c r="B57" s="184">
        <v>46</v>
      </c>
      <c r="C57" s="32">
        <v>0.40500115699802958</v>
      </c>
      <c r="D57" s="34">
        <f t="shared" si="0"/>
        <v>9.3546462893566606E-2</v>
      </c>
      <c r="E57" s="61">
        <v>214.9762594675951</v>
      </c>
      <c r="F57" s="61">
        <f t="shared" si="1"/>
        <v>20.110268679283131</v>
      </c>
    </row>
    <row r="58" spans="2:6" s="26" customFormat="1" x14ac:dyDescent="0.25">
      <c r="B58" s="184">
        <v>47</v>
      </c>
      <c r="C58" s="32">
        <v>0.40580226880487225</v>
      </c>
      <c r="D58" s="34">
        <f t="shared" si="0"/>
        <v>9.373150230547321E-2</v>
      </c>
      <c r="E58" s="61">
        <v>215.3122436368588</v>
      </c>
      <c r="F58" s="61">
        <f t="shared" si="1"/>
        <v>20.181540060844839</v>
      </c>
    </row>
    <row r="59" spans="2:6" s="26" customFormat="1" x14ac:dyDescent="0.25">
      <c r="B59" s="184">
        <v>48</v>
      </c>
      <c r="C59" s="32">
        <v>0.40652346409949242</v>
      </c>
      <c r="D59" s="34">
        <f t="shared" si="0"/>
        <v>9.3898082740371897E-2</v>
      </c>
      <c r="E59" s="61">
        <v>215.62224906551606</v>
      </c>
      <c r="F59" s="61">
        <f t="shared" si="1"/>
        <v>20.246515783418904</v>
      </c>
    </row>
    <row r="60" spans="2:6" s="26" customFormat="1" x14ac:dyDescent="0.25">
      <c r="B60" s="184">
        <v>49</v>
      </c>
      <c r="C60" s="32">
        <v>0.40716516089175686</v>
      </c>
      <c r="D60" s="34">
        <f t="shared" si="0"/>
        <v>9.4046300749454706E-2</v>
      </c>
      <c r="E60" s="61">
        <v>215.90366834291743</v>
      </c>
      <c r="F60" s="61">
        <f t="shared" si="1"/>
        <v>20.304941325888535</v>
      </c>
    </row>
    <row r="61" spans="2:6" s="26" customFormat="1" x14ac:dyDescent="0.25">
      <c r="B61" s="184">
        <v>50</v>
      </c>
      <c r="C61" s="32">
        <v>0.40772768224491329</v>
      </c>
      <c r="D61" s="34">
        <f t="shared" si="0"/>
        <v>9.4176230953308793E-2</v>
      </c>
      <c r="E61" s="61">
        <v>216.15386609235568</v>
      </c>
      <c r="F61" s="61">
        <f t="shared" si="1"/>
        <v>20.35655641456427</v>
      </c>
    </row>
    <row r="62" spans="2:6" s="26" customFormat="1" x14ac:dyDescent="0.25">
      <c r="B62" s="184">
        <v>51</v>
      </c>
      <c r="C62" s="32">
        <v>0.40821125708575867</v>
      </c>
      <c r="D62" s="34">
        <f t="shared" si="0"/>
        <v>9.4287926229047525E-2</v>
      </c>
      <c r="E62" s="61">
        <v>216.37018356173934</v>
      </c>
      <c r="F62" s="61">
        <f t="shared" si="1"/>
        <v>20.401095905834751</v>
      </c>
    </row>
    <row r="63" spans="2:6" s="26" customFormat="1" x14ac:dyDescent="0.25">
      <c r="B63" s="184">
        <v>52</v>
      </c>
      <c r="C63" s="32">
        <v>0.40861602101271816</v>
      </c>
      <c r="D63" s="34">
        <f t="shared" si="0"/>
        <v>9.4381417896959363E-2</v>
      </c>
      <c r="E63" s="61">
        <v>216.54994314030625</v>
      </c>
      <c r="F63" s="61">
        <f t="shared" si="1"/>
        <v>20.438290679088034</v>
      </c>
    </row>
    <row r="64" spans="2:6" s="26" customFormat="1" x14ac:dyDescent="0.25">
      <c r="B64" s="184">
        <v>53</v>
      </c>
      <c r="C64" s="32">
        <v>0.40894201710182926</v>
      </c>
      <c r="D64" s="34">
        <f t="shared" si="0"/>
        <v>9.4456715906672525E-2</v>
      </c>
      <c r="E64" s="61">
        <v>216.69045280931147</v>
      </c>
      <c r="F64" s="61">
        <f t="shared" si="1"/>
        <v>20.467868540697363</v>
      </c>
    </row>
    <row r="65" spans="2:6" s="26" customFormat="1" x14ac:dyDescent="0.25">
      <c r="B65" s="184">
        <v>54</v>
      </c>
      <c r="C65" s="32">
        <v>0.40918919671063647</v>
      </c>
      <c r="D65" s="34">
        <f t="shared" si="0"/>
        <v>9.4513809022837236E-2</v>
      </c>
      <c r="E65" s="61">
        <v>216.78901053429846</v>
      </c>
      <c r="F65" s="61">
        <f t="shared" si="1"/>
        <v>20.489555139888534</v>
      </c>
    </row>
    <row r="66" spans="2:6" s="26" customFormat="1" x14ac:dyDescent="0.25">
      <c r="B66" s="184">
        <v>55</v>
      </c>
      <c r="C66" s="32">
        <v>0.40935742027999245</v>
      </c>
      <c r="D66" s="34">
        <f t="shared" si="0"/>
        <v>9.455266501032436E-2</v>
      </c>
      <c r="E66" s="61">
        <v>216.84290860624836</v>
      </c>
      <c r="F66" s="61">
        <f t="shared" si="1"/>
        <v>20.503074897310981</v>
      </c>
    </row>
    <row r="67" spans="2:6" s="26" customFormat="1" x14ac:dyDescent="0.25">
      <c r="B67" s="184">
        <v>56</v>
      </c>
      <c r="C67" s="32">
        <v>0.40944645813376879</v>
      </c>
      <c r="D67" s="34">
        <f t="shared" si="0"/>
        <v>9.4573230818941173E-2</v>
      </c>
      <c r="E67" s="61">
        <v>216.84943793866213</v>
      </c>
      <c r="F67" s="61">
        <f t="shared" si="1"/>
        <v>20.508151947130752</v>
      </c>
    </row>
    <row r="68" spans="2:6" s="26" customFormat="1" x14ac:dyDescent="0.25">
      <c r="B68" s="184">
        <v>57</v>
      </c>
      <c r="C68" s="32">
        <v>0.40945599127647403</v>
      </c>
      <c r="D68" s="34">
        <f t="shared" si="0"/>
        <v>9.457543276766385E-2</v>
      </c>
      <c r="E68" s="61">
        <v>216.80589232740476</v>
      </c>
      <c r="F68" s="61">
        <f t="shared" si="1"/>
        <v>20.504511093443838</v>
      </c>
    </row>
    <row r="69" spans="2:6" s="26" customFormat="1" x14ac:dyDescent="0.25">
      <c r="B69" s="184">
        <v>58</v>
      </c>
      <c r="C69" s="32">
        <v>0.40938561218877961</v>
      </c>
      <c r="D69" s="34">
        <f t="shared" si="0"/>
        <v>9.455917672838661E-2</v>
      </c>
      <c r="E69" s="61">
        <v>216.70957267997261</v>
      </c>
      <c r="F69" s="61">
        <f t="shared" si="1"/>
        <v>20.491878781778674</v>
      </c>
    </row>
    <row r="70" spans="2:6" s="26" customFormat="1" x14ac:dyDescent="0.25">
      <c r="B70" s="184">
        <v>59</v>
      </c>
      <c r="C70" s="32">
        <v>0.40923482562095492</v>
      </c>
      <c r="D70" s="34">
        <f t="shared" si="0"/>
        <v>9.4524348309187975E-2</v>
      </c>
      <c r="E70" s="61">
        <v>216.55779122070277</v>
      </c>
      <c r="F70" s="61">
        <f t="shared" si="1"/>
        <v>20.469984086414119</v>
      </c>
    </row>
    <row r="71" spans="2:6" s="26" customFormat="1" x14ac:dyDescent="0.25">
      <c r="B71" s="184">
        <v>60</v>
      </c>
      <c r="C71" s="32">
        <v>0.40900304938421034</v>
      </c>
      <c r="D71" s="34">
        <f t="shared" si="0"/>
        <v>9.4470813037113813E-2</v>
      </c>
      <c r="E71" s="61">
        <v>216.34787567834101</v>
      </c>
      <c r="F71" s="61">
        <f t="shared" si="1"/>
        <v>20.438559714185295</v>
      </c>
    </row>
    <row r="72" spans="2:6" s="26" customFormat="1" x14ac:dyDescent="0.25"/>
    <row r="73" spans="2:6" s="26" customFormat="1" x14ac:dyDescent="0.25"/>
  </sheetData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J71"/>
  <sheetViews>
    <sheetView zoomScale="80" zoomScaleNormal="80" workbookViewId="0">
      <selection activeCell="D9" sqref="D9:D69"/>
    </sheetView>
  </sheetViews>
  <sheetFormatPr defaultColWidth="9.140625" defaultRowHeight="15.75" x14ac:dyDescent="0.25"/>
  <cols>
    <col min="1" max="1" width="9.140625" style="25"/>
    <col min="2" max="2" width="24.7109375" style="26" customWidth="1"/>
    <col min="3" max="3" width="26" style="26" customWidth="1"/>
    <col min="4" max="4" width="16.7109375" style="51" bestFit="1" customWidth="1"/>
    <col min="5" max="5" width="19.7109375" style="26" customWidth="1"/>
    <col min="6" max="6" width="19.42578125" style="26" bestFit="1" customWidth="1"/>
    <col min="7" max="16384" width="9.140625" style="25"/>
  </cols>
  <sheetData>
    <row r="2" spans="1:10" s="26" customFormat="1" x14ac:dyDescent="0.25">
      <c r="A2" s="25"/>
      <c r="B2" s="223" t="s">
        <v>100</v>
      </c>
      <c r="C2" s="223" t="s">
        <v>0</v>
      </c>
      <c r="D2" s="223" t="s">
        <v>65</v>
      </c>
      <c r="I2" s="25"/>
      <c r="J2" s="25"/>
    </row>
    <row r="3" spans="1:10" s="26" customFormat="1" ht="63" x14ac:dyDescent="0.25">
      <c r="A3" s="25"/>
      <c r="B3" s="33" t="s">
        <v>134</v>
      </c>
      <c r="C3" s="33" t="s">
        <v>101</v>
      </c>
      <c r="D3" s="33"/>
      <c r="I3" s="25"/>
      <c r="J3" s="25"/>
    </row>
    <row r="4" spans="1:10" s="26" customFormat="1" ht="31.5" x14ac:dyDescent="0.25">
      <c r="B4" s="33" t="s">
        <v>135</v>
      </c>
      <c r="C4" s="33" t="s">
        <v>102</v>
      </c>
      <c r="D4" s="33">
        <v>1.7066041946752576E-2</v>
      </c>
    </row>
    <row r="5" spans="1:10" s="26" customFormat="1" ht="78.75" x14ac:dyDescent="0.25">
      <c r="B5" s="33" t="s">
        <v>130</v>
      </c>
      <c r="C5" s="33" t="s">
        <v>136</v>
      </c>
      <c r="D5" s="33">
        <v>0.17</v>
      </c>
    </row>
    <row r="6" spans="1:10" s="26" customFormat="1" x14ac:dyDescent="0.25">
      <c r="B6" s="33" t="s">
        <v>131</v>
      </c>
      <c r="C6" s="33" t="s">
        <v>132</v>
      </c>
      <c r="D6" s="33"/>
    </row>
    <row r="7" spans="1:10" s="26" customFormat="1" x14ac:dyDescent="0.25">
      <c r="B7" s="40"/>
      <c r="C7" s="40"/>
      <c r="D7" s="50"/>
      <c r="E7" s="40"/>
      <c r="F7" s="40"/>
    </row>
    <row r="8" spans="1:10" s="26" customFormat="1" ht="21.75" customHeight="1" x14ac:dyDescent="0.25">
      <c r="B8" s="196" t="s">
        <v>60</v>
      </c>
      <c r="C8" s="196" t="s">
        <v>133</v>
      </c>
      <c r="D8" s="224" t="s">
        <v>137</v>
      </c>
      <c r="E8" s="209" t="s">
        <v>51</v>
      </c>
      <c r="F8" s="209" t="s">
        <v>138</v>
      </c>
    </row>
    <row r="9" spans="1:10" s="26" customFormat="1" ht="15.75" customHeight="1" x14ac:dyDescent="0.25">
      <c r="B9" s="182">
        <v>0.5</v>
      </c>
      <c r="C9" s="107">
        <v>1.6897410325338917E-2</v>
      </c>
      <c r="D9" s="114">
        <f>(C9/0.017066042)*0.17</f>
        <v>0.16832020894520333</v>
      </c>
      <c r="E9" s="88">
        <v>49.466843858403671</v>
      </c>
      <c r="F9" s="107">
        <f>D9*E9</f>
        <v>8.3262694941062545</v>
      </c>
    </row>
    <row r="10" spans="1:10" s="26" customFormat="1" ht="15.75" customHeight="1" x14ac:dyDescent="0.25">
      <c r="B10" s="183">
        <v>1</v>
      </c>
      <c r="C10" s="107">
        <v>1.6847057519224003E-2</v>
      </c>
      <c r="D10" s="114">
        <f t="shared" ref="D10:D69" si="0">(C10/0.017066042)*0.17</f>
        <v>0.16781862943194917</v>
      </c>
      <c r="E10" s="88">
        <v>61.232701371812148</v>
      </c>
      <c r="F10" s="107">
        <f>D10*E10</f>
        <v>10.275988020633349</v>
      </c>
    </row>
    <row r="11" spans="1:10" s="26" customFormat="1" x14ac:dyDescent="0.25">
      <c r="B11" s="184">
        <v>2</v>
      </c>
      <c r="C11" s="32">
        <v>1.7317457766952645E-2</v>
      </c>
      <c r="D11" s="70">
        <f t="shared" si="0"/>
        <v>0.17250442840712277</v>
      </c>
      <c r="E11" s="61">
        <v>79.269454745647479</v>
      </c>
      <c r="F11" s="32">
        <f t="shared" ref="F11:F69" si="1">D11*E11</f>
        <v>13.674331981042204</v>
      </c>
    </row>
    <row r="12" spans="1:10" s="26" customFormat="1" x14ac:dyDescent="0.25">
      <c r="B12" s="184">
        <v>3</v>
      </c>
      <c r="C12" s="32">
        <v>1.7804629732170309E-2</v>
      </c>
      <c r="D12" s="70">
        <f t="shared" si="0"/>
        <v>0.17735729552692728</v>
      </c>
      <c r="E12" s="61">
        <v>89.669891790284495</v>
      </c>
      <c r="F12" s="32">
        <f t="shared" si="1"/>
        <v>15.903609498117078</v>
      </c>
    </row>
    <row r="13" spans="1:10" s="26" customFormat="1" x14ac:dyDescent="0.25">
      <c r="B13" s="184">
        <v>4</v>
      </c>
      <c r="C13" s="32">
        <v>1.8438394861032915E-2</v>
      </c>
      <c r="D13" s="70">
        <f t="shared" si="0"/>
        <v>0.18367042143547965</v>
      </c>
      <c r="E13" s="61">
        <v>98.271318656917629</v>
      </c>
      <c r="F13" s="32">
        <f t="shared" si="1"/>
        <v>18.049534512736376</v>
      </c>
    </row>
    <row r="14" spans="1:10" s="26" customFormat="1" x14ac:dyDescent="0.25">
      <c r="B14" s="183">
        <v>5</v>
      </c>
      <c r="C14" s="107">
        <v>1.8936891575193102E-2</v>
      </c>
      <c r="D14" s="114">
        <f t="shared" si="0"/>
        <v>0.18863609780069845</v>
      </c>
      <c r="E14" s="88">
        <v>106.04282917408814</v>
      </c>
      <c r="F14" s="107">
        <f t="shared" si="1"/>
        <v>20.003505495146051</v>
      </c>
    </row>
    <row r="15" spans="1:10" s="26" customFormat="1" x14ac:dyDescent="0.25">
      <c r="B15" s="184">
        <v>6</v>
      </c>
      <c r="C15" s="32">
        <v>1.9227699963487908E-2</v>
      </c>
      <c r="D15" s="70">
        <f t="shared" si="0"/>
        <v>0.1915329280094907</v>
      </c>
      <c r="E15" s="61">
        <v>113.64540784385582</v>
      </c>
      <c r="F15" s="32">
        <f t="shared" si="1"/>
        <v>21.766837719166446</v>
      </c>
    </row>
    <row r="16" spans="1:10" s="26" customFormat="1" x14ac:dyDescent="0.25">
      <c r="B16" s="184">
        <v>7</v>
      </c>
      <c r="C16" s="32">
        <v>1.9330662383133541E-2</v>
      </c>
      <c r="D16" s="70">
        <f t="shared" si="0"/>
        <v>0.19255856777644767</v>
      </c>
      <c r="E16" s="61">
        <v>121.70953635280681</v>
      </c>
      <c r="F16" s="32">
        <f t="shared" si="1"/>
        <v>23.436214004831971</v>
      </c>
    </row>
    <row r="17" spans="2:10" s="26" customFormat="1" x14ac:dyDescent="0.25">
      <c r="B17" s="184">
        <v>8</v>
      </c>
      <c r="C17" s="32">
        <v>1.9284174501082788E-2</v>
      </c>
      <c r="D17" s="70">
        <f t="shared" si="0"/>
        <v>0.19209548793938711</v>
      </c>
      <c r="E17" s="61">
        <v>130.73889715023464</v>
      </c>
      <c r="F17" s="32">
        <f t="shared" si="1"/>
        <v>25.114352240731669</v>
      </c>
    </row>
    <row r="18" spans="2:10" s="26" customFormat="1" ht="23.25" x14ac:dyDescent="0.25">
      <c r="B18" s="184">
        <v>9</v>
      </c>
      <c r="C18" s="32">
        <v>1.9159386510947507E-2</v>
      </c>
      <c r="D18" s="70">
        <f t="shared" si="0"/>
        <v>0.19085243707129493</v>
      </c>
      <c r="E18" s="61">
        <v>141.10539186524957</v>
      </c>
      <c r="F18" s="32">
        <f t="shared" si="1"/>
        <v>26.930307921382955</v>
      </c>
      <c r="J18" s="39"/>
    </row>
    <row r="19" spans="2:10" s="26" customFormat="1" ht="23.25" x14ac:dyDescent="0.25">
      <c r="B19" s="183">
        <v>10</v>
      </c>
      <c r="C19" s="107">
        <v>1.9066725893904915E-2</v>
      </c>
      <c r="D19" s="114">
        <f t="shared" si="0"/>
        <v>0.1899294166722334</v>
      </c>
      <c r="E19" s="88">
        <v>153.00935276013391</v>
      </c>
      <c r="F19" s="107">
        <f t="shared" si="1"/>
        <v>29.060977115128217</v>
      </c>
      <c r="J19" s="39"/>
    </row>
    <row r="20" spans="2:10" s="26" customFormat="1" ht="23.25" x14ac:dyDescent="0.25">
      <c r="B20" s="184">
        <v>11</v>
      </c>
      <c r="C20" s="32">
        <v>1.9062879511209226E-2</v>
      </c>
      <c r="D20" s="70">
        <f t="shared" si="0"/>
        <v>0.18989110169221243</v>
      </c>
      <c r="E20" s="61">
        <v>166.03242262763644</v>
      </c>
      <c r="F20" s="32">
        <f t="shared" si="1"/>
        <v>31.528079649388904</v>
      </c>
      <c r="J20" s="39"/>
    </row>
    <row r="21" spans="2:10" s="26" customFormat="1" ht="23.25" x14ac:dyDescent="0.25">
      <c r="B21" s="184">
        <v>12</v>
      </c>
      <c r="C21" s="32">
        <v>1.9012365374692454E-2</v>
      </c>
      <c r="D21" s="70">
        <f t="shared" si="0"/>
        <v>0.18938791511808759</v>
      </c>
      <c r="E21" s="61">
        <v>178.32088884241367</v>
      </c>
      <c r="F21" s="32">
        <f t="shared" si="1"/>
        <v>33.771821359868973</v>
      </c>
      <c r="J21" s="39"/>
    </row>
    <row r="22" spans="2:10" s="26" customFormat="1" ht="23.25" x14ac:dyDescent="0.25">
      <c r="B22" s="184">
        <v>13</v>
      </c>
      <c r="C22" s="32">
        <v>1.880387504494458E-2</v>
      </c>
      <c r="D22" s="70">
        <f t="shared" si="0"/>
        <v>0.18731107995870272</v>
      </c>
      <c r="E22" s="61">
        <v>187.97029514318575</v>
      </c>
      <c r="F22" s="32">
        <f t="shared" si="1"/>
        <v>35.208918983426216</v>
      </c>
      <c r="J22" s="39"/>
    </row>
    <row r="23" spans="2:10" s="26" customFormat="1" ht="23.25" x14ac:dyDescent="0.25">
      <c r="B23" s="184">
        <v>14</v>
      </c>
      <c r="C23" s="32">
        <v>1.8520710687704736E-2</v>
      </c>
      <c r="D23" s="70">
        <f t="shared" si="0"/>
        <v>0.1844903942525048</v>
      </c>
      <c r="E23" s="61">
        <v>194.82374003746926</v>
      </c>
      <c r="F23" s="32">
        <f t="shared" si="1"/>
        <v>35.943108609260207</v>
      </c>
      <c r="J23" s="39"/>
    </row>
    <row r="24" spans="2:10" s="26" customFormat="1" x14ac:dyDescent="0.25">
      <c r="B24" s="184">
        <v>15</v>
      </c>
      <c r="C24" s="32">
        <v>1.8259697072327462E-2</v>
      </c>
      <c r="D24" s="70">
        <f t="shared" si="0"/>
        <v>0.18189035877772181</v>
      </c>
      <c r="E24" s="61">
        <v>199.4801398207976</v>
      </c>
      <c r="F24" s="32">
        <f t="shared" si="1"/>
        <v>36.28351420103499</v>
      </c>
    </row>
    <row r="25" spans="2:10" s="26" customFormat="1" x14ac:dyDescent="0.25">
      <c r="B25" s="184">
        <v>16</v>
      </c>
      <c r="C25" s="32">
        <v>1.8053743052964186E-2</v>
      </c>
      <c r="D25" s="70">
        <f t="shared" si="0"/>
        <v>0.17983878857229529</v>
      </c>
      <c r="E25" s="61">
        <v>202.48979361606706</v>
      </c>
      <c r="F25" s="32">
        <f t="shared" si="1"/>
        <v>36.415519182167593</v>
      </c>
    </row>
    <row r="26" spans="2:10" s="26" customFormat="1" x14ac:dyDescent="0.25">
      <c r="B26" s="184">
        <v>17</v>
      </c>
      <c r="C26" s="32">
        <v>1.7899040776035668E-2</v>
      </c>
      <c r="D26" s="70">
        <f t="shared" si="0"/>
        <v>0.17829775245637294</v>
      </c>
      <c r="E26" s="61">
        <v>204.29504115166876</v>
      </c>
      <c r="F26" s="32">
        <f t="shared" si="1"/>
        <v>36.425346675324761</v>
      </c>
    </row>
    <row r="27" spans="2:10" s="26" customFormat="1" x14ac:dyDescent="0.25">
      <c r="B27" s="184">
        <v>18</v>
      </c>
      <c r="C27" s="32">
        <v>1.7781018850398813E-2</v>
      </c>
      <c r="D27" s="70">
        <f t="shared" si="0"/>
        <v>0.17712210040077239</v>
      </c>
      <c r="E27" s="61">
        <v>205.2537931108109</v>
      </c>
      <c r="F27" s="32">
        <f t="shared" si="1"/>
        <v>36.354982951012417</v>
      </c>
    </row>
    <row r="28" spans="2:10" s="26" customFormat="1" x14ac:dyDescent="0.25">
      <c r="B28" s="184">
        <v>19</v>
      </c>
      <c r="C28" s="32">
        <v>1.7685349646471643E-2</v>
      </c>
      <c r="D28" s="70">
        <f t="shared" si="0"/>
        <v>0.17616911055886184</v>
      </c>
      <c r="E28" s="61">
        <v>205.64335947358896</v>
      </c>
      <c r="F28" s="32">
        <f t="shared" si="1"/>
        <v>36.22800773079846</v>
      </c>
    </row>
    <row r="29" spans="2:10" s="26" customFormat="1" x14ac:dyDescent="0.25">
      <c r="B29" s="184">
        <v>20</v>
      </c>
      <c r="C29" s="32">
        <v>1.7601078016600772E-2</v>
      </c>
      <c r="D29" s="70">
        <f t="shared" si="0"/>
        <v>0.1753296553953243</v>
      </c>
      <c r="E29" s="61">
        <v>205.66705104266885</v>
      </c>
      <c r="F29" s="32">
        <f t="shared" si="1"/>
        <v>36.059533185483701</v>
      </c>
    </row>
    <row r="30" spans="2:10" s="26" customFormat="1" x14ac:dyDescent="0.25">
      <c r="B30" s="184">
        <v>21</v>
      </c>
      <c r="C30" s="32">
        <v>1.7520740287901522E-2</v>
      </c>
      <c r="D30" s="70">
        <f t="shared" si="0"/>
        <v>0.17452938700978582</v>
      </c>
      <c r="E30" s="61">
        <v>205.46731675134265</v>
      </c>
      <c r="F30" s="32">
        <f t="shared" si="1"/>
        <v>35.860084843157331</v>
      </c>
    </row>
    <row r="31" spans="2:10" s="26" customFormat="1" x14ac:dyDescent="0.25">
      <c r="B31" s="184">
        <v>22</v>
      </c>
      <c r="C31" s="32">
        <v>1.7432358895589715E-2</v>
      </c>
      <c r="D31" s="70">
        <f t="shared" si="0"/>
        <v>0.17364899326101813</v>
      </c>
      <c r="E31" s="61">
        <v>205.27875596791566</v>
      </c>
      <c r="F31" s="32">
        <f t="shared" si="1"/>
        <v>35.646449311702767</v>
      </c>
    </row>
    <row r="32" spans="2:10" s="26" customFormat="1" x14ac:dyDescent="0.25">
      <c r="B32" s="184">
        <v>23</v>
      </c>
      <c r="C32" s="32">
        <v>1.7329368581026301E-2</v>
      </c>
      <c r="D32" s="70">
        <f t="shared" si="0"/>
        <v>0.17262307562435811</v>
      </c>
      <c r="E32" s="61">
        <v>205.24329508254439</v>
      </c>
      <c r="F32" s="32">
        <f t="shared" si="1"/>
        <v>35.429728848426507</v>
      </c>
    </row>
    <row r="33" spans="2:6" s="26" customFormat="1" x14ac:dyDescent="0.25">
      <c r="B33" s="184">
        <v>24</v>
      </c>
      <c r="C33" s="32">
        <v>1.7200435864249131E-2</v>
      </c>
      <c r="D33" s="70">
        <f t="shared" si="0"/>
        <v>0.17133873788206733</v>
      </c>
      <c r="E33" s="61">
        <v>205.59997876773525</v>
      </c>
      <c r="F33" s="32">
        <f t="shared" si="1"/>
        <v>35.227240870643598</v>
      </c>
    </row>
    <row r="34" spans="2:6" s="26" customFormat="1" x14ac:dyDescent="0.25">
      <c r="B34" s="185">
        <v>25</v>
      </c>
      <c r="C34" s="109">
        <v>1.7066041946752576E-2</v>
      </c>
      <c r="D34" s="114">
        <f t="shared" si="0"/>
        <v>0.16999999946958635</v>
      </c>
      <c r="E34" s="115">
        <v>205.97039349050775</v>
      </c>
      <c r="F34" s="113">
        <f t="shared" si="1"/>
        <v>35.01496678413681</v>
      </c>
    </row>
    <row r="35" spans="2:6" s="26" customFormat="1" x14ac:dyDescent="0.25">
      <c r="B35" s="184">
        <v>26</v>
      </c>
      <c r="C35" s="32">
        <v>1.6991716669710413E-2</v>
      </c>
      <c r="D35" s="70">
        <f t="shared" si="0"/>
        <v>0.16925962293136104</v>
      </c>
      <c r="E35" s="61">
        <v>206.35418686238347</v>
      </c>
      <c r="F35" s="32">
        <f t="shared" si="1"/>
        <v>34.927431858634641</v>
      </c>
    </row>
    <row r="36" spans="2:6" s="26" customFormat="1" x14ac:dyDescent="0.25">
      <c r="B36" s="184">
        <v>27</v>
      </c>
      <c r="C36" s="32">
        <v>1.6920417647616919E-2</v>
      </c>
      <c r="D36" s="70">
        <f t="shared" si="0"/>
        <v>0.16854939183290868</v>
      </c>
      <c r="E36" s="61">
        <v>206.75082191352308</v>
      </c>
      <c r="F36" s="32">
        <f t="shared" si="1"/>
        <v>34.847725294478323</v>
      </c>
    </row>
    <row r="37" spans="2:6" s="26" customFormat="1" x14ac:dyDescent="0.25">
      <c r="B37" s="184">
        <v>28</v>
      </c>
      <c r="C37" s="32">
        <v>1.685207462407895E-2</v>
      </c>
      <c r="D37" s="70">
        <f t="shared" si="0"/>
        <v>0.16786860632907277</v>
      </c>
      <c r="E37" s="61">
        <v>207.15958839353027</v>
      </c>
      <c r="F37" s="32">
        <f t="shared" si="1"/>
        <v>34.775591391326287</v>
      </c>
    </row>
    <row r="38" spans="2:6" s="26" customFormat="1" x14ac:dyDescent="0.25">
      <c r="B38" s="184">
        <v>29</v>
      </c>
      <c r="C38" s="32">
        <v>1.6786620365978278E-2</v>
      </c>
      <c r="D38" s="70">
        <f t="shared" si="0"/>
        <v>0.16721659669045155</v>
      </c>
      <c r="E38" s="61">
        <v>207.57961294529005</v>
      </c>
      <c r="F38" s="32">
        <f t="shared" si="1"/>
        <v>34.710756419032606</v>
      </c>
    </row>
    <row r="39" spans="2:6" s="26" customFormat="1" x14ac:dyDescent="0.25">
      <c r="B39" s="184">
        <v>30</v>
      </c>
      <c r="C39" s="32">
        <v>1.6723990649540152E-2</v>
      </c>
      <c r="D39" s="70">
        <f t="shared" si="0"/>
        <v>0.16659272316462281</v>
      </c>
      <c r="E39" s="61">
        <v>208.00986859609719</v>
      </c>
      <c r="F39" s="32">
        <f t="shared" si="1"/>
        <v>34.652930454539188</v>
      </c>
    </row>
    <row r="40" spans="2:6" s="26" customFormat="1" x14ac:dyDescent="0.25">
      <c r="B40" s="184">
        <v>31</v>
      </c>
      <c r="C40" s="32">
        <v>1.6664124239894364E-2</v>
      </c>
      <c r="D40" s="70">
        <f t="shared" si="0"/>
        <v>0.16599637577254539</v>
      </c>
      <c r="E40" s="61">
        <v>208.44918372324065</v>
      </c>
      <c r="F40" s="32">
        <f t="shared" si="1"/>
        <v>34.601809030803409</v>
      </c>
    </row>
    <row r="41" spans="2:6" s="26" customFormat="1" x14ac:dyDescent="0.25">
      <c r="B41" s="184">
        <v>32</v>
      </c>
      <c r="C41" s="32">
        <v>1.6606962868848232E-2</v>
      </c>
      <c r="D41" s="70">
        <f t="shared" si="0"/>
        <v>0.16542697408714918</v>
      </c>
      <c r="E41" s="61">
        <v>208.89625056718685</v>
      </c>
      <c r="F41" s="32">
        <f t="shared" si="1"/>
        <v>34.557074629480645</v>
      </c>
    </row>
    <row r="42" spans="2:6" s="26" customFormat="1" x14ac:dyDescent="0.25">
      <c r="B42" s="184">
        <v>33</v>
      </c>
      <c r="C42" s="32">
        <v>1.6552451212197818E-2</v>
      </c>
      <c r="D42" s="70">
        <f t="shared" si="0"/>
        <v>0.16488396700732538</v>
      </c>
      <c r="E42" s="61">
        <v>209.34963333899415</v>
      </c>
      <c r="F42" s="32">
        <f t="shared" si="1"/>
        <v>34.518398036462379</v>
      </c>
    </row>
    <row r="43" spans="2:6" s="26" customFormat="1" x14ac:dyDescent="0.25">
      <c r="B43" s="184">
        <v>34</v>
      </c>
      <c r="C43" s="32">
        <v>1.650053686695005E-2</v>
      </c>
      <c r="D43" s="70">
        <f t="shared" si="0"/>
        <v>0.16436683253102907</v>
      </c>
      <c r="E43" s="61">
        <v>209.8077759586036</v>
      </c>
      <c r="F43" s="32">
        <f t="shared" si="1"/>
        <v>34.485439574695462</v>
      </c>
    </row>
    <row r="44" spans="2:6" s="26" customFormat="1" x14ac:dyDescent="0.25">
      <c r="B44" s="184">
        <v>35</v>
      </c>
      <c r="C44" s="32">
        <v>1.6451170328560433E-2</v>
      </c>
      <c r="D44" s="70">
        <f t="shared" si="0"/>
        <v>0.16387507752853731</v>
      </c>
      <c r="E44" s="61">
        <v>210.26900945560351</v>
      </c>
      <c r="F44" s="32">
        <f t="shared" si="1"/>
        <v>34.457850226385766</v>
      </c>
    </row>
    <row r="45" spans="2:6" s="26" customFormat="1" x14ac:dyDescent="0.25">
      <c r="B45" s="184">
        <v>36</v>
      </c>
      <c r="C45" s="32">
        <v>1.6404304968215811E-2</v>
      </c>
      <c r="D45" s="70">
        <f t="shared" si="0"/>
        <v>0.16340823751615566</v>
      </c>
      <c r="E45" s="61">
        <v>210.73155906067953</v>
      </c>
      <c r="F45" s="32">
        <f t="shared" si="1"/>
        <v>34.435272655137304</v>
      </c>
    </row>
    <row r="46" spans="2:6" s="26" customFormat="1" x14ac:dyDescent="0.25">
      <c r="B46" s="184">
        <v>37</v>
      </c>
      <c r="C46" s="32">
        <v>1.6359897010170276E-2</v>
      </c>
      <c r="D46" s="70">
        <f t="shared" si="0"/>
        <v>0.16296587643045454</v>
      </c>
      <c r="E46" s="61">
        <v>211.1935510132509</v>
      </c>
      <c r="F46" s="32">
        <f t="shared" si="1"/>
        <v>34.417342137334344</v>
      </c>
    </row>
    <row r="47" spans="2:6" s="26" customFormat="1" x14ac:dyDescent="0.25">
      <c r="B47" s="184">
        <v>38</v>
      </c>
      <c r="C47" s="32">
        <v>1.6317905509136768E-2</v>
      </c>
      <c r="D47" s="70">
        <f t="shared" si="0"/>
        <v>0.16254758640306</v>
      </c>
      <c r="E47" s="61">
        <v>211.65301910849067</v>
      </c>
      <c r="F47" s="32">
        <f t="shared" si="1"/>
        <v>34.403687411005897</v>
      </c>
    </row>
    <row r="48" spans="2:6" s="26" customFormat="1" x14ac:dyDescent="0.25">
      <c r="B48" s="184">
        <v>39</v>
      </c>
      <c r="C48" s="32">
        <v>1.6278292327734822E-2</v>
      </c>
      <c r="D48" s="70">
        <f t="shared" si="0"/>
        <v>0.16215298753600393</v>
      </c>
      <c r="E48" s="61">
        <v>212.10791100489331</v>
      </c>
      <c r="F48" s="32">
        <f t="shared" si="1"/>
        <v>34.393931449464297</v>
      </c>
    </row>
    <row r="49" spans="2:6" s="26" customFormat="1" x14ac:dyDescent="0.25">
      <c r="B49" s="184">
        <v>40</v>
      </c>
      <c r="C49" s="32">
        <v>1.6241022113994762E-2</v>
      </c>
      <c r="D49" s="70">
        <f t="shared" si="0"/>
        <v>0.16178172767763666</v>
      </c>
      <c r="E49" s="61">
        <v>212.55609431176018</v>
      </c>
      <c r="F49" s="32">
        <f t="shared" si="1"/>
        <v>34.387692166167241</v>
      </c>
    </row>
    <row r="50" spans="2:6" s="26" customFormat="1" x14ac:dyDescent="0.25">
      <c r="B50" s="184">
        <v>41</v>
      </c>
      <c r="C50" s="32">
        <v>1.6206062278918354E-2</v>
      </c>
      <c r="D50" s="70">
        <f t="shared" si="0"/>
        <v>0.16143348219910161</v>
      </c>
      <c r="E50" s="61">
        <v>212.99536247437496</v>
      </c>
      <c r="F50" s="32">
        <f t="shared" si="1"/>
        <v>34.384583056498208</v>
      </c>
    </row>
    <row r="51" spans="2:6" s="26" customFormat="1" x14ac:dyDescent="0.25">
      <c r="B51" s="184">
        <v>42</v>
      </c>
      <c r="C51" s="32">
        <v>1.6173382974095877E-2</v>
      </c>
      <c r="D51" s="70">
        <f t="shared" si="0"/>
        <v>0.16110795377137238</v>
      </c>
      <c r="E51" s="61">
        <v>213.42344047321978</v>
      </c>
      <c r="F51" s="32">
        <f t="shared" si="1"/>
        <v>34.384213781486736</v>
      </c>
    </row>
    <row r="52" spans="2:6" s="26" customFormat="1" x14ac:dyDescent="0.25">
      <c r="B52" s="184">
        <v>43</v>
      </c>
      <c r="C52" s="32">
        <v>1.6142957069379796E-2</v>
      </c>
      <c r="D52" s="70">
        <f t="shared" si="0"/>
        <v>0.16080487214285336</v>
      </c>
      <c r="E52" s="61">
        <v>213.83799035230874</v>
      </c>
      <c r="F52" s="32">
        <f t="shared" si="1"/>
        <v>34.386190697887713</v>
      </c>
    </row>
    <row r="53" spans="2:6" s="26" customFormat="1" x14ac:dyDescent="0.25">
      <c r="B53" s="184">
        <v>44</v>
      </c>
      <c r="C53" s="32">
        <v>1.6114760130614747E-2</v>
      </c>
      <c r="D53" s="70">
        <f t="shared" si="0"/>
        <v>0.16052399391754146</v>
      </c>
      <c r="E53" s="61">
        <v>214.23661659058786</v>
      </c>
      <c r="F53" s="32">
        <f t="shared" si="1"/>
        <v>34.390117338502186</v>
      </c>
    </row>
    <row r="54" spans="2:6" s="26" customFormat="1" x14ac:dyDescent="0.25">
      <c r="B54" s="184">
        <v>45</v>
      </c>
      <c r="C54" s="32">
        <v>1.6088770397424141E-2</v>
      </c>
      <c r="D54" s="70">
        <f t="shared" si="0"/>
        <v>0.16026510233375169</v>
      </c>
      <c r="E54" s="61">
        <v>214.61687132933579</v>
      </c>
      <c r="F54" s="32">
        <f t="shared" si="1"/>
        <v>34.39559484614562</v>
      </c>
    </row>
    <row r="55" spans="2:6" s="26" customFormat="1" x14ac:dyDescent="0.25">
      <c r="B55" s="184">
        <v>46</v>
      </c>
      <c r="C55" s="32">
        <v>1.6064968761053202E-2</v>
      </c>
      <c r="D55" s="70">
        <f t="shared" si="0"/>
        <v>0.16002800704340495</v>
      </c>
      <c r="E55" s="61">
        <v>214.9762594675951</v>
      </c>
      <c r="F55" s="32">
        <f t="shared" si="1"/>
        <v>34.402222364245155</v>
      </c>
    </row>
    <row r="56" spans="2:6" s="26" customFormat="1" x14ac:dyDescent="0.25">
      <c r="B56" s="184">
        <v>47</v>
      </c>
      <c r="C56" s="32">
        <v>1.6043338742268452E-2</v>
      </c>
      <c r="D56" s="70">
        <f t="shared" si="0"/>
        <v>0.15981254389187821</v>
      </c>
      <c r="E56" s="61">
        <v>215.3122436368588</v>
      </c>
      <c r="F56" s="32">
        <f t="shared" si="1"/>
        <v>34.409597386674271</v>
      </c>
    </row>
    <row r="57" spans="2:6" s="26" customFormat="1" x14ac:dyDescent="0.25">
      <c r="B57" s="184">
        <v>48</v>
      </c>
      <c r="C57" s="32">
        <v>1.6023866469313704E-2</v>
      </c>
      <c r="D57" s="70">
        <f t="shared" si="0"/>
        <v>0.15961857469841748</v>
      </c>
      <c r="E57" s="61">
        <v>215.62224906551606</v>
      </c>
      <c r="F57" s="32">
        <f t="shared" si="1"/>
        <v>34.417316069104849</v>
      </c>
    </row>
    <row r="58" spans="2:6" s="26" customFormat="1" x14ac:dyDescent="0.25">
      <c r="B58" s="184">
        <v>49</v>
      </c>
      <c r="C58" s="32">
        <v>1.6006540655922562E-2</v>
      </c>
      <c r="D58" s="70">
        <f t="shared" si="0"/>
        <v>0.15944598703711357</v>
      </c>
      <c r="E58" s="61">
        <v>215.90366834291743</v>
      </c>
      <c r="F58" s="32">
        <f t="shared" si="1"/>
        <v>34.424973503870078</v>
      </c>
    </row>
    <row r="59" spans="2:6" s="26" customFormat="1" x14ac:dyDescent="0.25">
      <c r="B59" s="184">
        <v>50</v>
      </c>
      <c r="C59" s="32">
        <v>1.5991352579387341E-2</v>
      </c>
      <c r="D59" s="70">
        <f t="shared" si="0"/>
        <v>0.15929469401844012</v>
      </c>
      <c r="E59" s="61">
        <v>216.15386609235568</v>
      </c>
      <c r="F59" s="32">
        <f t="shared" si="1"/>
        <v>34.432163960084679</v>
      </c>
    </row>
    <row r="60" spans="2:6" s="26" customFormat="1" x14ac:dyDescent="0.25">
      <c r="B60" s="184">
        <v>51</v>
      </c>
      <c r="C60" s="32">
        <v>1.5978296058684515E-2</v>
      </c>
      <c r="D60" s="70">
        <f t="shared" si="0"/>
        <v>0.15916463407135453</v>
      </c>
      <c r="E60" s="61">
        <v>216.37018356173934</v>
      </c>
      <c r="F60" s="32">
        <f t="shared" si="1"/>
        <v>34.438481090556053</v>
      </c>
    </row>
    <row r="61" spans="2:6" s="26" customFormat="1" x14ac:dyDescent="0.25">
      <c r="B61" s="184">
        <v>52</v>
      </c>
      <c r="C61" s="32">
        <v>1.5967367432656608E-2</v>
      </c>
      <c r="D61" s="70">
        <f t="shared" si="0"/>
        <v>0.15905577072596117</v>
      </c>
      <c r="E61" s="61">
        <v>216.54994314030625</v>
      </c>
      <c r="F61" s="32">
        <f t="shared" si="1"/>
        <v>34.443518106844479</v>
      </c>
    </row>
    <row r="62" spans="2:6" s="26" customFormat="1" x14ac:dyDescent="0.25">
      <c r="B62" s="184">
        <v>53</v>
      </c>
      <c r="C62" s="32">
        <v>1.5958565538250612E-2</v>
      </c>
      <c r="D62" s="70">
        <f t="shared" si="0"/>
        <v>0.15896809239673759</v>
      </c>
      <c r="E62" s="61">
        <v>216.69045280931147</v>
      </c>
      <c r="F62" s="32">
        <f t="shared" si="1"/>
        <v>34.44686792368153</v>
      </c>
    </row>
    <row r="63" spans="2:6" s="26" customFormat="1" x14ac:dyDescent="0.25">
      <c r="B63" s="184">
        <v>54</v>
      </c>
      <c r="C63" s="32">
        <v>1.5951891688812815E-2</v>
      </c>
      <c r="D63" s="70">
        <f t="shared" si="0"/>
        <v>0.15890161216632298</v>
      </c>
      <c r="E63" s="61">
        <v>216.78901053429846</v>
      </c>
      <c r="F63" s="32">
        <f t="shared" si="1"/>
        <v>34.448123273842</v>
      </c>
    </row>
    <row r="64" spans="2:6" s="26" customFormat="1" x14ac:dyDescent="0.25">
      <c r="B64" s="184">
        <v>55</v>
      </c>
      <c r="C64" s="32">
        <v>1.5947349652440206E-2</v>
      </c>
      <c r="D64" s="70">
        <f t="shared" si="0"/>
        <v>0.15885636756986976</v>
      </c>
      <c r="E64" s="61">
        <v>216.84290860624836</v>
      </c>
      <c r="F64" s="32">
        <f t="shared" si="1"/>
        <v>34.446876794473866</v>
      </c>
    </row>
    <row r="65" spans="2:6" s="26" customFormat="1" x14ac:dyDescent="0.25">
      <c r="B65" s="184">
        <v>56</v>
      </c>
      <c r="C65" s="32">
        <v>1.5944945630388244E-2</v>
      </c>
      <c r="D65" s="70">
        <f t="shared" si="0"/>
        <v>0.15883242037995696</v>
      </c>
      <c r="E65" s="61">
        <v>216.84943793866213</v>
      </c>
      <c r="F65" s="32">
        <f t="shared" si="1"/>
        <v>34.442721085830968</v>
      </c>
    </row>
    <row r="66" spans="2:6" s="26" customFormat="1" x14ac:dyDescent="0.25">
      <c r="B66" s="184">
        <v>57</v>
      </c>
      <c r="C66" s="32">
        <v>1.5944688235535201E-2</v>
      </c>
      <c r="D66" s="70">
        <f t="shared" si="0"/>
        <v>0.15882985639206701</v>
      </c>
      <c r="E66" s="61">
        <v>216.80589232740476</v>
      </c>
      <c r="F66" s="32">
        <f t="shared" si="1"/>
        <v>34.43524874331564</v>
      </c>
    </row>
    <row r="67" spans="2:6" s="26" customFormat="1" x14ac:dyDescent="0.25">
      <c r="B67" s="184">
        <v>58</v>
      </c>
      <c r="C67" s="32">
        <v>1.594658847090295E-2</v>
      </c>
      <c r="D67" s="70">
        <f t="shared" si="0"/>
        <v>0.15884878521062479</v>
      </c>
      <c r="E67" s="61">
        <v>216.70957267997261</v>
      </c>
      <c r="F67" s="32">
        <f t="shared" si="1"/>
        <v>34.424052363727249</v>
      </c>
    </row>
    <row r="68" spans="2:6" s="26" customFormat="1" x14ac:dyDescent="0.25">
      <c r="B68" s="184">
        <v>59</v>
      </c>
      <c r="C68" s="32">
        <v>1.5950659708234217E-2</v>
      </c>
      <c r="D68" s="70">
        <f t="shared" si="0"/>
        <v>0.15888934003559918</v>
      </c>
      <c r="E68" s="61">
        <v>216.55779122070277</v>
      </c>
      <c r="F68" s="32">
        <f t="shared" si="1"/>
        <v>34.408724526624539</v>
      </c>
    </row>
    <row r="69" spans="2:6" s="26" customFormat="1" x14ac:dyDescent="0.25">
      <c r="B69" s="184">
        <v>60</v>
      </c>
      <c r="C69" s="32">
        <v>1.5956917666626321E-2</v>
      </c>
      <c r="D69" s="70">
        <f t="shared" si="0"/>
        <v>0.15895167744966729</v>
      </c>
      <c r="E69" s="61">
        <v>216.34787567834101</v>
      </c>
      <c r="F69" s="32">
        <f t="shared" si="1"/>
        <v>34.388857751744382</v>
      </c>
    </row>
    <row r="70" spans="2:6" s="26" customFormat="1" x14ac:dyDescent="0.25">
      <c r="D70" s="49"/>
    </row>
    <row r="71" spans="2:6" s="26" customFormat="1" x14ac:dyDescent="0.25">
      <c r="D71" s="49"/>
    </row>
  </sheetData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1:F68"/>
  <sheetViews>
    <sheetView zoomScale="80" zoomScaleNormal="80" workbookViewId="0">
      <selection activeCell="E8" sqref="E8:E68"/>
    </sheetView>
  </sheetViews>
  <sheetFormatPr defaultRowHeight="15" x14ac:dyDescent="0.25"/>
  <cols>
    <col min="2" max="2" width="16" customWidth="1"/>
    <col min="3" max="3" width="21.5703125" customWidth="1"/>
    <col min="4" max="5" width="11.42578125" customWidth="1"/>
    <col min="6" max="6" width="16.140625" customWidth="1"/>
  </cols>
  <sheetData>
    <row r="1" spans="2:6" ht="15.75" x14ac:dyDescent="0.25">
      <c r="B1" s="223" t="s">
        <v>100</v>
      </c>
      <c r="C1" s="223" t="s">
        <v>0</v>
      </c>
      <c r="D1" s="223" t="s">
        <v>65</v>
      </c>
      <c r="E1" s="26"/>
      <c r="F1" s="26"/>
    </row>
    <row r="2" spans="2:6" ht="63" x14ac:dyDescent="0.25">
      <c r="B2" s="33" t="s">
        <v>196</v>
      </c>
      <c r="C2" s="33" t="s">
        <v>101</v>
      </c>
      <c r="D2" s="33"/>
      <c r="E2" s="26"/>
      <c r="F2" s="26"/>
    </row>
    <row r="3" spans="2:6" ht="31.5" x14ac:dyDescent="0.25">
      <c r="B3" s="33" t="s">
        <v>198</v>
      </c>
      <c r="C3" s="33" t="s">
        <v>102</v>
      </c>
      <c r="D3" s="33">
        <v>4.2000000000000003E-2</v>
      </c>
      <c r="E3" s="26"/>
      <c r="F3" s="26"/>
    </row>
    <row r="4" spans="2:6" ht="15.75" x14ac:dyDescent="0.25">
      <c r="B4" s="33" t="s">
        <v>199</v>
      </c>
      <c r="C4" s="33"/>
      <c r="D4" s="33">
        <v>0.215</v>
      </c>
      <c r="E4" s="26"/>
      <c r="F4" s="26"/>
    </row>
    <row r="5" spans="2:6" ht="15.75" x14ac:dyDescent="0.25">
      <c r="B5" s="33" t="s">
        <v>200</v>
      </c>
      <c r="C5" s="33" t="s">
        <v>201</v>
      </c>
      <c r="D5" s="33"/>
      <c r="E5" s="26"/>
      <c r="F5" s="26"/>
    </row>
    <row r="6" spans="2:6" ht="15.75" x14ac:dyDescent="0.25">
      <c r="B6" s="40"/>
      <c r="C6" s="40"/>
      <c r="D6" s="50"/>
      <c r="E6" s="40"/>
      <c r="F6" s="40"/>
    </row>
    <row r="7" spans="2:6" ht="23.25" customHeight="1" x14ac:dyDescent="0.25">
      <c r="B7" s="196" t="s">
        <v>60</v>
      </c>
      <c r="C7" s="196" t="s">
        <v>197</v>
      </c>
      <c r="D7" s="224" t="s">
        <v>202</v>
      </c>
      <c r="E7" s="209" t="s">
        <v>51</v>
      </c>
      <c r="F7" s="209" t="s">
        <v>203</v>
      </c>
    </row>
    <row r="8" spans="2:6" s="87" customFormat="1" ht="15.75" x14ac:dyDescent="0.25">
      <c r="B8" s="182">
        <v>0.5</v>
      </c>
      <c r="C8" s="107">
        <v>4.1635219041635085E-2</v>
      </c>
      <c r="D8" s="114">
        <f>(C8/0.042)*0.215</f>
        <v>0.21313266890360816</v>
      </c>
      <c r="E8" s="88">
        <v>49.466843858403671</v>
      </c>
      <c r="F8" s="107">
        <f>D8*E8</f>
        <v>10.543000453779632</v>
      </c>
    </row>
    <row r="9" spans="2:6" s="87" customFormat="1" ht="15.75" x14ac:dyDescent="0.25">
      <c r="B9" s="183">
        <v>1</v>
      </c>
      <c r="C9" s="107">
        <v>4.1511149727367941E-2</v>
      </c>
      <c r="D9" s="114">
        <f t="shared" ref="D9:D68" si="0">(C9/0.042)*0.215</f>
        <v>0.21249755217581207</v>
      </c>
      <c r="E9" s="88">
        <v>61.232701371812148</v>
      </c>
      <c r="F9" s="107">
        <f>D9*E9</f>
        <v>13.011799154622571</v>
      </c>
    </row>
    <row r="10" spans="2:6" s="87" customFormat="1" ht="15.75" x14ac:dyDescent="0.25">
      <c r="B10" s="184">
        <v>2</v>
      </c>
      <c r="C10" s="32">
        <v>4.2670215937771316E-2</v>
      </c>
      <c r="D10" s="70">
        <f t="shared" si="0"/>
        <v>0.21843086730049602</v>
      </c>
      <c r="E10" s="61">
        <v>79.269454745647479</v>
      </c>
      <c r="F10" s="32">
        <f t="shared" ref="F10:F68" si="1">D10*E10</f>
        <v>17.3148957505292</v>
      </c>
    </row>
    <row r="11" spans="2:6" s="87" customFormat="1" ht="15.75" x14ac:dyDescent="0.25">
      <c r="B11" s="184">
        <v>3</v>
      </c>
      <c r="C11" s="32">
        <v>4.3870607660067645E-2</v>
      </c>
      <c r="D11" s="70">
        <f t="shared" si="0"/>
        <v>0.2245757296884415</v>
      </c>
      <c r="E11" s="61">
        <v>89.669891790284495</v>
      </c>
      <c r="F11" s="32">
        <f t="shared" si="1"/>
        <v>20.137681379886729</v>
      </c>
    </row>
    <row r="12" spans="2:6" s="87" customFormat="1" ht="15.75" x14ac:dyDescent="0.25">
      <c r="B12" s="184">
        <v>4</v>
      </c>
      <c r="C12" s="32">
        <v>4.5432204937585104E-2</v>
      </c>
      <c r="D12" s="70">
        <f t="shared" si="0"/>
        <v>0.23256962051382851</v>
      </c>
      <c r="E12" s="61">
        <v>98.271318656917629</v>
      </c>
      <c r="F12" s="32">
        <f t="shared" si="1"/>
        <v>22.85492328743285</v>
      </c>
    </row>
    <row r="13" spans="2:6" s="87" customFormat="1" ht="15.75" x14ac:dyDescent="0.25">
      <c r="B13" s="183">
        <v>5</v>
      </c>
      <c r="C13" s="107">
        <v>4.66605008412758E-2</v>
      </c>
      <c r="D13" s="114">
        <f t="shared" si="0"/>
        <v>0.23885732573510229</v>
      </c>
      <c r="E13" s="88">
        <v>106.04282917408814</v>
      </c>
      <c r="F13" s="107">
        <f t="shared" si="1"/>
        <v>25.329106589906978</v>
      </c>
    </row>
    <row r="14" spans="2:6" s="87" customFormat="1" ht="15.75" x14ac:dyDescent="0.25">
      <c r="B14" s="184">
        <v>6</v>
      </c>
      <c r="C14" s="32">
        <v>4.7377052710034208E-2</v>
      </c>
      <c r="D14" s="70">
        <f t="shared" si="0"/>
        <v>0.24252538887279415</v>
      </c>
      <c r="E14" s="61">
        <v>113.64540784385582</v>
      </c>
      <c r="F14" s="32">
        <f t="shared" si="1"/>
        <v>27.561896730938425</v>
      </c>
    </row>
    <row r="15" spans="2:6" s="87" customFormat="1" ht="15.75" x14ac:dyDescent="0.25">
      <c r="B15" s="184">
        <v>7</v>
      </c>
      <c r="C15" s="32">
        <v>4.7630752112041048E-2</v>
      </c>
      <c r="D15" s="70">
        <f t="shared" si="0"/>
        <v>0.24382408819259105</v>
      </c>
      <c r="E15" s="61">
        <v>121.70953635280681</v>
      </c>
      <c r="F15" s="32">
        <f t="shared" si="1"/>
        <v>29.675716725566133</v>
      </c>
    </row>
    <row r="16" spans="2:6" s="87" customFormat="1" ht="15.75" x14ac:dyDescent="0.25">
      <c r="B16" s="184">
        <v>8</v>
      </c>
      <c r="C16" s="32">
        <v>4.7516205970667989E-2</v>
      </c>
      <c r="D16" s="70">
        <f t="shared" si="0"/>
        <v>0.24323772104032421</v>
      </c>
      <c r="E16" s="61">
        <v>130.73889715023464</v>
      </c>
      <c r="F16" s="32">
        <f t="shared" si="1"/>
        <v>31.800631394148411</v>
      </c>
    </row>
    <row r="17" spans="2:6" s="87" customFormat="1" ht="15.75" x14ac:dyDescent="0.25">
      <c r="B17" s="184">
        <v>9</v>
      </c>
      <c r="C17" s="32">
        <v>4.7208728362974656E-2</v>
      </c>
      <c r="D17" s="70">
        <f t="shared" si="0"/>
        <v>0.24166372852475121</v>
      </c>
      <c r="E17" s="61">
        <v>141.10539186524957</v>
      </c>
      <c r="F17" s="32">
        <f t="shared" si="1"/>
        <v>34.100055113102307</v>
      </c>
    </row>
    <row r="18" spans="2:6" s="87" customFormat="1" ht="15.75" x14ac:dyDescent="0.25">
      <c r="B18" s="183">
        <v>10</v>
      </c>
      <c r="C18" s="107">
        <v>4.6980412602581713E-2</v>
      </c>
      <c r="D18" s="114">
        <f t="shared" si="0"/>
        <v>0.24049496927512065</v>
      </c>
      <c r="E18" s="88">
        <v>153.00935276013391</v>
      </c>
      <c r="F18" s="107">
        <f t="shared" si="1"/>
        <v>36.797979590854503</v>
      </c>
    </row>
    <row r="19" spans="2:6" s="87" customFormat="1" ht="15.75" x14ac:dyDescent="0.25">
      <c r="B19" s="184">
        <v>11</v>
      </c>
      <c r="C19" s="32">
        <v>4.6970935115619533E-2</v>
      </c>
      <c r="D19" s="70">
        <f t="shared" si="0"/>
        <v>0.24044645356805236</v>
      </c>
      <c r="E19" s="61">
        <v>166.03242262763644</v>
      </c>
      <c r="F19" s="32">
        <f t="shared" si="1"/>
        <v>39.921907198127229</v>
      </c>
    </row>
    <row r="20" spans="2:6" s="87" customFormat="1" ht="15.75" x14ac:dyDescent="0.25">
      <c r="B20" s="184">
        <v>12</v>
      </c>
      <c r="C20" s="32">
        <v>4.6846468283242203E-2</v>
      </c>
      <c r="D20" s="70">
        <f t="shared" si="0"/>
        <v>0.23980930192612077</v>
      </c>
      <c r="E20" s="61">
        <v>178.32088884241367</v>
      </c>
      <c r="F20" s="32">
        <f t="shared" si="1"/>
        <v>42.763007872144598</v>
      </c>
    </row>
    <row r="21" spans="2:6" s="87" customFormat="1" ht="15.75" x14ac:dyDescent="0.25">
      <c r="B21" s="184">
        <v>13</v>
      </c>
      <c r="C21" s="32">
        <v>4.6332748110743442E-2</v>
      </c>
      <c r="D21" s="70">
        <f t="shared" si="0"/>
        <v>0.23717954390023427</v>
      </c>
      <c r="E21" s="61">
        <v>187.97029514318575</v>
      </c>
      <c r="F21" s="32">
        <f t="shared" si="1"/>
        <v>44.582708868853217</v>
      </c>
    </row>
    <row r="22" spans="2:6" s="87" customFormat="1" ht="15.75" x14ac:dyDescent="0.25">
      <c r="B22" s="184">
        <v>14</v>
      </c>
      <c r="C22" s="32">
        <v>4.5635031134504477E-2</v>
      </c>
      <c r="D22" s="70">
        <f t="shared" si="0"/>
        <v>0.23360789747424907</v>
      </c>
      <c r="E22" s="61">
        <v>194.82374003746926</v>
      </c>
      <c r="F22" s="32">
        <f t="shared" si="1"/>
        <v>45.512364288222869</v>
      </c>
    </row>
    <row r="23" spans="2:6" s="87" customFormat="1" ht="15.75" x14ac:dyDescent="0.25">
      <c r="B23" s="184">
        <v>15</v>
      </c>
      <c r="C23" s="32">
        <v>4.4991893586214866E-2</v>
      </c>
      <c r="D23" s="70">
        <f t="shared" si="0"/>
        <v>0.23031564573895702</v>
      </c>
      <c r="E23" s="61">
        <v>199.4801398207976</v>
      </c>
      <c r="F23" s="32">
        <f t="shared" si="1"/>
        <v>45.943397214924431</v>
      </c>
    </row>
    <row r="24" spans="2:6" s="87" customFormat="1" ht="15.75" x14ac:dyDescent="0.25">
      <c r="B24" s="184">
        <v>16</v>
      </c>
      <c r="C24" s="32">
        <v>4.448442288250376E-2</v>
      </c>
      <c r="D24" s="70">
        <f t="shared" si="0"/>
        <v>0.22771787904138827</v>
      </c>
      <c r="E24" s="61">
        <v>202.48979361606706</v>
      </c>
      <c r="F24" s="32">
        <f t="shared" si="1"/>
        <v>46.110546329779233</v>
      </c>
    </row>
    <row r="25" spans="2:6" s="87" customFormat="1" ht="15.75" x14ac:dyDescent="0.25">
      <c r="B25" s="184">
        <v>17</v>
      </c>
      <c r="C25" s="32">
        <v>4.4103236472151884E-2</v>
      </c>
      <c r="D25" s="70">
        <f t="shared" si="0"/>
        <v>0.2257665676550632</v>
      </c>
      <c r="E25" s="61">
        <v>204.29504115166876</v>
      </c>
      <c r="F25" s="32">
        <f t="shared" si="1"/>
        <v>46.122990229762145</v>
      </c>
    </row>
    <row r="26" spans="2:6" s="87" customFormat="1" ht="15.75" x14ac:dyDescent="0.25">
      <c r="B26" s="184">
        <v>18</v>
      </c>
      <c r="C26" s="32">
        <v>4.3812430447382672E-2</v>
      </c>
      <c r="D26" s="70">
        <f t="shared" si="0"/>
        <v>0.22427791776636366</v>
      </c>
      <c r="E26" s="61">
        <v>205.2537931108109</v>
      </c>
      <c r="F26" s="32">
        <f t="shared" si="1"/>
        <v>46.033893332540664</v>
      </c>
    </row>
    <row r="27" spans="2:6" s="87" customFormat="1" ht="15.75" x14ac:dyDescent="0.25">
      <c r="B27" s="184">
        <v>19</v>
      </c>
      <c r="C27" s="32">
        <v>4.357670152890613E-2</v>
      </c>
      <c r="D27" s="70">
        <f t="shared" si="0"/>
        <v>0.22307121020749565</v>
      </c>
      <c r="E27" s="61">
        <v>205.64335947358896</v>
      </c>
      <c r="F27" s="32">
        <f t="shared" si="1"/>
        <v>45.873113068908552</v>
      </c>
    </row>
    <row r="28" spans="2:6" s="87" customFormat="1" ht="15.75" x14ac:dyDescent="0.25">
      <c r="B28" s="184">
        <v>20</v>
      </c>
      <c r="C28" s="32">
        <v>4.3369056232904303E-2</v>
      </c>
      <c r="D28" s="70">
        <f t="shared" si="0"/>
        <v>0.22200826404939103</v>
      </c>
      <c r="E28" s="61">
        <v>205.66705104266885</v>
      </c>
      <c r="F28" s="32">
        <f t="shared" si="1"/>
        <v>45.659784974140408</v>
      </c>
    </row>
    <row r="29" spans="2:6" s="87" customFormat="1" ht="15.75" x14ac:dyDescent="0.25">
      <c r="B29" s="184">
        <v>21</v>
      </c>
      <c r="C29" s="32">
        <v>4.317110406938935E-2</v>
      </c>
      <c r="D29" s="70">
        <f t="shared" si="0"/>
        <v>0.22099493749806454</v>
      </c>
      <c r="E29" s="61">
        <v>205.46731675134265</v>
      </c>
      <c r="F29" s="32">
        <f t="shared" si="1"/>
        <v>45.407236823357998</v>
      </c>
    </row>
    <row r="30" spans="2:6" s="87" customFormat="1" ht="15.75" x14ac:dyDescent="0.25">
      <c r="B30" s="184">
        <v>22</v>
      </c>
      <c r="C30" s="32">
        <v>4.2953332318733058E-2</v>
      </c>
      <c r="D30" s="70">
        <f t="shared" si="0"/>
        <v>0.21988015353637161</v>
      </c>
      <c r="E30" s="61">
        <v>205.27875596791566</v>
      </c>
      <c r="F30" s="32">
        <f t="shared" si="1"/>
        <v>45.136724379980656</v>
      </c>
    </row>
    <row r="31" spans="2:6" s="87" customFormat="1" ht="15.75" x14ac:dyDescent="0.25">
      <c r="B31" s="184">
        <v>23</v>
      </c>
      <c r="C31" s="32">
        <v>4.2699564183648807E-2</v>
      </c>
      <c r="D31" s="70">
        <f t="shared" si="0"/>
        <v>0.21858110236867839</v>
      </c>
      <c r="E31" s="61">
        <v>205.24329508254439</v>
      </c>
      <c r="F31" s="32">
        <f t="shared" si="1"/>
        <v>44.862305692922504</v>
      </c>
    </row>
    <row r="32" spans="2:6" s="87" customFormat="1" ht="15.75" x14ac:dyDescent="0.25">
      <c r="B32" s="184">
        <v>24</v>
      </c>
      <c r="C32" s="32">
        <v>4.2381873969509855E-2</v>
      </c>
      <c r="D32" s="70">
        <f t="shared" si="0"/>
        <v>0.21695483103439564</v>
      </c>
      <c r="E32" s="61">
        <v>205.59997876773525</v>
      </c>
      <c r="F32" s="32">
        <f t="shared" si="1"/>
        <v>44.605908654229331</v>
      </c>
    </row>
    <row r="33" spans="2:6" s="87" customFormat="1" ht="15.75" x14ac:dyDescent="0.25">
      <c r="B33" s="185">
        <v>25</v>
      </c>
      <c r="C33" s="109">
        <v>4.2050727356798351E-2</v>
      </c>
      <c r="D33" s="114">
        <f t="shared" si="0"/>
        <v>0.21525967575503918</v>
      </c>
      <c r="E33" s="115">
        <v>205.97039349050775</v>
      </c>
      <c r="F33" s="113">
        <f t="shared" si="1"/>
        <v>44.337120117904533</v>
      </c>
    </row>
    <row r="34" spans="2:6" s="87" customFormat="1" ht="15.75" x14ac:dyDescent="0.25">
      <c r="B34" s="184">
        <v>26</v>
      </c>
      <c r="C34" s="32">
        <v>4.1867589874166451E-2</v>
      </c>
      <c r="D34" s="70">
        <f t="shared" si="0"/>
        <v>0.21432218626061397</v>
      </c>
      <c r="E34" s="61">
        <v>206.35418686238347</v>
      </c>
      <c r="F34" s="32">
        <f t="shared" si="1"/>
        <v>44.22628047237729</v>
      </c>
    </row>
    <row r="35" spans="2:6" s="87" customFormat="1" ht="15.75" x14ac:dyDescent="0.25">
      <c r="B35" s="184">
        <v>27</v>
      </c>
      <c r="C35" s="32">
        <v>4.1691909083728093E-2</v>
      </c>
      <c r="D35" s="70">
        <f t="shared" si="0"/>
        <v>0.21342286792860807</v>
      </c>
      <c r="E35" s="61">
        <v>206.75082191352308</v>
      </c>
      <c r="F35" s="32">
        <f t="shared" si="1"/>
        <v>44.125353359381002</v>
      </c>
    </row>
    <row r="36" spans="2:6" s="87" customFormat="1" ht="15.75" x14ac:dyDescent="0.25">
      <c r="B36" s="184">
        <v>28</v>
      </c>
      <c r="C36" s="32">
        <v>4.1523511873730538E-2</v>
      </c>
      <c r="D36" s="70">
        <f t="shared" si="0"/>
        <v>0.21256083459171582</v>
      </c>
      <c r="E36" s="61">
        <v>207.15958839353027</v>
      </c>
      <c r="F36" s="32">
        <f t="shared" si="1"/>
        <v>44.034015002605123</v>
      </c>
    </row>
    <row r="37" spans="2:6" s="87" customFormat="1" ht="15.75" x14ac:dyDescent="0.25">
      <c r="B37" s="184">
        <v>29</v>
      </c>
      <c r="C37" s="32">
        <v>4.1362232581770478E-2</v>
      </c>
      <c r="D37" s="70">
        <f t="shared" si="0"/>
        <v>0.21173523821620602</v>
      </c>
      <c r="E37" s="61">
        <v>207.57961294529005</v>
      </c>
      <c r="F37" s="32">
        <f t="shared" si="1"/>
        <v>43.951918795798832</v>
      </c>
    </row>
    <row r="38" spans="2:6" s="87" customFormat="1" ht="15.75" x14ac:dyDescent="0.25">
      <c r="B38" s="184">
        <v>30</v>
      </c>
      <c r="C38" s="32">
        <v>4.1207912960466941E-2</v>
      </c>
      <c r="D38" s="70">
        <f t="shared" si="0"/>
        <v>0.21094526872619981</v>
      </c>
      <c r="E38" s="61">
        <v>208.00986859609719</v>
      </c>
      <c r="F38" s="32">
        <f t="shared" si="1"/>
        <v>43.878697628705233</v>
      </c>
    </row>
    <row r="39" spans="2:6" s="87" customFormat="1" ht="15.75" x14ac:dyDescent="0.25">
      <c r="B39" s="184">
        <v>31</v>
      </c>
      <c r="C39" s="32">
        <v>4.1060402127099715E-2</v>
      </c>
      <c r="D39" s="70">
        <f t="shared" si="0"/>
        <v>0.21019015374586758</v>
      </c>
      <c r="E39" s="61">
        <v>208.44918372324065</v>
      </c>
      <c r="F39" s="32">
        <f t="shared" si="1"/>
        <v>43.813965974988548</v>
      </c>
    </row>
    <row r="40" spans="2:6" s="87" customFormat="1" ht="15.75" x14ac:dyDescent="0.25">
      <c r="B40" s="184">
        <v>32</v>
      </c>
      <c r="C40" s="32">
        <v>4.0919556508842041E-2</v>
      </c>
      <c r="D40" s="70">
        <f t="shared" si="0"/>
        <v>0.20946915831907234</v>
      </c>
      <c r="E40" s="61">
        <v>208.89625056718685</v>
      </c>
      <c r="F40" s="32">
        <f t="shared" si="1"/>
        <v>43.75732178231867</v>
      </c>
    </row>
    <row r="41" spans="2:6" s="87" customFormat="1" ht="15.75" x14ac:dyDescent="0.25">
      <c r="B41" s="184">
        <v>33</v>
      </c>
      <c r="C41" s="32">
        <v>4.0785239786855422E-2</v>
      </c>
      <c r="D41" s="70">
        <f t="shared" si="0"/>
        <v>0.20878158462318847</v>
      </c>
      <c r="E41" s="61">
        <v>209.34963333899415</v>
      </c>
      <c r="F41" s="32">
        <f t="shared" si="1"/>
        <v>43.708348188798688</v>
      </c>
    </row>
    <row r="42" spans="2:6" s="87" customFormat="1" ht="15.75" x14ac:dyDescent="0.25">
      <c r="B42" s="184">
        <v>34</v>
      </c>
      <c r="C42" s="32">
        <v>4.0657322840164919E-2</v>
      </c>
      <c r="D42" s="70">
        <f t="shared" si="0"/>
        <v>0.20812677168179658</v>
      </c>
      <c r="E42" s="61">
        <v>209.8077759586036</v>
      </c>
      <c r="F42" s="32">
        <f t="shared" si="1"/>
        <v>43.666615084001819</v>
      </c>
    </row>
    <row r="43" spans="2:6" s="87" customFormat="1" ht="15.75" x14ac:dyDescent="0.25">
      <c r="B43" s="184">
        <v>35</v>
      </c>
      <c r="C43" s="32">
        <v>4.0535683689572909E-2</v>
      </c>
      <c r="D43" s="70">
        <f t="shared" si="0"/>
        <v>0.20750409507757558</v>
      </c>
      <c r="E43" s="61">
        <v>210.26900945560351</v>
      </c>
      <c r="F43" s="32">
        <f t="shared" si="1"/>
        <v>43.631680529943189</v>
      </c>
    </row>
    <row r="44" spans="2:6" s="87" customFormat="1" ht="15.75" x14ac:dyDescent="0.25">
      <c r="B44" s="184">
        <v>36</v>
      </c>
      <c r="C44" s="32">
        <v>4.0420207441683759E-2</v>
      </c>
      <c r="D44" s="70">
        <f t="shared" si="0"/>
        <v>0.20691296666576209</v>
      </c>
      <c r="E44" s="61">
        <v>210.73155906067953</v>
      </c>
      <c r="F44" s="32">
        <f t="shared" si="1"/>
        <v>43.603092055346458</v>
      </c>
    </row>
    <row r="45" spans="2:6" s="87" customFormat="1" ht="15.75" x14ac:dyDescent="0.25">
      <c r="B45" s="184">
        <v>37</v>
      </c>
      <c r="C45" s="32">
        <v>4.0310786233059559E-2</v>
      </c>
      <c r="D45" s="70">
        <f t="shared" si="0"/>
        <v>0.20635283428828108</v>
      </c>
      <c r="E45" s="61">
        <v>211.1935510132509</v>
      </c>
      <c r="F45" s="32">
        <f t="shared" si="1"/>
        <v>43.580387834991001</v>
      </c>
    </row>
    <row r="46" spans="2:6" s="87" customFormat="1" ht="15.75" x14ac:dyDescent="0.25">
      <c r="B46" s="184">
        <v>38</v>
      </c>
      <c r="C46" s="32">
        <v>4.0207319174512993E-2</v>
      </c>
      <c r="D46" s="70">
        <f t="shared" si="0"/>
        <v>0.20582318148857839</v>
      </c>
      <c r="E46" s="61">
        <v>211.65301910849067</v>
      </c>
      <c r="F46" s="32">
        <f t="shared" si="1"/>
        <v>43.563097764572426</v>
      </c>
    </row>
    <row r="47" spans="2:6" s="87" customFormat="1" ht="15.75" x14ac:dyDescent="0.25">
      <c r="B47" s="184">
        <v>39</v>
      </c>
      <c r="C47" s="32">
        <v>4.0109712295538599E-2</v>
      </c>
      <c r="D47" s="70">
        <f t="shared" si="0"/>
        <v>0.20532352722716188</v>
      </c>
      <c r="E47" s="61">
        <v>212.10791100489331</v>
      </c>
      <c r="F47" s="32">
        <f t="shared" si="1"/>
        <v>43.550744440309643</v>
      </c>
    </row>
    <row r="48" spans="2:6" s="87" customFormat="1" ht="15.75" x14ac:dyDescent="0.25">
      <c r="B48" s="184">
        <v>40</v>
      </c>
      <c r="C48" s="32">
        <v>4.00178784888831E-2</v>
      </c>
      <c r="D48" s="70">
        <f t="shared" si="0"/>
        <v>0.20485342559785394</v>
      </c>
      <c r="E48" s="61">
        <v>212.55609431176018</v>
      </c>
      <c r="F48" s="32">
        <f t="shared" si="1"/>
        <v>43.542844051464591</v>
      </c>
    </row>
    <row r="49" spans="2:6" s="87" customFormat="1" ht="15.75" x14ac:dyDescent="0.25">
      <c r="B49" s="184">
        <v>41</v>
      </c>
      <c r="C49" s="32">
        <v>3.9931737455254822E-2</v>
      </c>
      <c r="D49" s="70">
        <f t="shared" si="0"/>
        <v>0.20441246554475681</v>
      </c>
      <c r="E49" s="61">
        <v>212.99536247437496</v>
      </c>
      <c r="F49" s="32">
        <f t="shared" si="1"/>
        <v>43.538907192986159</v>
      </c>
    </row>
    <row r="50" spans="2:6" s="87" customFormat="1" ht="15.75" x14ac:dyDescent="0.25">
      <c r="B50" s="184">
        <v>42</v>
      </c>
      <c r="C50" s="32">
        <v>3.985121564817224E-2</v>
      </c>
      <c r="D50" s="70">
        <f t="shared" si="0"/>
        <v>0.20400027057992931</v>
      </c>
      <c r="E50" s="61">
        <v>213.42344047321978</v>
      </c>
      <c r="F50" s="32">
        <f t="shared" si="1"/>
        <v>43.538439604636274</v>
      </c>
    </row>
    <row r="51" spans="2:6" s="87" customFormat="1" ht="15.75" x14ac:dyDescent="0.25">
      <c r="B51" s="184">
        <v>43</v>
      </c>
      <c r="C51" s="32">
        <v>3.9776246218951823E-2</v>
      </c>
      <c r="D51" s="70">
        <f t="shared" si="0"/>
        <v>0.20361649850177718</v>
      </c>
      <c r="E51" s="61">
        <v>213.83799035230874</v>
      </c>
      <c r="F51" s="32">
        <f t="shared" si="1"/>
        <v>43.540942842193914</v>
      </c>
    </row>
    <row r="52" spans="2:6" s="87" customFormat="1" ht="15.75" x14ac:dyDescent="0.25">
      <c r="B52" s="184">
        <v>44</v>
      </c>
      <c r="C52" s="32">
        <v>3.9706768961834733E-2</v>
      </c>
      <c r="D52" s="70">
        <f t="shared" si="0"/>
        <v>0.20326084111415396</v>
      </c>
      <c r="E52" s="61">
        <v>214.23661659058786</v>
      </c>
      <c r="F52" s="32">
        <f t="shared" si="1"/>
        <v>43.545914885653396</v>
      </c>
    </row>
    <row r="53" spans="2:6" s="87" customFormat="1" ht="15.75" x14ac:dyDescent="0.25">
      <c r="B53" s="184">
        <v>45</v>
      </c>
      <c r="C53" s="32">
        <v>3.9642730259253085E-2</v>
      </c>
      <c r="D53" s="70">
        <f t="shared" si="0"/>
        <v>0.20293302394617649</v>
      </c>
      <c r="E53" s="61">
        <v>214.61687132933579</v>
      </c>
      <c r="F53" s="32">
        <f t="shared" si="1"/>
        <v>43.552850688729578</v>
      </c>
    </row>
    <row r="54" spans="2:6" s="87" customFormat="1" ht="15.75" x14ac:dyDescent="0.25">
      <c r="B54" s="184">
        <v>46</v>
      </c>
      <c r="C54" s="32">
        <v>3.9584083027235088E-2</v>
      </c>
      <c r="D54" s="70">
        <f t="shared" si="0"/>
        <v>0.20263280597275105</v>
      </c>
      <c r="E54" s="61">
        <v>214.9762594675951</v>
      </c>
      <c r="F54" s="32">
        <f t="shared" si="1"/>
        <v>43.56124267344498</v>
      </c>
    </row>
    <row r="55" spans="2:6" s="87" customFormat="1" ht="15.75" x14ac:dyDescent="0.25">
      <c r="B55" s="184">
        <v>47</v>
      </c>
      <c r="C55" s="32">
        <v>3.953078666094946E-2</v>
      </c>
      <c r="D55" s="70">
        <f t="shared" si="0"/>
        <v>0.20235997933581271</v>
      </c>
      <c r="E55" s="61">
        <v>215.3122436368588</v>
      </c>
      <c r="F55" s="32">
        <f t="shared" si="1"/>
        <v>43.570581173102219</v>
      </c>
    </row>
    <row r="56" spans="2:6" s="87" customFormat="1" ht="15.75" x14ac:dyDescent="0.25">
      <c r="B56" s="184">
        <v>48</v>
      </c>
      <c r="C56" s="32">
        <v>3.9482806980388967E-2</v>
      </c>
      <c r="D56" s="70">
        <f t="shared" si="0"/>
        <v>0.20211436906627683</v>
      </c>
      <c r="E56" s="61">
        <v>215.62224906551606</v>
      </c>
      <c r="F56" s="32">
        <f t="shared" si="1"/>
        <v>43.580354826528378</v>
      </c>
    </row>
    <row r="57" spans="2:6" s="87" customFormat="1" ht="15.75" x14ac:dyDescent="0.25">
      <c r="B57" s="184">
        <v>49</v>
      </c>
      <c r="C57" s="32">
        <v>3.9440116176193196E-2</v>
      </c>
      <c r="D57" s="70">
        <f t="shared" si="0"/>
        <v>0.20189583280670326</v>
      </c>
      <c r="E57" s="61">
        <v>215.90366834291743</v>
      </c>
      <c r="F57" s="32">
        <f t="shared" si="1"/>
        <v>43.590050926115566</v>
      </c>
    </row>
    <row r="58" spans="2:6" s="87" customFormat="1" ht="15.75" x14ac:dyDescent="0.25">
      <c r="B58" s="184">
        <v>50</v>
      </c>
      <c r="C58" s="32">
        <v>3.9402692755610411E-2</v>
      </c>
      <c r="D58" s="70">
        <f t="shared" si="0"/>
        <v>0.20170426053467233</v>
      </c>
      <c r="E58" s="61">
        <v>216.15386609235568</v>
      </c>
      <c r="F58" s="32">
        <f t="shared" si="1"/>
        <v>43.599155721869188</v>
      </c>
    </row>
    <row r="59" spans="2:6" s="87" customFormat="1" ht="15.75" x14ac:dyDescent="0.25">
      <c r="B59" s="184">
        <v>51</v>
      </c>
      <c r="C59" s="32">
        <v>3.9370521488598646E-2</v>
      </c>
      <c r="D59" s="70">
        <f t="shared" si="0"/>
        <v>0.201539574286874</v>
      </c>
      <c r="E59" s="61">
        <v>216.37018356173934</v>
      </c>
      <c r="F59" s="32">
        <f t="shared" si="1"/>
        <v>43.607154683405732</v>
      </c>
    </row>
    <row r="60" spans="2:6" s="87" customFormat="1" ht="15.75" x14ac:dyDescent="0.25">
      <c r="B60" s="184">
        <v>52</v>
      </c>
      <c r="C60" s="32">
        <v>3.9343593354065877E-2</v>
      </c>
      <c r="D60" s="70">
        <f t="shared" si="0"/>
        <v>0.20140172788390864</v>
      </c>
      <c r="E60" s="61">
        <v>216.54994314030625</v>
      </c>
      <c r="F60" s="32">
        <f t="shared" si="1"/>
        <v>43.613532721619848</v>
      </c>
    </row>
    <row r="61" spans="2:6" s="87" customFormat="1" ht="15.75" x14ac:dyDescent="0.25">
      <c r="B61" s="184">
        <v>53</v>
      </c>
      <c r="C61" s="32">
        <v>3.9321905486249503E-2</v>
      </c>
      <c r="D61" s="70">
        <f t="shared" si="0"/>
        <v>0.20129070665580101</v>
      </c>
      <c r="E61" s="61">
        <v>216.69045280931147</v>
      </c>
      <c r="F61" s="32">
        <f t="shared" si="1"/>
        <v>43.617774371551803</v>
      </c>
    </row>
    <row r="62" spans="2:6" s="87" customFormat="1" ht="15.75" x14ac:dyDescent="0.25">
      <c r="B62" s="184">
        <v>54</v>
      </c>
      <c r="C62" s="32">
        <v>3.9305461121234779E-2</v>
      </c>
      <c r="D62" s="70">
        <f t="shared" si="0"/>
        <v>0.20120652716822565</v>
      </c>
      <c r="E62" s="61">
        <v>216.78901053429846</v>
      </c>
      <c r="F62" s="32">
        <f t="shared" si="1"/>
        <v>43.619363937842081</v>
      </c>
    </row>
    <row r="63" spans="2:6" s="87" customFormat="1" ht="15.75" x14ac:dyDescent="0.25">
      <c r="B63" s="184">
        <v>55</v>
      </c>
      <c r="C63" s="32">
        <v>3.9294269543612668E-2</v>
      </c>
      <c r="D63" s="70">
        <f t="shared" si="0"/>
        <v>0.20114923694944581</v>
      </c>
      <c r="E63" s="61">
        <v>216.84290860624836</v>
      </c>
      <c r="F63" s="32">
        <f t="shared" si="1"/>
        <v>43.617785604045274</v>
      </c>
    </row>
    <row r="64" spans="2:6" s="87" customFormat="1" ht="15.75" x14ac:dyDescent="0.25">
      <c r="B64" s="184">
        <v>56</v>
      </c>
      <c r="C64" s="32">
        <v>3.9288346033276626E-2</v>
      </c>
      <c r="D64" s="70">
        <f t="shared" si="0"/>
        <v>0.20111891421796368</v>
      </c>
      <c r="E64" s="61">
        <v>216.84943793866213</v>
      </c>
      <c r="F64" s="32">
        <f t="shared" si="1"/>
        <v>43.61252350699943</v>
      </c>
    </row>
    <row r="65" spans="2:6" s="87" customFormat="1" ht="15.75" x14ac:dyDescent="0.25">
      <c r="B65" s="184">
        <v>57</v>
      </c>
      <c r="C65" s="32">
        <v>3.9287711812358739E-2</v>
      </c>
      <c r="D65" s="70">
        <f t="shared" si="0"/>
        <v>0.20111566761088401</v>
      </c>
      <c r="E65" s="61">
        <v>216.80589232740476</v>
      </c>
      <c r="F65" s="32">
        <f t="shared" si="1"/>
        <v>43.603061777399446</v>
      </c>
    </row>
    <row r="66" spans="2:6" s="87" customFormat="1" ht="15.75" x14ac:dyDescent="0.25">
      <c r="B66" s="184">
        <v>58</v>
      </c>
      <c r="C66" s="32">
        <v>3.9292393992304872E-2</v>
      </c>
      <c r="D66" s="70">
        <f t="shared" si="0"/>
        <v>0.20113963591298922</v>
      </c>
      <c r="E66" s="61">
        <v>216.70957267997261</v>
      </c>
      <c r="F66" s="32">
        <f t="shared" si="1"/>
        <v>43.588884547709164</v>
      </c>
    </row>
    <row r="67" spans="2:6" s="87" customFormat="1" ht="15.75" x14ac:dyDescent="0.25">
      <c r="B67" s="184">
        <v>59</v>
      </c>
      <c r="C67" s="32">
        <v>3.9302425521089111E-2</v>
      </c>
      <c r="D67" s="70">
        <f t="shared" si="0"/>
        <v>0.20119098778652758</v>
      </c>
      <c r="E67" s="61">
        <v>216.55779122070277</v>
      </c>
      <c r="F67" s="32">
        <f t="shared" si="1"/>
        <v>43.569475928561801</v>
      </c>
    </row>
    <row r="68" spans="2:6" s="87" customFormat="1" ht="15.75" x14ac:dyDescent="0.25">
      <c r="B68" s="184">
        <v>60</v>
      </c>
      <c r="C68" s="32">
        <v>3.9317845130567255E-2</v>
      </c>
      <c r="D68" s="70">
        <f t="shared" si="0"/>
        <v>0.20126992150171333</v>
      </c>
      <c r="E68" s="61">
        <v>216.34787567834101</v>
      </c>
      <c r="F68" s="32">
        <f t="shared" si="1"/>
        <v>43.54431995484213</v>
      </c>
    </row>
  </sheetData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71"/>
  <sheetViews>
    <sheetView zoomScale="70" zoomScaleNormal="70" workbookViewId="0">
      <selection activeCell="K16" sqref="K16"/>
    </sheetView>
  </sheetViews>
  <sheetFormatPr defaultColWidth="9.140625" defaultRowHeight="15.75" x14ac:dyDescent="0.25"/>
  <cols>
    <col min="1" max="1" width="9.140625" style="25"/>
    <col min="2" max="2" width="19.140625" style="26" customWidth="1"/>
    <col min="3" max="3" width="23" style="26" customWidth="1"/>
    <col min="4" max="4" width="16.140625" style="44" customWidth="1"/>
    <col min="5" max="5" width="19.7109375" style="26" customWidth="1"/>
    <col min="6" max="6" width="18.5703125" style="26" bestFit="1" customWidth="1"/>
    <col min="7" max="7" width="18.5703125" style="26" customWidth="1"/>
    <col min="8" max="8" width="16.140625" style="25" customWidth="1"/>
    <col min="9" max="9" width="18.5703125" style="44" bestFit="1" customWidth="1"/>
    <col min="10" max="10" width="9.140625" style="25"/>
    <col min="11" max="11" width="13.140625" style="25" bestFit="1" customWidth="1"/>
    <col min="12" max="16384" width="9.140625" style="25"/>
  </cols>
  <sheetData>
    <row r="1" spans="1:13" s="26" customFormat="1" x14ac:dyDescent="0.25">
      <c r="A1" s="25"/>
      <c r="B1" s="223" t="s">
        <v>100</v>
      </c>
      <c r="C1" s="223" t="s">
        <v>0</v>
      </c>
      <c r="D1" s="223" t="s">
        <v>65</v>
      </c>
      <c r="J1" s="25"/>
      <c r="K1" s="25"/>
      <c r="L1" s="25"/>
      <c r="M1" s="25"/>
    </row>
    <row r="2" spans="1:13" s="26" customFormat="1" ht="63" x14ac:dyDescent="0.25">
      <c r="B2" s="33" t="s">
        <v>120</v>
      </c>
      <c r="C2" s="33" t="s">
        <v>101</v>
      </c>
      <c r="D2" s="33"/>
    </row>
    <row r="3" spans="1:13" s="26" customFormat="1" ht="31.5" x14ac:dyDescent="0.25">
      <c r="B3" s="33" t="s">
        <v>108</v>
      </c>
      <c r="C3" s="33" t="s">
        <v>102</v>
      </c>
      <c r="D3" s="33">
        <v>1.9900000000000001E-2</v>
      </c>
    </row>
    <row r="4" spans="1:13" s="26" customFormat="1" ht="78.75" x14ac:dyDescent="0.25">
      <c r="B4" s="33" t="s">
        <v>107</v>
      </c>
      <c r="C4" s="33" t="s">
        <v>110</v>
      </c>
      <c r="D4" s="33">
        <f>6.5/100</f>
        <v>6.5000000000000002E-2</v>
      </c>
    </row>
    <row r="5" spans="1:13" s="26" customFormat="1" x14ac:dyDescent="0.25">
      <c r="B5" s="33" t="s">
        <v>103</v>
      </c>
      <c r="C5" s="33" t="s">
        <v>160</v>
      </c>
      <c r="D5" s="33"/>
    </row>
    <row r="6" spans="1:13" s="26" customFormat="1" ht="47.25" x14ac:dyDescent="0.25">
      <c r="B6" s="33" t="s">
        <v>121</v>
      </c>
      <c r="C6" s="52" t="s">
        <v>144</v>
      </c>
      <c r="D6" s="52" t="s">
        <v>143</v>
      </c>
      <c r="E6" s="42"/>
      <c r="F6" s="42"/>
    </row>
    <row r="7" spans="1:13" s="26" customFormat="1" x14ac:dyDescent="0.25">
      <c r="B7" s="40"/>
      <c r="C7" s="40"/>
      <c r="D7" s="42"/>
      <c r="E7" s="40"/>
      <c r="F7" s="40"/>
      <c r="G7" s="40"/>
      <c r="H7" s="40"/>
      <c r="I7" s="43"/>
    </row>
    <row r="8" spans="1:13" s="26" customFormat="1" ht="41.25" customHeight="1" x14ac:dyDescent="0.25">
      <c r="B8" s="196" t="s">
        <v>60</v>
      </c>
      <c r="C8" s="196" t="s">
        <v>71</v>
      </c>
      <c r="D8" s="225" t="s">
        <v>120</v>
      </c>
      <c r="E8" s="196" t="s">
        <v>51</v>
      </c>
      <c r="F8" s="196" t="s">
        <v>122</v>
      </c>
      <c r="G8" s="196" t="s">
        <v>134</v>
      </c>
      <c r="H8" s="224" t="s">
        <v>121</v>
      </c>
      <c r="I8" s="225" t="s">
        <v>123</v>
      </c>
    </row>
    <row r="9" spans="1:13" s="26" customFormat="1" ht="15.75" customHeight="1" x14ac:dyDescent="0.25">
      <c r="B9" s="182">
        <v>0.5</v>
      </c>
      <c r="C9" s="106">
        <v>3.275298508910536E-2</v>
      </c>
      <c r="D9" s="116">
        <f>(C9/0.0199)*0.065</f>
        <v>0.10698211210009288</v>
      </c>
      <c r="E9" s="88">
        <v>49.466843858403671</v>
      </c>
      <c r="F9" s="107">
        <f>D9*E9</f>
        <v>5.2920674348975325</v>
      </c>
      <c r="G9" s="107">
        <v>0.16832020894520333</v>
      </c>
      <c r="H9" s="114">
        <f>D9+G9</f>
        <v>0.27530232104529623</v>
      </c>
      <c r="I9" s="118">
        <f>H9*E9</f>
        <v>13.618336929003787</v>
      </c>
    </row>
    <row r="10" spans="1:13" s="26" customFormat="1" ht="15.75" customHeight="1" x14ac:dyDescent="0.25">
      <c r="B10" s="183">
        <v>1</v>
      </c>
      <c r="C10" s="106">
        <v>3.0640510017188007E-2</v>
      </c>
      <c r="D10" s="116">
        <f t="shared" ref="D10:D69" si="0">(C10/0.0199)*0.065</f>
        <v>0.1000820678953377</v>
      </c>
      <c r="E10" s="88">
        <v>61.232701371812148</v>
      </c>
      <c r="F10" s="107">
        <f>D10*E10</f>
        <v>6.1282953761086416</v>
      </c>
      <c r="G10" s="107">
        <v>0.16781862943194917</v>
      </c>
      <c r="H10" s="114">
        <f t="shared" ref="H10:H68" si="1">D10+G10</f>
        <v>0.26790069732728689</v>
      </c>
      <c r="I10" s="118">
        <f t="shared" ref="I10:I68" si="2">H10*E10</f>
        <v>16.404283396741992</v>
      </c>
    </row>
    <row r="11" spans="1:13" s="26" customFormat="1" x14ac:dyDescent="0.25">
      <c r="B11" s="184">
        <v>2</v>
      </c>
      <c r="C11" s="36">
        <v>2.8547382470986229E-2</v>
      </c>
      <c r="D11" s="71">
        <f t="shared" si="0"/>
        <v>9.3245219126336931E-2</v>
      </c>
      <c r="E11" s="61">
        <v>79.269454745647479</v>
      </c>
      <c r="F11" s="32">
        <f t="shared" ref="F11:F68" si="3">D11*E11</f>
        <v>7.391497677783148</v>
      </c>
      <c r="G11" s="32">
        <v>0.17250442840712277</v>
      </c>
      <c r="H11" s="70">
        <f t="shared" si="1"/>
        <v>0.2657496475334597</v>
      </c>
      <c r="I11" s="119">
        <f t="shared" si="2"/>
        <v>21.065829658825351</v>
      </c>
    </row>
    <row r="12" spans="1:13" s="26" customFormat="1" x14ac:dyDescent="0.25">
      <c r="B12" s="184">
        <v>3</v>
      </c>
      <c r="C12" s="36">
        <v>2.7423922736159952E-2</v>
      </c>
      <c r="D12" s="71">
        <f t="shared" si="0"/>
        <v>8.9575627027658131E-2</v>
      </c>
      <c r="E12" s="61">
        <v>89.669891790284495</v>
      </c>
      <c r="F12" s="32">
        <f t="shared" si="3"/>
        <v>8.0322367826169874</v>
      </c>
      <c r="G12" s="32">
        <v>0.17735729552692728</v>
      </c>
      <c r="H12" s="70">
        <f t="shared" si="1"/>
        <v>0.26693292255458539</v>
      </c>
      <c r="I12" s="119">
        <f t="shared" si="2"/>
        <v>23.935846280734065</v>
      </c>
    </row>
    <row r="13" spans="1:13" s="26" customFormat="1" x14ac:dyDescent="0.25">
      <c r="B13" s="184">
        <v>4</v>
      </c>
      <c r="C13" s="36">
        <v>2.6649059596470352E-2</v>
      </c>
      <c r="D13" s="71">
        <f t="shared" si="0"/>
        <v>8.7044667023646868E-2</v>
      </c>
      <c r="E13" s="61">
        <v>98.271318656917629</v>
      </c>
      <c r="F13" s="32">
        <f t="shared" si="3"/>
        <v>8.553994210466092</v>
      </c>
      <c r="G13" s="32">
        <v>0.18367042143547965</v>
      </c>
      <c r="H13" s="70">
        <f t="shared" si="1"/>
        <v>0.27071508845912651</v>
      </c>
      <c r="I13" s="119">
        <f t="shared" si="2"/>
        <v>26.603528723202466</v>
      </c>
    </row>
    <row r="14" spans="1:13" s="26" customFormat="1" x14ac:dyDescent="0.25">
      <c r="B14" s="183">
        <v>5</v>
      </c>
      <c r="C14" s="106">
        <v>2.6011004757561667E-2</v>
      </c>
      <c r="D14" s="116">
        <f t="shared" si="0"/>
        <v>8.4960568303593387E-2</v>
      </c>
      <c r="E14" s="88">
        <v>106.04282917408814</v>
      </c>
      <c r="F14" s="107">
        <f t="shared" si="3"/>
        <v>9.0094590311514011</v>
      </c>
      <c r="G14" s="107">
        <v>0.18863609780069845</v>
      </c>
      <c r="H14" s="114">
        <f t="shared" si="1"/>
        <v>0.27359666610429184</v>
      </c>
      <c r="I14" s="118">
        <f t="shared" si="2"/>
        <v>29.012964526297452</v>
      </c>
    </row>
    <row r="15" spans="1:13" s="26" customFormat="1" x14ac:dyDescent="0.25">
      <c r="B15" s="184">
        <v>6</v>
      </c>
      <c r="C15" s="36">
        <v>2.5410465249377741E-2</v>
      </c>
      <c r="D15" s="71">
        <f t="shared" si="0"/>
        <v>8.2999007095957436E-2</v>
      </c>
      <c r="E15" s="61">
        <v>113.64540784385582</v>
      </c>
      <c r="F15" s="32">
        <f t="shared" si="3"/>
        <v>9.4324560120551659</v>
      </c>
      <c r="G15" s="32">
        <v>0.1915329280094907</v>
      </c>
      <c r="H15" s="70">
        <f t="shared" si="1"/>
        <v>0.27453193510544815</v>
      </c>
      <c r="I15" s="119">
        <f t="shared" si="2"/>
        <v>31.199293731221616</v>
      </c>
    </row>
    <row r="16" spans="1:13" s="26" customFormat="1" x14ac:dyDescent="0.25">
      <c r="B16" s="184">
        <v>7</v>
      </c>
      <c r="C16" s="36">
        <v>2.4795272108454749E-2</v>
      </c>
      <c r="D16" s="71">
        <f t="shared" si="0"/>
        <v>8.0989582263796919E-2</v>
      </c>
      <c r="E16" s="61">
        <v>121.70953635280681</v>
      </c>
      <c r="F16" s="32">
        <f t="shared" si="3"/>
        <v>9.8572045067342291</v>
      </c>
      <c r="G16" s="32">
        <v>0.19255856777644767</v>
      </c>
      <c r="H16" s="70">
        <f t="shared" si="1"/>
        <v>0.27354815004024458</v>
      </c>
      <c r="I16" s="119">
        <f t="shared" si="2"/>
        <v>33.293418511566195</v>
      </c>
    </row>
    <row r="17" spans="2:13" s="26" customFormat="1" x14ac:dyDescent="0.25">
      <c r="B17" s="184">
        <v>8</v>
      </c>
      <c r="C17" s="36">
        <v>2.4144376372290676E-2</v>
      </c>
      <c r="D17" s="71">
        <f t="shared" si="0"/>
        <v>7.8863540914517291E-2</v>
      </c>
      <c r="E17" s="61">
        <v>130.73889715023464</v>
      </c>
      <c r="F17" s="32">
        <f t="shared" si="3"/>
        <v>10.310532364526397</v>
      </c>
      <c r="G17" s="32">
        <v>0.19209548793938711</v>
      </c>
      <c r="H17" s="70">
        <f t="shared" si="1"/>
        <v>0.27095902885390438</v>
      </c>
      <c r="I17" s="119">
        <f t="shared" si="2"/>
        <v>35.424884605258065</v>
      </c>
    </row>
    <row r="18" spans="2:13" s="26" customFormat="1" ht="23.25" x14ac:dyDescent="0.25">
      <c r="B18" s="184">
        <v>9</v>
      </c>
      <c r="C18" s="36">
        <v>2.3464580901215629E-2</v>
      </c>
      <c r="D18" s="71">
        <f t="shared" si="0"/>
        <v>7.6643103446181707E-2</v>
      </c>
      <c r="E18" s="61">
        <v>141.10539186524957</v>
      </c>
      <c r="F18" s="32">
        <f t="shared" si="3"/>
        <v>10.81475514554233</v>
      </c>
      <c r="G18" s="32">
        <v>0.19085243707129493</v>
      </c>
      <c r="H18" s="70">
        <f t="shared" si="1"/>
        <v>0.26749554051747665</v>
      </c>
      <c r="I18" s="119">
        <f t="shared" si="2"/>
        <v>37.74506306692529</v>
      </c>
      <c r="M18" s="39"/>
    </row>
    <row r="19" spans="2:13" s="26" customFormat="1" ht="23.25" x14ac:dyDescent="0.25">
      <c r="B19" s="183">
        <v>10</v>
      </c>
      <c r="C19" s="106">
        <v>2.2785996633632784E-2</v>
      </c>
      <c r="D19" s="116">
        <f t="shared" si="0"/>
        <v>7.4426622170157331E-2</v>
      </c>
      <c r="E19" s="88">
        <v>153.00935276013391</v>
      </c>
      <c r="F19" s="107">
        <f t="shared" si="3"/>
        <v>11.387969286378807</v>
      </c>
      <c r="G19" s="107">
        <v>0.1899294166722334</v>
      </c>
      <c r="H19" s="114">
        <f t="shared" si="1"/>
        <v>0.26435603884239073</v>
      </c>
      <c r="I19" s="118">
        <f t="shared" si="2"/>
        <v>40.448946401507023</v>
      </c>
      <c r="M19" s="39"/>
    </row>
    <row r="20" spans="2:13" s="26" customFormat="1" ht="23.25" x14ac:dyDescent="0.25">
      <c r="B20" s="184">
        <v>11</v>
      </c>
      <c r="C20" s="36">
        <v>2.2150470962613324E-2</v>
      </c>
      <c r="D20" s="71">
        <f t="shared" si="0"/>
        <v>7.2350784551249547E-2</v>
      </c>
      <c r="E20" s="61">
        <v>166.03242262763644</v>
      </c>
      <c r="F20" s="32">
        <f t="shared" si="3"/>
        <v>12.012576038054133</v>
      </c>
      <c r="G20" s="32">
        <v>0.18989110169221243</v>
      </c>
      <c r="H20" s="70">
        <f t="shared" si="1"/>
        <v>0.26224188624346201</v>
      </c>
      <c r="I20" s="119">
        <f t="shared" si="2"/>
        <v>43.540655687443042</v>
      </c>
      <c r="M20" s="39"/>
    </row>
    <row r="21" spans="2:13" s="26" customFormat="1" ht="23.25" x14ac:dyDescent="0.25">
      <c r="B21" s="184">
        <v>12</v>
      </c>
      <c r="C21" s="36">
        <v>2.1595699438139805E-2</v>
      </c>
      <c r="D21" s="71">
        <f t="shared" si="0"/>
        <v>7.0538716757743092E-2</v>
      </c>
      <c r="E21" s="61">
        <v>178.32088884241367</v>
      </c>
      <c r="F21" s="32">
        <f t="shared" si="3"/>
        <v>12.578526670044008</v>
      </c>
      <c r="G21" s="32">
        <v>0.18938791511808759</v>
      </c>
      <c r="H21" s="70">
        <f t="shared" si="1"/>
        <v>0.25992663187583065</v>
      </c>
      <c r="I21" s="119">
        <f t="shared" si="2"/>
        <v>46.350348029912972</v>
      </c>
      <c r="M21" s="39"/>
    </row>
    <row r="22" spans="2:13" s="26" customFormat="1" ht="23.25" x14ac:dyDescent="0.25">
      <c r="B22" s="184">
        <v>13</v>
      </c>
      <c r="C22" s="36">
        <v>2.1143062207594467E-2</v>
      </c>
      <c r="D22" s="71">
        <f t="shared" si="0"/>
        <v>6.906025344189147E-2</v>
      </c>
      <c r="E22" s="61">
        <v>187.97029514318575</v>
      </c>
      <c r="F22" s="32">
        <f t="shared" si="3"/>
        <v>12.981276222135548</v>
      </c>
      <c r="G22" s="32">
        <v>0.18731107995870272</v>
      </c>
      <c r="H22" s="70">
        <f t="shared" si="1"/>
        <v>0.2563713334005942</v>
      </c>
      <c r="I22" s="119">
        <f t="shared" si="2"/>
        <v>48.190195205561764</v>
      </c>
      <c r="M22" s="39"/>
    </row>
    <row r="23" spans="2:13" s="26" customFormat="1" ht="23.25" x14ac:dyDescent="0.25">
      <c r="B23" s="184">
        <v>14</v>
      </c>
      <c r="C23" s="36">
        <v>2.0794740616234694E-2</v>
      </c>
      <c r="D23" s="71">
        <f t="shared" si="0"/>
        <v>6.792251960076659E-2</v>
      </c>
      <c r="E23" s="61">
        <v>194.82374003746926</v>
      </c>
      <c r="F23" s="32">
        <f t="shared" si="3"/>
        <v>13.232919301389661</v>
      </c>
      <c r="G23" s="32">
        <v>0.1844903942525048</v>
      </c>
      <c r="H23" s="70">
        <f t="shared" si="1"/>
        <v>0.25241291385327136</v>
      </c>
      <c r="I23" s="119">
        <f t="shared" si="2"/>
        <v>49.176027910649864</v>
      </c>
      <c r="M23" s="39"/>
    </row>
    <row r="24" spans="2:13" s="26" customFormat="1" x14ac:dyDescent="0.25">
      <c r="B24" s="184">
        <v>15</v>
      </c>
      <c r="C24" s="36">
        <v>2.0538787056407683E-2</v>
      </c>
      <c r="D24" s="71">
        <f t="shared" si="0"/>
        <v>6.7086490385251218E-2</v>
      </c>
      <c r="E24" s="61">
        <v>199.4801398207976</v>
      </c>
      <c r="F24" s="32">
        <f t="shared" si="3"/>
        <v>13.382422482136507</v>
      </c>
      <c r="G24" s="32">
        <v>0.18189035877772181</v>
      </c>
      <c r="H24" s="70">
        <f t="shared" si="1"/>
        <v>0.24897684916297302</v>
      </c>
      <c r="I24" s="119">
        <f t="shared" si="2"/>
        <v>49.665936683171495</v>
      </c>
    </row>
    <row r="25" spans="2:13" s="26" customFormat="1" x14ac:dyDescent="0.25">
      <c r="B25" s="184">
        <v>16</v>
      </c>
      <c r="C25" s="36">
        <v>2.0356826988055129E-2</v>
      </c>
      <c r="D25" s="71">
        <f t="shared" si="0"/>
        <v>6.6492148453446392E-2</v>
      </c>
      <c r="E25" s="61">
        <v>202.48979361606706</v>
      </c>
      <c r="F25" s="32">
        <f t="shared" si="3"/>
        <v>13.463981417427252</v>
      </c>
      <c r="G25" s="32">
        <v>0.17983878857229529</v>
      </c>
      <c r="H25" s="70">
        <f t="shared" si="1"/>
        <v>0.24633093702574169</v>
      </c>
      <c r="I25" s="119">
        <f t="shared" si="2"/>
        <v>49.879500599594849</v>
      </c>
    </row>
    <row r="26" spans="2:13" s="26" customFormat="1" x14ac:dyDescent="0.25">
      <c r="B26" s="184">
        <v>17</v>
      </c>
      <c r="C26" s="36">
        <v>2.0230135450190111E-2</v>
      </c>
      <c r="D26" s="71">
        <f t="shared" si="0"/>
        <v>6.6078331872480259E-2</v>
      </c>
      <c r="E26" s="61">
        <v>204.29504115166876</v>
      </c>
      <c r="F26" s="32">
        <f t="shared" si="3"/>
        <v>13.49947552912198</v>
      </c>
      <c r="G26" s="32">
        <v>0.17829775245637294</v>
      </c>
      <c r="H26" s="70">
        <f t="shared" si="1"/>
        <v>0.24437608432885322</v>
      </c>
      <c r="I26" s="119">
        <f t="shared" si="2"/>
        <v>49.924822204446741</v>
      </c>
    </row>
    <row r="27" spans="2:13" s="26" customFormat="1" x14ac:dyDescent="0.25">
      <c r="B27" s="184">
        <v>18</v>
      </c>
      <c r="C27" s="36">
        <v>2.0142804471358602E-2</v>
      </c>
      <c r="D27" s="71">
        <f t="shared" si="0"/>
        <v>6.5793079931573323E-2</v>
      </c>
      <c r="E27" s="61">
        <v>205.2537931108109</v>
      </c>
      <c r="F27" s="32">
        <f t="shared" si="3"/>
        <v>13.504279216398196</v>
      </c>
      <c r="G27" s="32">
        <v>0.17712210040077239</v>
      </c>
      <c r="H27" s="70">
        <f t="shared" si="1"/>
        <v>0.24291518033234571</v>
      </c>
      <c r="I27" s="119">
        <f t="shared" si="2"/>
        <v>49.859262167410613</v>
      </c>
    </row>
    <row r="28" spans="2:13" s="26" customFormat="1" x14ac:dyDescent="0.25">
      <c r="B28" s="184">
        <v>19</v>
      </c>
      <c r="C28" s="36">
        <v>2.0082642032387358E-2</v>
      </c>
      <c r="D28" s="71">
        <f t="shared" si="0"/>
        <v>6.5596569452521514E-2</v>
      </c>
      <c r="E28" s="61">
        <v>205.64335947358896</v>
      </c>
      <c r="F28" s="32">
        <f t="shared" si="3"/>
        <v>13.489498912159126</v>
      </c>
      <c r="G28" s="32">
        <v>0.17616911055886184</v>
      </c>
      <c r="H28" s="70">
        <f t="shared" si="1"/>
        <v>0.24176568001138335</v>
      </c>
      <c r="I28" s="119">
        <f t="shared" si="2"/>
        <v>49.717506642957588</v>
      </c>
    </row>
    <row r="29" spans="2:13" s="26" customFormat="1" x14ac:dyDescent="0.25">
      <c r="B29" s="184">
        <v>20</v>
      </c>
      <c r="C29" s="36">
        <v>2.0040873720041583E-2</v>
      </c>
      <c r="D29" s="71">
        <f t="shared" si="0"/>
        <v>6.5460140291593097E-2</v>
      </c>
      <c r="E29" s="61">
        <v>205.66705104266885</v>
      </c>
      <c r="F29" s="32">
        <f t="shared" si="3"/>
        <v>13.462994014611342</v>
      </c>
      <c r="G29" s="32">
        <v>0.1753296553953243</v>
      </c>
      <c r="H29" s="70">
        <f t="shared" si="1"/>
        <v>0.24078979568691738</v>
      </c>
      <c r="I29" s="119">
        <f t="shared" si="2"/>
        <v>49.522527200095041</v>
      </c>
    </row>
    <row r="30" spans="2:13" s="26" customFormat="1" x14ac:dyDescent="0.25">
      <c r="B30" s="184">
        <v>21</v>
      </c>
      <c r="C30" s="36">
        <v>2.0011427854125054E-2</v>
      </c>
      <c r="D30" s="71">
        <f t="shared" si="0"/>
        <v>6.5363960327544143E-2</v>
      </c>
      <c r="E30" s="61">
        <v>205.46731675134265</v>
      </c>
      <c r="F30" s="32">
        <f t="shared" si="3"/>
        <v>13.430157540741707</v>
      </c>
      <c r="G30" s="32">
        <v>0.17452938700978582</v>
      </c>
      <c r="H30" s="70">
        <f t="shared" si="1"/>
        <v>0.23989334733732998</v>
      </c>
      <c r="I30" s="119">
        <f t="shared" si="2"/>
        <v>49.290242383899042</v>
      </c>
    </row>
    <row r="31" spans="2:13" s="26" customFormat="1" x14ac:dyDescent="0.25">
      <c r="B31" s="184">
        <v>22</v>
      </c>
      <c r="C31" s="36">
        <v>1.9984460686596803E-2</v>
      </c>
      <c r="D31" s="71">
        <f t="shared" si="0"/>
        <v>6.527587661451216E-2</v>
      </c>
      <c r="E31" s="61">
        <v>205.27875596791566</v>
      </c>
      <c r="F31" s="32">
        <f t="shared" si="3"/>
        <v>13.399750746142214</v>
      </c>
      <c r="G31" s="32">
        <v>0.17364899326101813</v>
      </c>
      <c r="H31" s="70">
        <f t="shared" si="1"/>
        <v>0.2389248698755303</v>
      </c>
      <c r="I31" s="119">
        <f t="shared" si="2"/>
        <v>49.046200057844985</v>
      </c>
    </row>
    <row r="32" spans="2:13" s="26" customFormat="1" x14ac:dyDescent="0.25">
      <c r="B32" s="184">
        <v>23</v>
      </c>
      <c r="C32" s="36">
        <v>2.0080116942049055E-2</v>
      </c>
      <c r="D32" s="71">
        <f t="shared" si="0"/>
        <v>6.5588321670009483E-2</v>
      </c>
      <c r="E32" s="61">
        <v>205.24329508254439</v>
      </c>
      <c r="F32" s="32">
        <f t="shared" si="3"/>
        <v>13.461563258486597</v>
      </c>
      <c r="G32" s="32">
        <v>0.17262307562435811</v>
      </c>
      <c r="H32" s="70">
        <f t="shared" si="1"/>
        <v>0.23821139729436758</v>
      </c>
      <c r="I32" s="119">
        <f t="shared" si="2"/>
        <v>48.891292106913099</v>
      </c>
    </row>
    <row r="33" spans="2:9" s="26" customFormat="1" x14ac:dyDescent="0.25">
      <c r="B33" s="184">
        <v>24</v>
      </c>
      <c r="C33" s="36">
        <v>2.0006243622437331E-2</v>
      </c>
      <c r="D33" s="71">
        <f t="shared" si="0"/>
        <v>6.5347026907458611E-2</v>
      </c>
      <c r="E33" s="61">
        <v>205.59997876773525</v>
      </c>
      <c r="F33" s="32">
        <f t="shared" si="3"/>
        <v>13.435347344708115</v>
      </c>
      <c r="G33" s="32">
        <v>0.17133873788206733</v>
      </c>
      <c r="H33" s="70">
        <f t="shared" si="1"/>
        <v>0.23668576478952594</v>
      </c>
      <c r="I33" s="119">
        <f t="shared" si="2"/>
        <v>48.662588215351711</v>
      </c>
    </row>
    <row r="34" spans="2:9" s="105" customFormat="1" x14ac:dyDescent="0.25">
      <c r="B34" s="185">
        <v>25</v>
      </c>
      <c r="C34" s="108">
        <v>1.9936078032057807E-2</v>
      </c>
      <c r="D34" s="116">
        <f t="shared" si="0"/>
        <v>6.5117842818279273E-2</v>
      </c>
      <c r="E34" s="115">
        <v>205.97039349050775</v>
      </c>
      <c r="F34" s="113">
        <f t="shared" si="3"/>
        <v>13.412347708534016</v>
      </c>
      <c r="G34" s="113">
        <v>0.16999999946958635</v>
      </c>
      <c r="H34" s="117">
        <f t="shared" si="1"/>
        <v>0.23511784228786564</v>
      </c>
      <c r="I34" s="115">
        <f t="shared" si="2"/>
        <v>48.427314492670831</v>
      </c>
    </row>
    <row r="35" spans="2:9" s="26" customFormat="1" x14ac:dyDescent="0.25">
      <c r="B35" s="184">
        <v>26</v>
      </c>
      <c r="C35" s="36">
        <v>1.9869503000202439E-2</v>
      </c>
      <c r="D35" s="71">
        <f t="shared" si="0"/>
        <v>6.4900386684078312E-2</v>
      </c>
      <c r="E35" s="61">
        <v>206.35418686238347</v>
      </c>
      <c r="F35" s="32">
        <f t="shared" si="3"/>
        <v>13.39246652124724</v>
      </c>
      <c r="G35" s="32">
        <v>0.16925962293136104</v>
      </c>
      <c r="H35" s="70">
        <f t="shared" si="1"/>
        <v>0.23416000961543937</v>
      </c>
      <c r="I35" s="119">
        <f t="shared" si="2"/>
        <v>48.319898379881884</v>
      </c>
    </row>
    <row r="36" spans="2:9" s="26" customFormat="1" x14ac:dyDescent="0.25">
      <c r="B36" s="184">
        <v>27</v>
      </c>
      <c r="C36" s="36">
        <v>1.9806409101909186E-2</v>
      </c>
      <c r="D36" s="71">
        <f t="shared" si="0"/>
        <v>6.4694301086638054E-2</v>
      </c>
      <c r="E36" s="61">
        <v>206.75082191352308</v>
      </c>
      <c r="F36" s="32">
        <f t="shared" si="3"/>
        <v>13.375599922783348</v>
      </c>
      <c r="G36" s="32">
        <v>0.16854939183290868</v>
      </c>
      <c r="H36" s="70">
        <f t="shared" si="1"/>
        <v>0.23324369291954672</v>
      </c>
      <c r="I36" s="119">
        <f t="shared" si="2"/>
        <v>48.223325217261667</v>
      </c>
    </row>
    <row r="37" spans="2:9" s="26" customFormat="1" x14ac:dyDescent="0.25">
      <c r="B37" s="184">
        <v>28</v>
      </c>
      <c r="C37" s="36">
        <v>1.9746694230572293E-2</v>
      </c>
      <c r="D37" s="71">
        <f t="shared" si="0"/>
        <v>6.4499252511919541E-2</v>
      </c>
      <c r="E37" s="61">
        <v>207.15958839353027</v>
      </c>
      <c r="F37" s="32">
        <f t="shared" si="3"/>
        <v>13.361638602059626</v>
      </c>
      <c r="G37" s="32">
        <v>0.16786860632907277</v>
      </c>
      <c r="H37" s="70">
        <f t="shared" si="1"/>
        <v>0.23236785884099231</v>
      </c>
      <c r="I37" s="119">
        <f t="shared" si="2"/>
        <v>48.137229993385908</v>
      </c>
    </row>
    <row r="38" spans="2:9" s="26" customFormat="1" x14ac:dyDescent="0.25">
      <c r="B38" s="184">
        <v>29</v>
      </c>
      <c r="C38" s="36">
        <v>1.9690263150517955E-2</v>
      </c>
      <c r="D38" s="71">
        <f t="shared" si="0"/>
        <v>6.4314929888626485E-2</v>
      </c>
      <c r="E38" s="61">
        <v>207.57961294529005</v>
      </c>
      <c r="F38" s="32">
        <f t="shared" si="3"/>
        <v>13.350468252884552</v>
      </c>
      <c r="G38" s="32">
        <v>0.16721659669045155</v>
      </c>
      <c r="H38" s="70">
        <f t="shared" si="1"/>
        <v>0.23153152657907805</v>
      </c>
      <c r="I38" s="119">
        <f t="shared" si="2"/>
        <v>48.061224671917159</v>
      </c>
    </row>
    <row r="39" spans="2:9" s="26" customFormat="1" x14ac:dyDescent="0.25">
      <c r="B39" s="184">
        <v>30</v>
      </c>
      <c r="C39" s="36">
        <v>1.9637027073076078E-2</v>
      </c>
      <c r="D39" s="71">
        <f t="shared" si="0"/>
        <v>6.4141043203514825E-2</v>
      </c>
      <c r="E39" s="61">
        <v>208.00986859609719</v>
      </c>
      <c r="F39" s="32">
        <f t="shared" si="3"/>
        <v>13.341969968379711</v>
      </c>
      <c r="G39" s="32">
        <v>0.16659272316462281</v>
      </c>
      <c r="H39" s="70">
        <f t="shared" si="1"/>
        <v>0.23073376636813764</v>
      </c>
      <c r="I39" s="119">
        <f t="shared" si="2"/>
        <v>47.994900422918903</v>
      </c>
    </row>
    <row r="40" spans="2:9" s="26" customFormat="1" x14ac:dyDescent="0.25">
      <c r="B40" s="184">
        <v>31</v>
      </c>
      <c r="C40" s="36">
        <v>1.9586903265614374E-2</v>
      </c>
      <c r="D40" s="71">
        <f t="shared" si="0"/>
        <v>6.3977322224368555E-2</v>
      </c>
      <c r="E40" s="61">
        <v>208.44918372324065</v>
      </c>
      <c r="F40" s="32">
        <f t="shared" si="3"/>
        <v>13.336020594468367</v>
      </c>
      <c r="G40" s="32">
        <v>0.16599637577254539</v>
      </c>
      <c r="H40" s="70">
        <f t="shared" si="1"/>
        <v>0.22997369799691394</v>
      </c>
      <c r="I40" s="119">
        <f t="shared" si="2"/>
        <v>47.937829625271775</v>
      </c>
    </row>
    <row r="41" spans="2:9" s="26" customFormat="1" x14ac:dyDescent="0.25">
      <c r="B41" s="184">
        <v>32</v>
      </c>
      <c r="C41" s="36">
        <v>1.9539814693782458E-2</v>
      </c>
      <c r="D41" s="71">
        <f t="shared" si="0"/>
        <v>6.382351533145024E-2</v>
      </c>
      <c r="E41" s="61">
        <v>208.89625056718685</v>
      </c>
      <c r="F41" s="32">
        <f t="shared" si="3"/>
        <v>13.332493050757321</v>
      </c>
      <c r="G41" s="32">
        <v>0.16542697408714918</v>
      </c>
      <c r="H41" s="70">
        <f t="shared" si="1"/>
        <v>0.22925048941859943</v>
      </c>
      <c r="I41" s="119">
        <f t="shared" si="2"/>
        <v>47.889567680237967</v>
      </c>
    </row>
    <row r="42" spans="2:9" s="26" customFormat="1" x14ac:dyDescent="0.25">
      <c r="B42" s="184">
        <v>33</v>
      </c>
      <c r="C42" s="36">
        <v>1.9495689694898493E-2</v>
      </c>
      <c r="D42" s="71">
        <f t="shared" si="0"/>
        <v>6.3679388450673474E-2</v>
      </c>
      <c r="E42" s="61">
        <v>209.34963333899415</v>
      </c>
      <c r="F42" s="32">
        <f t="shared" si="3"/>
        <v>13.33125662339987</v>
      </c>
      <c r="G42" s="32">
        <v>0.16488396700732538</v>
      </c>
      <c r="H42" s="70">
        <f t="shared" si="1"/>
        <v>0.22856335545799886</v>
      </c>
      <c r="I42" s="119">
        <f t="shared" si="2"/>
        <v>47.849654659862246</v>
      </c>
    </row>
    <row r="43" spans="2:9" s="26" customFormat="1" x14ac:dyDescent="0.25">
      <c r="B43" s="184">
        <v>34</v>
      </c>
      <c r="C43" s="36">
        <v>1.9454461679994938E-2</v>
      </c>
      <c r="D43" s="71">
        <f t="shared" si="0"/>
        <v>6.3544724080385473E-2</v>
      </c>
      <c r="E43" s="61">
        <v>209.8077759586036</v>
      </c>
      <c r="F43" s="32">
        <f t="shared" si="3"/>
        <v>13.332177233208798</v>
      </c>
      <c r="G43" s="32">
        <v>0.16436683253102907</v>
      </c>
      <c r="H43" s="70">
        <f t="shared" si="1"/>
        <v>0.22791155661141455</v>
      </c>
      <c r="I43" s="119">
        <f t="shared" si="2"/>
        <v>47.817616807904265</v>
      </c>
    </row>
    <row r="44" spans="2:9" s="26" customFormat="1" x14ac:dyDescent="0.25">
      <c r="B44" s="184">
        <v>35</v>
      </c>
      <c r="C44" s="36">
        <v>1.9416068862128481E-2</v>
      </c>
      <c r="D44" s="71">
        <f t="shared" si="0"/>
        <v>6.3419320403937246E-2</v>
      </c>
      <c r="E44" s="61">
        <v>210.26900945560351</v>
      </c>
      <c r="F44" s="32">
        <f t="shared" si="3"/>
        <v>13.33511768168343</v>
      </c>
      <c r="G44" s="32">
        <v>0.16387507752853731</v>
      </c>
      <c r="H44" s="70">
        <f t="shared" si="1"/>
        <v>0.22729439793247455</v>
      </c>
      <c r="I44" s="119">
        <f t="shared" si="2"/>
        <v>47.792967908069201</v>
      </c>
    </row>
    <row r="45" spans="2:9" s="26" customFormat="1" x14ac:dyDescent="0.25">
      <c r="B45" s="184">
        <v>36</v>
      </c>
      <c r="C45" s="36">
        <v>1.9380454008767051E-2</v>
      </c>
      <c r="D45" s="71">
        <f t="shared" si="0"/>
        <v>6.3302990480897409E-2</v>
      </c>
      <c r="E45" s="61">
        <v>210.73155906067953</v>
      </c>
      <c r="F45" s="32">
        <f t="shared" si="3"/>
        <v>13.339937877242866</v>
      </c>
      <c r="G45" s="32">
        <v>0.16340823751615566</v>
      </c>
      <c r="H45" s="70">
        <f t="shared" si="1"/>
        <v>0.22671122799705307</v>
      </c>
      <c r="I45" s="119">
        <f t="shared" si="2"/>
        <v>47.775210532380171</v>
      </c>
    </row>
    <row r="46" spans="2:9" s="26" customFormat="1" x14ac:dyDescent="0.25">
      <c r="B46" s="184">
        <v>37</v>
      </c>
      <c r="C46" s="36">
        <v>1.9347564216286597E-2</v>
      </c>
      <c r="D46" s="71">
        <f t="shared" si="0"/>
        <v>6.3195561510483861E-2</v>
      </c>
      <c r="E46" s="61">
        <v>211.1935510132509</v>
      </c>
      <c r="F46" s="32">
        <f t="shared" si="3"/>
        <v>13.346495043675407</v>
      </c>
      <c r="G46" s="32">
        <v>0.16296587643045454</v>
      </c>
      <c r="H46" s="70">
        <f t="shared" si="1"/>
        <v>0.2261614379409384</v>
      </c>
      <c r="I46" s="119">
        <f t="shared" si="2"/>
        <v>47.763837181009748</v>
      </c>
    </row>
    <row r="47" spans="2:9" s="26" customFormat="1" x14ac:dyDescent="0.25">
      <c r="B47" s="184">
        <v>38</v>
      </c>
      <c r="C47" s="36">
        <v>1.9317350704818097E-2</v>
      </c>
      <c r="D47" s="71">
        <f t="shared" si="0"/>
        <v>6.3096874161466143E-2</v>
      </c>
      <c r="E47" s="61">
        <v>211.65301910849067</v>
      </c>
      <c r="F47" s="32">
        <f t="shared" si="3"/>
        <v>13.354643912582825</v>
      </c>
      <c r="G47" s="32">
        <v>0.16254758640306</v>
      </c>
      <c r="H47" s="70">
        <f t="shared" si="1"/>
        <v>0.22564446056452614</v>
      </c>
      <c r="I47" s="119">
        <f t="shared" si="2"/>
        <v>47.75833132358872</v>
      </c>
    </row>
    <row r="48" spans="2:9" s="26" customFormat="1" x14ac:dyDescent="0.25">
      <c r="B48" s="184">
        <v>39</v>
      </c>
      <c r="C48" s="36">
        <v>1.9289768631872591E-2</v>
      </c>
      <c r="D48" s="71">
        <f t="shared" si="0"/>
        <v>6.3006781963402939E-2</v>
      </c>
      <c r="E48" s="61">
        <v>212.10791100489331</v>
      </c>
      <c r="F48" s="32">
        <f t="shared" si="3"/>
        <v>13.364236901398188</v>
      </c>
      <c r="G48" s="32">
        <v>0.16215298753600393</v>
      </c>
      <c r="H48" s="70">
        <f t="shared" si="1"/>
        <v>0.22515976949940686</v>
      </c>
      <c r="I48" s="119">
        <f t="shared" si="2"/>
        <v>47.758168350862483</v>
      </c>
    </row>
    <row r="49" spans="2:9" s="26" customFormat="1" x14ac:dyDescent="0.25">
      <c r="B49" s="184">
        <v>40</v>
      </c>
      <c r="C49" s="36">
        <v>1.9264776923341703E-2</v>
      </c>
      <c r="D49" s="71">
        <f t="shared" si="0"/>
        <v>6.2925150754633702E-2</v>
      </c>
      <c r="E49" s="61">
        <v>212.55609431176018</v>
      </c>
      <c r="F49" s="32">
        <f t="shared" si="3"/>
        <v>13.375124278383648</v>
      </c>
      <c r="G49" s="32">
        <v>0.16178172767763666</v>
      </c>
      <c r="H49" s="70">
        <f t="shared" si="1"/>
        <v>0.22470687843227036</v>
      </c>
      <c r="I49" s="119">
        <f t="shared" si="2"/>
        <v>47.762816444550886</v>
      </c>
    </row>
    <row r="50" spans="2:9" s="26" customFormat="1" x14ac:dyDescent="0.25">
      <c r="B50" s="184">
        <v>41</v>
      </c>
      <c r="C50" s="36">
        <v>1.9242338120623533E-2</v>
      </c>
      <c r="D50" s="71">
        <f t="shared" si="0"/>
        <v>6.2851858182941187E-2</v>
      </c>
      <c r="E50" s="61">
        <v>212.99536247437496</v>
      </c>
      <c r="F50" s="32">
        <f t="shared" si="3"/>
        <v>13.387154315863567</v>
      </c>
      <c r="G50" s="32">
        <v>0.16143348219910161</v>
      </c>
      <c r="H50" s="70">
        <f t="shared" si="1"/>
        <v>0.22428534038204279</v>
      </c>
      <c r="I50" s="119">
        <f t="shared" si="2"/>
        <v>47.77173737236177</v>
      </c>
    </row>
    <row r="51" spans="2:9" s="26" customFormat="1" x14ac:dyDescent="0.25">
      <c r="B51" s="184">
        <v>42</v>
      </c>
      <c r="C51" s="36">
        <v>1.922241824276133E-2</v>
      </c>
      <c r="D51" s="71">
        <f t="shared" si="0"/>
        <v>6.2786793255250578E-2</v>
      </c>
      <c r="E51" s="61">
        <v>213.42344047321978</v>
      </c>
      <c r="F51" s="32">
        <f t="shared" si="3"/>
        <v>13.400173432816329</v>
      </c>
      <c r="G51" s="32">
        <v>0.16110795377137238</v>
      </c>
      <c r="H51" s="70">
        <f t="shared" si="1"/>
        <v>0.22389474702662296</v>
      </c>
      <c r="I51" s="119">
        <f t="shared" si="2"/>
        <v>47.784387214303067</v>
      </c>
    </row>
    <row r="52" spans="2:9" s="26" customFormat="1" x14ac:dyDescent="0.25">
      <c r="B52" s="184">
        <v>43</v>
      </c>
      <c r="C52" s="36">
        <v>1.9204986662606494E-2</v>
      </c>
      <c r="D52" s="71">
        <f t="shared" si="0"/>
        <v>6.2729855933136791E-2</v>
      </c>
      <c r="E52" s="61">
        <v>213.83799035230874</v>
      </c>
      <c r="F52" s="32">
        <f t="shared" si="3"/>
        <v>13.414026327831822</v>
      </c>
      <c r="G52" s="32">
        <v>0.16080487214285336</v>
      </c>
      <c r="H52" s="70">
        <f t="shared" si="1"/>
        <v>0.22353472807599015</v>
      </c>
      <c r="I52" s="119">
        <f t="shared" si="2"/>
        <v>47.80021702571954</v>
      </c>
    </row>
    <row r="53" spans="2:9" s="26" customFormat="1" x14ac:dyDescent="0.25">
      <c r="B53" s="184">
        <v>44</v>
      </c>
      <c r="C53" s="36">
        <v>1.9190015996130697E-2</v>
      </c>
      <c r="D53" s="71">
        <f t="shared" si="0"/>
        <v>6.2680956771281174E-2</v>
      </c>
      <c r="E53" s="61">
        <v>214.23661659058786</v>
      </c>
      <c r="F53" s="32">
        <f t="shared" si="3"/>
        <v>13.428556103340176</v>
      </c>
      <c r="G53" s="32">
        <v>0.16052399391754146</v>
      </c>
      <c r="H53" s="70">
        <f t="shared" si="1"/>
        <v>0.22320495068882262</v>
      </c>
      <c r="I53" s="119">
        <f t="shared" si="2"/>
        <v>47.818673441842364</v>
      </c>
    </row>
    <row r="54" spans="2:9" s="26" customFormat="1" x14ac:dyDescent="0.25">
      <c r="B54" s="184">
        <v>45</v>
      </c>
      <c r="C54" s="36">
        <v>1.9177482004114524E-2</v>
      </c>
      <c r="D54" s="71">
        <f t="shared" si="0"/>
        <v>6.2640016596353973E-2</v>
      </c>
      <c r="E54" s="61">
        <v>214.61687132933579</v>
      </c>
      <c r="F54" s="32">
        <f t="shared" si="3"/>
        <v>13.443604381927159</v>
      </c>
      <c r="G54" s="32">
        <v>0.16026510233375169</v>
      </c>
      <c r="H54" s="70">
        <f t="shared" si="1"/>
        <v>0.22290511893010567</v>
      </c>
      <c r="I54" s="119">
        <f t="shared" si="2"/>
        <v>47.839199228072779</v>
      </c>
    </row>
    <row r="55" spans="2:9" s="26" customFormat="1" x14ac:dyDescent="0.25">
      <c r="B55" s="184">
        <v>46</v>
      </c>
      <c r="C55" s="36">
        <v>1.9167363505534371E-2</v>
      </c>
      <c r="D55" s="71">
        <f t="shared" si="0"/>
        <v>6.2606966224107247E-2</v>
      </c>
      <c r="E55" s="61">
        <v>214.9762594675951</v>
      </c>
      <c r="F55" s="32">
        <f t="shared" si="3"/>
        <v>13.459011415472641</v>
      </c>
      <c r="G55" s="32">
        <v>0.16002800704340495</v>
      </c>
      <c r="H55" s="70">
        <f t="shared" si="1"/>
        <v>0.22263497326751219</v>
      </c>
      <c r="I55" s="119">
        <f t="shared" si="2"/>
        <v>47.8612337797178</v>
      </c>
    </row>
    <row r="56" spans="2:9" s="26" customFormat="1" x14ac:dyDescent="0.25">
      <c r="B56" s="184">
        <v>47</v>
      </c>
      <c r="C56" s="36">
        <v>1.9159642302055482E-2</v>
      </c>
      <c r="D56" s="71">
        <f t="shared" si="0"/>
        <v>6.2581746212744038E-2</v>
      </c>
      <c r="E56" s="61">
        <v>215.3122436368588</v>
      </c>
      <c r="F56" s="32">
        <f t="shared" si="3"/>
        <v>13.474616187778409</v>
      </c>
      <c r="G56" s="32">
        <v>0.15981254389187821</v>
      </c>
      <c r="H56" s="70">
        <f t="shared" si="1"/>
        <v>0.22239429010462225</v>
      </c>
      <c r="I56" s="119">
        <f t="shared" si="2"/>
        <v>47.88421357445268</v>
      </c>
    </row>
    <row r="57" spans="2:9" s="26" customFormat="1" x14ac:dyDescent="0.25">
      <c r="B57" s="184">
        <v>48</v>
      </c>
      <c r="C57" s="36">
        <v>1.9154303113119688E-2</v>
      </c>
      <c r="D57" s="71">
        <f t="shared" si="0"/>
        <v>6.256430665089345E-2</v>
      </c>
      <c r="E57" s="61">
        <v>215.62224906551606</v>
      </c>
      <c r="F57" s="32">
        <f t="shared" si="3"/>
        <v>13.490256511290271</v>
      </c>
      <c r="G57" s="32">
        <v>0.15961857469841748</v>
      </c>
      <c r="H57" s="70">
        <f t="shared" si="1"/>
        <v>0.22218288134931091</v>
      </c>
      <c r="I57" s="119">
        <f t="shared" si="2"/>
        <v>47.907572580395119</v>
      </c>
    </row>
    <row r="58" spans="2:9" s="26" customFormat="1" x14ac:dyDescent="0.25">
      <c r="B58" s="184">
        <v>49</v>
      </c>
      <c r="C58" s="36">
        <v>1.9151333521190188E-2</v>
      </c>
      <c r="D58" s="71">
        <f t="shared" si="0"/>
        <v>6.2554606978761917E-2</v>
      </c>
      <c r="E58" s="61">
        <v>215.90366834291743</v>
      </c>
      <c r="F58" s="32">
        <f t="shared" si="3"/>
        <v>13.50576911846416</v>
      </c>
      <c r="G58" s="32">
        <v>0.15944598703711357</v>
      </c>
      <c r="H58" s="70">
        <f t="shared" si="1"/>
        <v>0.22200059401587549</v>
      </c>
      <c r="I58" s="119">
        <f t="shared" si="2"/>
        <v>47.930742622334243</v>
      </c>
    </row>
    <row r="59" spans="2:9" s="26" customFormat="1" x14ac:dyDescent="0.25">
      <c r="B59" s="184">
        <v>50</v>
      </c>
      <c r="C59" s="36">
        <v>1.9150723926786063E-2</v>
      </c>
      <c r="D59" s="71">
        <f t="shared" si="0"/>
        <v>6.2552615841261011E-2</v>
      </c>
      <c r="E59" s="61">
        <v>216.15386609235568</v>
      </c>
      <c r="F59" s="32">
        <f t="shared" si="3"/>
        <v>13.520989748278499</v>
      </c>
      <c r="G59" s="32">
        <v>0.15929469401844012</v>
      </c>
      <c r="H59" s="70">
        <f t="shared" si="1"/>
        <v>0.22184730985970114</v>
      </c>
      <c r="I59" s="119">
        <f t="shared" si="2"/>
        <v>47.953153708363182</v>
      </c>
    </row>
    <row r="60" spans="2:9" s="26" customFormat="1" x14ac:dyDescent="0.25">
      <c r="B60" s="184">
        <v>51</v>
      </c>
      <c r="C60" s="36">
        <v>1.9152467513004177E-2</v>
      </c>
      <c r="D60" s="71">
        <f t="shared" si="0"/>
        <v>6.2558310972124193E-2</v>
      </c>
      <c r="E60" s="61">
        <v>216.37018356173934</v>
      </c>
      <c r="F60" s="32">
        <f t="shared" si="3"/>
        <v>13.535753228350883</v>
      </c>
      <c r="G60" s="32">
        <v>0.15916463407135453</v>
      </c>
      <c r="H60" s="70">
        <f t="shared" si="1"/>
        <v>0.22172294504347873</v>
      </c>
      <c r="I60" s="119">
        <f t="shared" si="2"/>
        <v>47.974234318906937</v>
      </c>
    </row>
    <row r="61" spans="2:9" s="26" customFormat="1" x14ac:dyDescent="0.25">
      <c r="B61" s="184">
        <v>52</v>
      </c>
      <c r="C61" s="36">
        <v>1.915656021928969E-2</v>
      </c>
      <c r="D61" s="71">
        <f t="shared" si="0"/>
        <v>6.2571679108232664E-2</v>
      </c>
      <c r="E61" s="61">
        <v>216.54994314030625</v>
      </c>
      <c r="F61" s="32">
        <f t="shared" si="3"/>
        <v>13.549893553081272</v>
      </c>
      <c r="G61" s="32">
        <v>0.15905577072596117</v>
      </c>
      <c r="H61" s="70">
        <f t="shared" si="1"/>
        <v>0.22162744983419383</v>
      </c>
      <c r="I61" s="119">
        <f t="shared" si="2"/>
        <v>47.993411659925748</v>
      </c>
    </row>
    <row r="62" spans="2:9" s="26" customFormat="1" x14ac:dyDescent="0.25">
      <c r="B62" s="184">
        <v>53</v>
      </c>
      <c r="C62" s="36">
        <v>1.9163000724275129E-2</v>
      </c>
      <c r="D62" s="71">
        <f t="shared" si="0"/>
        <v>6.2592715933561985E-2</v>
      </c>
      <c r="E62" s="61">
        <v>216.69045280931147</v>
      </c>
      <c r="F62" s="32">
        <f t="shared" si="3"/>
        <v>13.563243958208151</v>
      </c>
      <c r="G62" s="32">
        <v>0.15896809239673759</v>
      </c>
      <c r="H62" s="70">
        <f t="shared" si="1"/>
        <v>0.22156080833029956</v>
      </c>
      <c r="I62" s="119">
        <f t="shared" si="2"/>
        <v>48.010111881889678</v>
      </c>
    </row>
    <row r="63" spans="2:9" s="26" customFormat="1" x14ac:dyDescent="0.25">
      <c r="B63" s="184">
        <v>54</v>
      </c>
      <c r="C63" s="36">
        <v>1.9171790437567143E-2</v>
      </c>
      <c r="D63" s="71">
        <f t="shared" si="0"/>
        <v>6.2621426052354989E-2</v>
      </c>
      <c r="E63" s="61">
        <v>216.78901053429846</v>
      </c>
      <c r="F63" s="32">
        <f t="shared" si="3"/>
        <v>13.575636992136777</v>
      </c>
      <c r="G63" s="32">
        <v>0.15890161216632298</v>
      </c>
      <c r="H63" s="70">
        <f t="shared" si="1"/>
        <v>0.22152303821867797</v>
      </c>
      <c r="I63" s="119">
        <f t="shared" si="2"/>
        <v>48.02376026597878</v>
      </c>
    </row>
    <row r="64" spans="2:9" s="26" customFormat="1" x14ac:dyDescent="0.25">
      <c r="B64" s="184">
        <v>55</v>
      </c>
      <c r="C64" s="36">
        <v>1.9182933500415656E-2</v>
      </c>
      <c r="D64" s="71">
        <f t="shared" si="0"/>
        <v>6.2657822991307413E-2</v>
      </c>
      <c r="E64" s="61">
        <v>216.84290860624836</v>
      </c>
      <c r="F64" s="32">
        <f t="shared" si="3"/>
        <v>13.58690458437056</v>
      </c>
      <c r="G64" s="32">
        <v>0.15885636756986976</v>
      </c>
      <c r="H64" s="70">
        <f t="shared" si="1"/>
        <v>0.22151419056117716</v>
      </c>
      <c r="I64" s="119">
        <f t="shared" si="2"/>
        <v>48.033781378844424</v>
      </c>
    </row>
    <row r="65" spans="2:9" s="26" customFormat="1" x14ac:dyDescent="0.25">
      <c r="B65" s="184">
        <v>56</v>
      </c>
      <c r="C65" s="36">
        <v>1.9196436795256917E-2</v>
      </c>
      <c r="D65" s="71">
        <f t="shared" si="0"/>
        <v>6.2701929230738668E-2</v>
      </c>
      <c r="E65" s="61">
        <v>216.84943793866213</v>
      </c>
      <c r="F65" s="32">
        <f t="shared" si="3"/>
        <v>13.59687811135545</v>
      </c>
      <c r="G65" s="32">
        <v>0.15883242037995696</v>
      </c>
      <c r="H65" s="70">
        <f t="shared" si="1"/>
        <v>0.22153434961069562</v>
      </c>
      <c r="I65" s="119">
        <f t="shared" si="2"/>
        <v>48.039599197186419</v>
      </c>
    </row>
    <row r="66" spans="2:9" s="26" customFormat="1" x14ac:dyDescent="0.25">
      <c r="B66" s="184">
        <v>57</v>
      </c>
      <c r="C66" s="36">
        <v>1.9212309964176909E-2</v>
      </c>
      <c r="D66" s="71">
        <f t="shared" si="0"/>
        <v>6.2753776264899447E-2</v>
      </c>
      <c r="E66" s="61">
        <v>216.80589232740476</v>
      </c>
      <c r="F66" s="32">
        <f t="shared" si="3"/>
        <v>13.605388460025837</v>
      </c>
      <c r="G66" s="32">
        <v>0.15882985639206701</v>
      </c>
      <c r="H66" s="70">
        <f t="shared" si="1"/>
        <v>0.22158363265696646</v>
      </c>
      <c r="I66" s="119">
        <f t="shared" si="2"/>
        <v>48.040637203341483</v>
      </c>
    </row>
    <row r="67" spans="2:9" s="26" customFormat="1" x14ac:dyDescent="0.25">
      <c r="B67" s="184">
        <v>58</v>
      </c>
      <c r="C67" s="36">
        <v>1.9230565436398089E-2</v>
      </c>
      <c r="D67" s="71">
        <f t="shared" si="0"/>
        <v>6.2813404691752547E-2</v>
      </c>
      <c r="E67" s="61">
        <v>216.70957267997261</v>
      </c>
      <c r="F67" s="32">
        <f t="shared" si="3"/>
        <v>13.612266089323882</v>
      </c>
      <c r="G67" s="32">
        <v>0.15884878521062479</v>
      </c>
      <c r="H67" s="70">
        <f t="shared" si="1"/>
        <v>0.22166218990237735</v>
      </c>
      <c r="I67" s="119">
        <f t="shared" si="2"/>
        <v>48.036318453051138</v>
      </c>
    </row>
    <row r="68" spans="2:9" s="26" customFormat="1" x14ac:dyDescent="0.25">
      <c r="B68" s="184">
        <v>59</v>
      </c>
      <c r="C68" s="36">
        <v>1.9251218464949049E-2</v>
      </c>
      <c r="D68" s="71">
        <f t="shared" si="0"/>
        <v>6.2880864332748143E-2</v>
      </c>
      <c r="E68" s="61">
        <v>216.55779122070277</v>
      </c>
      <c r="F68" s="32">
        <f t="shared" si="3"/>
        <v>13.617341089948608</v>
      </c>
      <c r="G68" s="32">
        <v>0.15888934003559918</v>
      </c>
      <c r="H68" s="70">
        <f t="shared" si="1"/>
        <v>0.22177020436834732</v>
      </c>
      <c r="I68" s="119">
        <f t="shared" si="2"/>
        <v>48.026065616573142</v>
      </c>
    </row>
    <row r="69" spans="2:9" s="26" customFormat="1" ht="15.75" customHeight="1" x14ac:dyDescent="0.25">
      <c r="B69" s="186">
        <v>59.983333333333299</v>
      </c>
      <c r="C69" s="36">
        <v>1.9274287172735261E-2</v>
      </c>
      <c r="D69" s="71">
        <f t="shared" si="0"/>
        <v>6.2956214383306133E-2</v>
      </c>
      <c r="E69" s="61">
        <v>216.34787567834101</v>
      </c>
      <c r="F69" s="32">
        <f>D69*E69</f>
        <v>13.620443242578499</v>
      </c>
      <c r="G69" s="32">
        <v>0.15895167744966729</v>
      </c>
      <c r="H69" s="70">
        <f>D69+G69</f>
        <v>0.22190789183297344</v>
      </c>
      <c r="I69" s="119">
        <f>H69*E69</f>
        <v>48.009300994322885</v>
      </c>
    </row>
    <row r="70" spans="2:9" s="26" customFormat="1" x14ac:dyDescent="0.25">
      <c r="D70" s="28"/>
      <c r="I70" s="28"/>
    </row>
    <row r="71" spans="2:9" s="26" customFormat="1" x14ac:dyDescent="0.25">
      <c r="D71" s="28"/>
      <c r="I71" s="2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74"/>
  <sheetViews>
    <sheetView zoomScale="70" zoomScaleNormal="70" workbookViewId="0">
      <selection activeCell="D13" sqref="D13:D73"/>
    </sheetView>
  </sheetViews>
  <sheetFormatPr defaultRowHeight="15" x14ac:dyDescent="0.25"/>
  <cols>
    <col min="2" max="2" width="31.28515625" customWidth="1"/>
    <col min="3" max="3" width="54.140625" style="1" customWidth="1"/>
    <col min="4" max="4" width="23.5703125" bestFit="1" customWidth="1"/>
    <col min="5" max="5" width="20.7109375" customWidth="1"/>
    <col min="6" max="6" width="7" customWidth="1"/>
    <col min="7" max="9" width="9.140625" customWidth="1"/>
  </cols>
  <sheetData>
    <row r="1" spans="2:5" ht="22.5" customHeight="1" x14ac:dyDescent="0.25">
      <c r="B1" s="236" t="s">
        <v>72</v>
      </c>
      <c r="C1" s="237"/>
      <c r="D1" s="237"/>
      <c r="E1" s="238"/>
    </row>
    <row r="2" spans="2:5" x14ac:dyDescent="0.25">
      <c r="B2" s="200"/>
      <c r="C2" s="187"/>
      <c r="D2" s="187"/>
      <c r="E2" s="200" t="s">
        <v>13</v>
      </c>
    </row>
    <row r="3" spans="2:5" x14ac:dyDescent="0.25">
      <c r="B3" s="200" t="s">
        <v>90</v>
      </c>
      <c r="C3" s="187" t="s">
        <v>92</v>
      </c>
      <c r="D3" s="233" t="s">
        <v>91</v>
      </c>
      <c r="E3" s="200">
        <v>162.15</v>
      </c>
    </row>
    <row r="4" spans="2:5" ht="30" x14ac:dyDescent="0.25">
      <c r="B4" s="200" t="s">
        <v>4</v>
      </c>
      <c r="C4" s="187" t="s">
        <v>5</v>
      </c>
      <c r="D4" s="234"/>
      <c r="E4" s="187">
        <v>11.2536</v>
      </c>
    </row>
    <row r="5" spans="2:5" x14ac:dyDescent="0.25">
      <c r="B5" s="200" t="s">
        <v>6</v>
      </c>
      <c r="C5" s="187" t="s">
        <v>7</v>
      </c>
      <c r="D5" s="234"/>
      <c r="E5" s="187">
        <v>0.13500000000000001</v>
      </c>
    </row>
    <row r="6" spans="2:5" x14ac:dyDescent="0.25">
      <c r="B6" s="200" t="s">
        <v>8</v>
      </c>
      <c r="C6" s="187" t="s">
        <v>9</v>
      </c>
      <c r="D6" s="235"/>
      <c r="E6" s="200">
        <v>1.1000000000000001</v>
      </c>
    </row>
    <row r="7" spans="2:5" ht="30" customHeight="1" x14ac:dyDescent="0.25">
      <c r="B7" s="187" t="s">
        <v>17</v>
      </c>
      <c r="C7" s="187" t="s">
        <v>89</v>
      </c>
      <c r="D7" s="187"/>
      <c r="E7" s="201">
        <v>151</v>
      </c>
    </row>
    <row r="8" spans="2:5" ht="30" customHeight="1" x14ac:dyDescent="0.25">
      <c r="B8" s="202" t="s">
        <v>257</v>
      </c>
      <c r="C8" s="6" t="s">
        <v>259</v>
      </c>
      <c r="D8" s="203" t="s">
        <v>228</v>
      </c>
      <c r="E8" s="204">
        <f>162.15 - 2 * (162.15 - 151) / (EXP(0.135 * (1 - 11.2536)) + EXP(1.27 * (1- 11.2536)))</f>
        <v>73.134202609885094</v>
      </c>
    </row>
    <row r="9" spans="2:5" ht="30" customHeight="1" x14ac:dyDescent="0.25">
      <c r="B9" s="202" t="s">
        <v>258</v>
      </c>
      <c r="C9" s="6" t="s">
        <v>260</v>
      </c>
      <c r="D9" s="205" t="s">
        <v>229</v>
      </c>
      <c r="E9" s="204">
        <f>162.15 * (1 - 1 / (1 + ((1+ 0.75) / 2.3)^0.7))</f>
        <v>73.343525168957868</v>
      </c>
    </row>
    <row r="10" spans="2:5" ht="30" customHeight="1" x14ac:dyDescent="0.25">
      <c r="B10" s="147"/>
      <c r="C10" s="148"/>
      <c r="D10" s="195"/>
    </row>
    <row r="11" spans="2:5" ht="30" customHeight="1" x14ac:dyDescent="0.25">
      <c r="B11" s="230" t="s">
        <v>146</v>
      </c>
      <c r="C11" s="231"/>
      <c r="D11" s="231"/>
      <c r="E11" s="206"/>
    </row>
    <row r="12" spans="2:5" ht="20.25" customHeight="1" x14ac:dyDescent="0.25">
      <c r="B12" s="207" t="s">
        <v>15</v>
      </c>
      <c r="C12" s="207" t="s">
        <v>16</v>
      </c>
      <c r="D12" s="207" t="s">
        <v>18</v>
      </c>
      <c r="E12" s="207" t="s">
        <v>244</v>
      </c>
    </row>
    <row r="13" spans="2:5" ht="21.75" customHeight="1" x14ac:dyDescent="0.25">
      <c r="B13" s="149">
        <v>0.5</v>
      </c>
      <c r="C13" s="150"/>
      <c r="D13" s="151">
        <f>162.15 * (1 - 1 / (1 + ((B13 + 0.75) / 2.3)^0.7)) * 73.13/ 73.34</f>
        <v>63.846796951283025</v>
      </c>
      <c r="E13" s="11"/>
    </row>
    <row r="14" spans="2:5" ht="42" customHeight="1" x14ac:dyDescent="0.25">
      <c r="B14" s="145">
        <v>1</v>
      </c>
      <c r="C14" s="194" t="s">
        <v>230</v>
      </c>
      <c r="D14" s="125">
        <f>162.15 * (1 - 1 / (1 + ((B14 + 0.75) / 2.3)^0.7)) * 73.13/ 73.34</f>
        <v>73.133515075073461</v>
      </c>
      <c r="E14" s="11"/>
    </row>
    <row r="15" spans="2:5" ht="19.5" customHeight="1" x14ac:dyDescent="0.25">
      <c r="B15" s="146">
        <v>2</v>
      </c>
      <c r="C15" s="6"/>
      <c r="D15" s="126">
        <f>162.15 * (1 - 1 / (1 + ((B15 + 0.75) / 2.3)^0.7)) * 73.13/ 73.34</f>
        <v>85.8923535915862</v>
      </c>
      <c r="E15" s="11">
        <v>90.9</v>
      </c>
    </row>
    <row r="16" spans="2:5" ht="20.25" customHeight="1" x14ac:dyDescent="0.25">
      <c r="B16" s="146">
        <v>3</v>
      </c>
      <c r="D16" s="126">
        <f>162.15 * (1 - 1 / (1 + ((B16 + 0.75) / 2.3)^0.7)) * 73.13/ 73.34</f>
        <v>94.541359016210961</v>
      </c>
      <c r="E16" s="11">
        <v>99</v>
      </c>
    </row>
    <row r="17" spans="2:5" ht="35.25" customHeight="1" x14ac:dyDescent="0.25">
      <c r="B17" s="146">
        <v>4</v>
      </c>
      <c r="C17" s="6" t="s">
        <v>231</v>
      </c>
      <c r="D17" s="126">
        <f>162.15 - 2 * (162.15 - 151) / (EXP(0.135 * (B17 - 11.2536)) + EXP(1.27 * (B17 - 11.2536)))</f>
        <v>102.79377912809166</v>
      </c>
      <c r="E17" s="11">
        <v>106.1</v>
      </c>
    </row>
    <row r="18" spans="2:5" x14ac:dyDescent="0.25">
      <c r="B18" s="145">
        <v>5</v>
      </c>
      <c r="C18" s="23"/>
      <c r="D18" s="125">
        <f>162.15 - 2 * (162.15 - 151) / (EXP(0.135 * (B18 - 11.2536)) + EXP(1.27 * (B18 - 11.2536)))</f>
        <v>110.31860080082637</v>
      </c>
      <c r="E18" s="152">
        <v>113.6</v>
      </c>
    </row>
    <row r="19" spans="2:5" x14ac:dyDescent="0.25">
      <c r="B19" s="146">
        <v>6</v>
      </c>
      <c r="C19" s="6"/>
      <c r="D19" s="126">
        <f>162.15 - 2 * (162.15 - 151) / (EXP(0.135 * (B19 - 11.2536)) + EXP(1.27 * (B19 - 11.2536)))</f>
        <v>116.94293516675691</v>
      </c>
      <c r="E19" s="83">
        <v>118.75</v>
      </c>
    </row>
    <row r="20" spans="2:5" x14ac:dyDescent="0.25">
      <c r="B20" s="146">
        <v>7</v>
      </c>
      <c r="C20" s="6"/>
      <c r="D20" s="126">
        <f t="shared" ref="D20:D73" si="0">162.15 - 2 * (162.15 - 151) / (EXP(0.135 * (B20 - 11.2536)) + EXP(1.27 * (B20 - 11.2536)))</f>
        <v>122.86468769382844</v>
      </c>
      <c r="E20" s="83">
        <v>126</v>
      </c>
    </row>
    <row r="21" spans="2:5" x14ac:dyDescent="0.25">
      <c r="B21" s="146">
        <v>8</v>
      </c>
      <c r="C21" s="6"/>
      <c r="D21" s="126">
        <f t="shared" si="0"/>
        <v>128.39169770546997</v>
      </c>
      <c r="E21" s="83">
        <v>131.85</v>
      </c>
    </row>
    <row r="22" spans="2:5" x14ac:dyDescent="0.25">
      <c r="B22" s="146">
        <v>9</v>
      </c>
      <c r="C22" s="6"/>
      <c r="D22" s="126">
        <f t="shared" si="0"/>
        <v>134.09393224350492</v>
      </c>
      <c r="E22" s="83">
        <v>138.80000000000001</v>
      </c>
    </row>
    <row r="23" spans="2:5" x14ac:dyDescent="0.25">
      <c r="B23" s="145">
        <v>10</v>
      </c>
      <c r="C23" s="23"/>
      <c r="D23" s="125">
        <f t="shared" si="0"/>
        <v>140.86757931933013</v>
      </c>
      <c r="E23" s="17">
        <v>143.9</v>
      </c>
    </row>
    <row r="24" spans="2:5" x14ac:dyDescent="0.25">
      <c r="B24" s="146">
        <v>11</v>
      </c>
      <c r="C24" s="6"/>
      <c r="D24" s="126">
        <f t="shared" si="0"/>
        <v>148.96245456446943</v>
      </c>
      <c r="E24" s="83">
        <v>151.69999999999999</v>
      </c>
    </row>
    <row r="25" spans="2:5" x14ac:dyDescent="0.25">
      <c r="B25" s="146">
        <v>12</v>
      </c>
      <c r="C25" s="6"/>
      <c r="D25" s="126">
        <f t="shared" si="0"/>
        <v>156.10069388016007</v>
      </c>
      <c r="E25" s="83">
        <v>157.19999999999999</v>
      </c>
    </row>
    <row r="26" spans="2:5" x14ac:dyDescent="0.25">
      <c r="B26" s="146">
        <v>13</v>
      </c>
      <c r="C26" s="6"/>
      <c r="D26" s="126">
        <f t="shared" si="0"/>
        <v>160.01687553922528</v>
      </c>
      <c r="E26" s="83">
        <v>158.6</v>
      </c>
    </row>
    <row r="27" spans="2:5" x14ac:dyDescent="0.25">
      <c r="B27" s="146">
        <v>14</v>
      </c>
      <c r="C27" s="6"/>
      <c r="D27" s="126">
        <f t="shared" si="0"/>
        <v>161.49732203973653</v>
      </c>
      <c r="E27" s="83">
        <v>160.6</v>
      </c>
    </row>
    <row r="28" spans="2:5" x14ac:dyDescent="0.25">
      <c r="B28" s="146">
        <v>15</v>
      </c>
      <c r="C28" s="6"/>
      <c r="D28" s="126">
        <f t="shared" si="0"/>
        <v>161.96127689238583</v>
      </c>
      <c r="E28" s="83">
        <v>161.19999999999999</v>
      </c>
    </row>
    <row r="29" spans="2:5" x14ac:dyDescent="0.25">
      <c r="B29" s="146">
        <v>16</v>
      </c>
      <c r="C29" s="6"/>
      <c r="D29" s="126">
        <f t="shared" si="0"/>
        <v>162.09649102155765</v>
      </c>
      <c r="E29" s="83">
        <v>159.6</v>
      </c>
    </row>
    <row r="30" spans="2:5" x14ac:dyDescent="0.25">
      <c r="B30" s="146">
        <v>17</v>
      </c>
      <c r="C30" s="6"/>
      <c r="D30" s="126">
        <f t="shared" si="0"/>
        <v>162.1349264047526</v>
      </c>
      <c r="E30" s="83">
        <v>162.30000000000001</v>
      </c>
    </row>
    <row r="31" spans="2:5" x14ac:dyDescent="0.25">
      <c r="B31" s="146">
        <v>18</v>
      </c>
      <c r="C31" s="6"/>
      <c r="D31" s="126">
        <f t="shared" si="0"/>
        <v>162.14576263580773</v>
      </c>
      <c r="E31" s="83">
        <v>161.75</v>
      </c>
    </row>
    <row r="32" spans="2:5" x14ac:dyDescent="0.25">
      <c r="B32" s="146">
        <v>19</v>
      </c>
      <c r="C32" s="6"/>
      <c r="D32" s="126">
        <f t="shared" si="0"/>
        <v>162.1488096325391</v>
      </c>
      <c r="E32" s="83">
        <v>162.25</v>
      </c>
    </row>
    <row r="33" spans="2:5" x14ac:dyDescent="0.25">
      <c r="B33" s="146">
        <v>20</v>
      </c>
      <c r="C33" s="6"/>
      <c r="D33" s="126">
        <f t="shared" si="0"/>
        <v>162.14966567271529</v>
      </c>
      <c r="E33" s="83">
        <v>161.9</v>
      </c>
    </row>
    <row r="34" spans="2:5" x14ac:dyDescent="0.25">
      <c r="B34" s="146">
        <v>21</v>
      </c>
      <c r="C34" s="6"/>
      <c r="D34" s="126">
        <f t="shared" si="0"/>
        <v>162.14990610721546</v>
      </c>
      <c r="E34" s="83">
        <v>161.5</v>
      </c>
    </row>
    <row r="35" spans="2:5" x14ac:dyDescent="0.25">
      <c r="B35" s="146">
        <v>22</v>
      </c>
      <c r="C35" s="6"/>
      <c r="D35" s="126">
        <f t="shared" si="0"/>
        <v>162.14997363165622</v>
      </c>
      <c r="E35" s="83">
        <v>164.1</v>
      </c>
    </row>
    <row r="36" spans="2:5" x14ac:dyDescent="0.25">
      <c r="B36" s="146">
        <v>23</v>
      </c>
      <c r="C36" s="6"/>
      <c r="D36" s="126">
        <f t="shared" si="0"/>
        <v>162.14999259490992</v>
      </c>
      <c r="E36" s="83">
        <v>164.2</v>
      </c>
    </row>
    <row r="37" spans="2:5" x14ac:dyDescent="0.25">
      <c r="B37" s="146">
        <v>24</v>
      </c>
      <c r="C37" s="6"/>
      <c r="D37" s="126">
        <f t="shared" si="0"/>
        <v>162.14999792041425</v>
      </c>
      <c r="E37" s="83">
        <v>163.15</v>
      </c>
    </row>
    <row r="38" spans="2:5" x14ac:dyDescent="0.25">
      <c r="B38" s="145">
        <v>25</v>
      </c>
      <c r="C38" s="23"/>
      <c r="D38" s="125">
        <f t="shared" si="0"/>
        <v>162.14999941598637</v>
      </c>
      <c r="E38" s="17">
        <v>161.5</v>
      </c>
    </row>
    <row r="39" spans="2:5" x14ac:dyDescent="0.25">
      <c r="B39" s="146">
        <v>26</v>
      </c>
      <c r="C39" s="6"/>
      <c r="D39" s="126">
        <f t="shared" si="0"/>
        <v>162.14999983599049</v>
      </c>
      <c r="E39" s="83">
        <v>163.19999999999999</v>
      </c>
    </row>
    <row r="40" spans="2:5" x14ac:dyDescent="0.25">
      <c r="B40" s="146">
        <v>27</v>
      </c>
      <c r="C40" s="6"/>
      <c r="D40" s="126">
        <f t="shared" si="0"/>
        <v>162.14999995394095</v>
      </c>
      <c r="E40" s="83">
        <v>162.65</v>
      </c>
    </row>
    <row r="41" spans="2:5" s="87" customFormat="1" x14ac:dyDescent="0.25">
      <c r="B41" s="146">
        <v>28</v>
      </c>
      <c r="C41" s="6"/>
      <c r="D41" s="126">
        <f t="shared" si="0"/>
        <v>162.14999998706517</v>
      </c>
      <c r="E41" s="5">
        <v>161.5</v>
      </c>
    </row>
    <row r="42" spans="2:5" x14ac:dyDescent="0.25">
      <c r="B42" s="146">
        <v>29</v>
      </c>
      <c r="C42" s="6"/>
      <c r="D42" s="126">
        <f t="shared" si="0"/>
        <v>162.14999999636748</v>
      </c>
      <c r="E42" s="83">
        <v>162.5</v>
      </c>
    </row>
    <row r="43" spans="2:5" x14ac:dyDescent="0.25">
      <c r="B43" s="146">
        <v>30</v>
      </c>
      <c r="C43" s="6"/>
      <c r="D43" s="126">
        <f t="shared" si="0"/>
        <v>162.14999999897989</v>
      </c>
      <c r="E43" s="83">
        <v>161.5</v>
      </c>
    </row>
    <row r="44" spans="2:5" x14ac:dyDescent="0.25">
      <c r="B44" s="146">
        <v>31</v>
      </c>
      <c r="C44" s="6"/>
      <c r="D44" s="126">
        <f t="shared" si="0"/>
        <v>162.14999999971351</v>
      </c>
      <c r="E44" s="83">
        <v>161.1</v>
      </c>
    </row>
    <row r="45" spans="2:5" x14ac:dyDescent="0.25">
      <c r="B45" s="146">
        <v>32</v>
      </c>
      <c r="C45" s="6"/>
      <c r="D45" s="126">
        <f t="shared" si="0"/>
        <v>162.14999999991954</v>
      </c>
      <c r="E45" s="83">
        <v>163.4</v>
      </c>
    </row>
    <row r="46" spans="2:5" x14ac:dyDescent="0.25">
      <c r="B46" s="146">
        <v>33</v>
      </c>
      <c r="C46" s="6"/>
      <c r="D46" s="126">
        <f t="shared" si="0"/>
        <v>162.14999999997741</v>
      </c>
      <c r="E46" s="83">
        <v>163.6</v>
      </c>
    </row>
    <row r="47" spans="2:5" x14ac:dyDescent="0.25">
      <c r="B47" s="146">
        <v>34</v>
      </c>
      <c r="C47" s="6"/>
      <c r="D47" s="126">
        <f t="shared" si="0"/>
        <v>162.14999999999367</v>
      </c>
      <c r="E47" s="83">
        <v>163.69999999999999</v>
      </c>
    </row>
    <row r="48" spans="2:5" x14ac:dyDescent="0.25">
      <c r="B48" s="146">
        <v>35</v>
      </c>
      <c r="C48" s="6"/>
      <c r="D48" s="126">
        <f t="shared" si="0"/>
        <v>162.14999999999822</v>
      </c>
      <c r="E48" s="83">
        <v>163.30000000000001</v>
      </c>
    </row>
    <row r="49" spans="2:5" x14ac:dyDescent="0.25">
      <c r="B49" s="146">
        <v>36</v>
      </c>
      <c r="C49" s="6"/>
      <c r="D49" s="126">
        <f t="shared" si="0"/>
        <v>162.14999999999949</v>
      </c>
      <c r="E49" s="83">
        <v>163.65</v>
      </c>
    </row>
    <row r="50" spans="2:5" x14ac:dyDescent="0.25">
      <c r="B50" s="146">
        <v>37</v>
      </c>
      <c r="C50" s="6"/>
      <c r="D50" s="126">
        <f t="shared" si="0"/>
        <v>162.14999999999986</v>
      </c>
      <c r="E50" s="83">
        <v>161.44999999999999</v>
      </c>
    </row>
    <row r="51" spans="2:5" x14ac:dyDescent="0.25">
      <c r="B51" s="146">
        <v>38</v>
      </c>
      <c r="C51" s="6"/>
      <c r="D51" s="126">
        <f t="shared" si="0"/>
        <v>162.14999999999998</v>
      </c>
      <c r="E51" s="83">
        <v>162.85</v>
      </c>
    </row>
    <row r="52" spans="2:5" x14ac:dyDescent="0.25">
      <c r="B52" s="146">
        <v>39</v>
      </c>
      <c r="C52" s="6"/>
      <c r="D52" s="126">
        <f t="shared" si="0"/>
        <v>162.15</v>
      </c>
      <c r="E52" s="83">
        <v>162.19999999999999</v>
      </c>
    </row>
    <row r="53" spans="2:5" x14ac:dyDescent="0.25">
      <c r="B53" s="146">
        <v>40</v>
      </c>
      <c r="C53" s="6"/>
      <c r="D53" s="126">
        <f t="shared" si="0"/>
        <v>162.15</v>
      </c>
      <c r="E53" s="83">
        <v>162</v>
      </c>
    </row>
    <row r="54" spans="2:5" x14ac:dyDescent="0.25">
      <c r="B54" s="146">
        <v>41</v>
      </c>
      <c r="C54" s="6"/>
      <c r="D54" s="126">
        <f t="shared" si="0"/>
        <v>162.15</v>
      </c>
      <c r="E54" s="83">
        <v>162.35</v>
      </c>
    </row>
    <row r="55" spans="2:5" x14ac:dyDescent="0.25">
      <c r="B55" s="146">
        <v>42</v>
      </c>
      <c r="C55" s="6"/>
      <c r="D55" s="126">
        <f t="shared" si="0"/>
        <v>162.15</v>
      </c>
      <c r="E55" s="83">
        <v>162.1</v>
      </c>
    </row>
    <row r="56" spans="2:5" x14ac:dyDescent="0.25">
      <c r="B56" s="146">
        <v>43</v>
      </c>
      <c r="C56" s="6"/>
      <c r="D56" s="126">
        <f t="shared" si="0"/>
        <v>162.15</v>
      </c>
      <c r="E56" s="83">
        <v>161.19999999999999</v>
      </c>
    </row>
    <row r="57" spans="2:5" x14ac:dyDescent="0.25">
      <c r="B57" s="146">
        <v>44</v>
      </c>
      <c r="C57" s="6"/>
      <c r="D57" s="126">
        <f t="shared" si="0"/>
        <v>162.15</v>
      </c>
      <c r="E57" s="83">
        <v>165.1</v>
      </c>
    </row>
    <row r="58" spans="2:5" x14ac:dyDescent="0.25">
      <c r="B58" s="146">
        <v>45</v>
      </c>
      <c r="C58" s="6"/>
      <c r="D58" s="126">
        <f t="shared" si="0"/>
        <v>162.15</v>
      </c>
      <c r="E58" s="83">
        <v>165.2</v>
      </c>
    </row>
    <row r="59" spans="2:5" x14ac:dyDescent="0.25">
      <c r="B59" s="146">
        <v>46</v>
      </c>
      <c r="C59" s="6"/>
      <c r="D59" s="126">
        <f t="shared" si="0"/>
        <v>162.15</v>
      </c>
      <c r="E59" s="83">
        <v>161.15</v>
      </c>
    </row>
    <row r="60" spans="2:5" x14ac:dyDescent="0.25">
      <c r="B60" s="146">
        <v>47</v>
      </c>
      <c r="C60" s="6"/>
      <c r="D60" s="126">
        <f t="shared" si="0"/>
        <v>162.15</v>
      </c>
      <c r="E60" s="83">
        <v>160.75</v>
      </c>
    </row>
    <row r="61" spans="2:5" x14ac:dyDescent="0.25">
      <c r="B61" s="146">
        <v>48</v>
      </c>
      <c r="C61" s="6"/>
      <c r="D61" s="126">
        <f t="shared" si="0"/>
        <v>162.15</v>
      </c>
      <c r="E61" s="83">
        <v>160.80000000000001</v>
      </c>
    </row>
    <row r="62" spans="2:5" x14ac:dyDescent="0.25">
      <c r="B62" s="146">
        <v>49</v>
      </c>
      <c r="C62" s="6"/>
      <c r="D62" s="126">
        <f t="shared" si="0"/>
        <v>162.15</v>
      </c>
      <c r="E62" s="83">
        <v>161.69999999999999</v>
      </c>
    </row>
    <row r="63" spans="2:5" x14ac:dyDescent="0.25">
      <c r="B63" s="146">
        <v>50</v>
      </c>
      <c r="C63" s="6"/>
      <c r="D63" s="126">
        <f t="shared" si="0"/>
        <v>162.15</v>
      </c>
      <c r="E63" s="83">
        <v>160.80000000000001</v>
      </c>
    </row>
    <row r="64" spans="2:5" x14ac:dyDescent="0.25">
      <c r="B64" s="146">
        <v>51</v>
      </c>
      <c r="C64" s="6"/>
      <c r="D64" s="126">
        <f t="shared" si="0"/>
        <v>162.15</v>
      </c>
      <c r="E64" s="83">
        <v>161.80000000000001</v>
      </c>
    </row>
    <row r="65" spans="2:5" x14ac:dyDescent="0.25">
      <c r="B65" s="146">
        <v>52</v>
      </c>
      <c r="C65" s="6"/>
      <c r="D65" s="126">
        <f t="shared" si="0"/>
        <v>162.15</v>
      </c>
      <c r="E65" s="83">
        <v>162.1</v>
      </c>
    </row>
    <row r="66" spans="2:5" x14ac:dyDescent="0.25">
      <c r="B66" s="146">
        <v>53</v>
      </c>
      <c r="C66" s="6"/>
      <c r="D66" s="126">
        <f t="shared" si="0"/>
        <v>162.15</v>
      </c>
      <c r="E66" s="83">
        <v>162.65</v>
      </c>
    </row>
    <row r="67" spans="2:5" x14ac:dyDescent="0.25">
      <c r="B67" s="146">
        <v>54</v>
      </c>
      <c r="C67" s="6"/>
      <c r="D67" s="126">
        <f t="shared" si="0"/>
        <v>162.15</v>
      </c>
      <c r="E67" s="83">
        <v>163.19999999999999</v>
      </c>
    </row>
    <row r="68" spans="2:5" x14ac:dyDescent="0.25">
      <c r="B68" s="146">
        <v>55</v>
      </c>
      <c r="C68" s="6"/>
      <c r="D68" s="126">
        <f t="shared" si="0"/>
        <v>162.15</v>
      </c>
      <c r="E68" s="83">
        <v>162.30000000000001</v>
      </c>
    </row>
    <row r="69" spans="2:5" x14ac:dyDescent="0.25">
      <c r="B69" s="146">
        <v>56</v>
      </c>
      <c r="C69" s="6"/>
      <c r="D69" s="126">
        <f t="shared" si="0"/>
        <v>162.15</v>
      </c>
      <c r="E69" s="83">
        <v>162.1</v>
      </c>
    </row>
    <row r="70" spans="2:5" x14ac:dyDescent="0.25">
      <c r="B70" s="146">
        <v>57</v>
      </c>
      <c r="C70" s="6"/>
      <c r="D70" s="126">
        <f t="shared" si="0"/>
        <v>162.15</v>
      </c>
      <c r="E70" s="83">
        <v>159.5</v>
      </c>
    </row>
    <row r="71" spans="2:5" x14ac:dyDescent="0.25">
      <c r="B71" s="146">
        <v>58</v>
      </c>
      <c r="C71" s="6"/>
      <c r="D71" s="126">
        <f t="shared" si="0"/>
        <v>162.15</v>
      </c>
      <c r="E71" s="83">
        <v>160.30000000000001</v>
      </c>
    </row>
    <row r="72" spans="2:5" x14ac:dyDescent="0.25">
      <c r="B72" s="146">
        <v>59</v>
      </c>
      <c r="C72" s="6"/>
      <c r="D72" s="126">
        <f t="shared" si="0"/>
        <v>162.15</v>
      </c>
      <c r="E72" s="83">
        <v>161.30000000000001</v>
      </c>
    </row>
    <row r="73" spans="2:5" x14ac:dyDescent="0.25">
      <c r="B73" s="146">
        <v>60</v>
      </c>
      <c r="C73" s="6"/>
      <c r="D73" s="126">
        <f t="shared" si="0"/>
        <v>162.15</v>
      </c>
      <c r="E73" s="83">
        <v>160.6</v>
      </c>
    </row>
    <row r="74" spans="2:5" x14ac:dyDescent="0.25">
      <c r="E74" s="21"/>
    </row>
  </sheetData>
  <mergeCells count="3">
    <mergeCell ref="B11:D11"/>
    <mergeCell ref="D3:D6"/>
    <mergeCell ref="B1:E1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2:E67"/>
  <sheetViews>
    <sheetView tabSelected="1" zoomScale="70" zoomScaleNormal="70" workbookViewId="0">
      <selection activeCell="I29" sqref="I29"/>
    </sheetView>
  </sheetViews>
  <sheetFormatPr defaultColWidth="9.140625" defaultRowHeight="15.75" x14ac:dyDescent="0.25"/>
  <cols>
    <col min="1" max="1" width="9.140625" style="3"/>
    <col min="2" max="2" width="29.140625" style="2" bestFit="1" customWidth="1"/>
    <col min="3" max="3" width="41.85546875" style="2" bestFit="1" customWidth="1"/>
    <col min="4" max="4" width="42" style="3" customWidth="1"/>
    <col min="5" max="5" width="23.85546875" style="2" customWidth="1"/>
    <col min="6" max="16384" width="9.140625" style="3"/>
  </cols>
  <sheetData>
    <row r="2" spans="2:5" x14ac:dyDescent="0.25">
      <c r="B2" s="213"/>
      <c r="C2" s="208"/>
      <c r="D2" s="208" t="s">
        <v>245</v>
      </c>
      <c r="E2" s="208" t="s">
        <v>246</v>
      </c>
    </row>
    <row r="3" spans="2:5" ht="30" x14ac:dyDescent="0.25">
      <c r="B3" s="7" t="s">
        <v>247</v>
      </c>
      <c r="C3" s="8" t="s">
        <v>248</v>
      </c>
      <c r="D3" s="8" t="s">
        <v>249</v>
      </c>
      <c r="E3" s="134" t="s">
        <v>250</v>
      </c>
    </row>
    <row r="6" spans="2:5" ht="30" customHeight="1" x14ac:dyDescent="0.25">
      <c r="B6" s="215"/>
      <c r="C6" s="220" t="s">
        <v>251</v>
      </c>
      <c r="D6" s="218" t="s">
        <v>252</v>
      </c>
      <c r="E6" s="209" t="s">
        <v>253</v>
      </c>
    </row>
    <row r="7" spans="2:5" x14ac:dyDescent="0.25">
      <c r="B7" s="94">
        <v>0.5</v>
      </c>
      <c r="C7" s="16">
        <v>1000</v>
      </c>
      <c r="D7" s="89">
        <v>0.22650086452056245</v>
      </c>
      <c r="E7" s="98">
        <f>1000*D7</f>
        <v>226.50086452056246</v>
      </c>
    </row>
    <row r="8" spans="2:5" x14ac:dyDescent="0.25">
      <c r="B8" s="94">
        <v>1</v>
      </c>
      <c r="C8" s="16">
        <v>1000</v>
      </c>
      <c r="D8" s="89">
        <v>0.28689840720340182</v>
      </c>
      <c r="E8" s="98">
        <f>1000*D8</f>
        <v>286.8984072034018</v>
      </c>
    </row>
    <row r="9" spans="2:5" x14ac:dyDescent="0.25">
      <c r="B9" s="135">
        <v>2</v>
      </c>
      <c r="C9" s="15"/>
      <c r="D9" s="7">
        <v>0.36870487386088646</v>
      </c>
      <c r="E9" s="136">
        <f t="shared" ref="E9:E67" si="0">1000*D9</f>
        <v>368.70487386088644</v>
      </c>
    </row>
    <row r="10" spans="2:5" x14ac:dyDescent="0.25">
      <c r="B10" s="135">
        <v>3</v>
      </c>
      <c r="C10" s="15"/>
      <c r="D10" s="7">
        <v>0.42510867352637144</v>
      </c>
      <c r="E10" s="136">
        <f t="shared" si="0"/>
        <v>425.10867352637143</v>
      </c>
    </row>
    <row r="11" spans="2:5" x14ac:dyDescent="0.25">
      <c r="B11" s="135">
        <v>4</v>
      </c>
      <c r="C11" s="15"/>
      <c r="D11" s="7">
        <v>0.47057914915453142</v>
      </c>
      <c r="E11" s="136">
        <f t="shared" si="0"/>
        <v>470.57914915453142</v>
      </c>
    </row>
    <row r="12" spans="2:5" x14ac:dyDescent="0.25">
      <c r="B12" s="94">
        <v>5</v>
      </c>
      <c r="C12" s="16"/>
      <c r="D12" s="89">
        <v>0.51279966961523771</v>
      </c>
      <c r="E12" s="98">
        <f t="shared" si="0"/>
        <v>512.79966961523769</v>
      </c>
    </row>
    <row r="13" spans="2:5" x14ac:dyDescent="0.25">
      <c r="B13" s="135">
        <v>6</v>
      </c>
      <c r="C13" s="15"/>
      <c r="D13" s="7">
        <v>0.55707624811926204</v>
      </c>
      <c r="E13" s="136">
        <f t="shared" si="0"/>
        <v>557.076248119262</v>
      </c>
    </row>
    <row r="14" spans="2:5" x14ac:dyDescent="0.25">
      <c r="B14" s="135">
        <v>7</v>
      </c>
      <c r="C14" s="15"/>
      <c r="D14" s="7">
        <v>0.60764724269907811</v>
      </c>
      <c r="E14" s="136">
        <f t="shared" si="0"/>
        <v>607.64724269907811</v>
      </c>
    </row>
    <row r="15" spans="2:5" x14ac:dyDescent="0.25">
      <c r="B15" s="135">
        <v>8</v>
      </c>
      <c r="C15" s="15"/>
      <c r="D15" s="7">
        <v>0.66774672184227346</v>
      </c>
      <c r="E15" s="136">
        <f t="shared" si="0"/>
        <v>667.74672184227347</v>
      </c>
    </row>
    <row r="16" spans="2:5" x14ac:dyDescent="0.25">
      <c r="B16" s="135">
        <v>9</v>
      </c>
      <c r="C16" s="15"/>
      <c r="D16" s="7">
        <v>0.73890178131143558</v>
      </c>
      <c r="E16" s="136">
        <f t="shared" si="0"/>
        <v>738.90178131143557</v>
      </c>
    </row>
    <row r="17" spans="2:5" x14ac:dyDescent="0.25">
      <c r="B17" s="94">
        <v>10</v>
      </c>
      <c r="C17" s="16"/>
      <c r="D17" s="89">
        <v>0.81992235277678782</v>
      </c>
      <c r="E17" s="98">
        <f t="shared" si="0"/>
        <v>819.92235277678787</v>
      </c>
    </row>
    <row r="18" spans="2:5" x14ac:dyDescent="0.25">
      <c r="B18" s="135">
        <v>11</v>
      </c>
      <c r="C18" s="15"/>
      <c r="D18" s="7">
        <v>0.90641871371146565</v>
      </c>
      <c r="E18" s="136">
        <f t="shared" si="0"/>
        <v>906.41871371146567</v>
      </c>
    </row>
    <row r="19" spans="2:5" x14ac:dyDescent="0.25">
      <c r="B19" s="135">
        <v>12</v>
      </c>
      <c r="C19" s="15"/>
      <c r="D19" s="7">
        <v>0.99170954207725048</v>
      </c>
      <c r="E19" s="136">
        <f t="shared" si="0"/>
        <v>991.70954207725049</v>
      </c>
    </row>
    <row r="20" spans="2:5" x14ac:dyDescent="0.25">
      <c r="B20" s="135">
        <v>13</v>
      </c>
      <c r="C20" s="15"/>
      <c r="D20" s="7">
        <v>1.0690561100758007</v>
      </c>
      <c r="E20" s="136">
        <f t="shared" si="0"/>
        <v>1069.0561100758007</v>
      </c>
    </row>
    <row r="21" spans="2:5" x14ac:dyDescent="0.25">
      <c r="B21" s="135">
        <v>14</v>
      </c>
      <c r="C21" s="15"/>
      <c r="D21" s="7">
        <v>1.1339104468305861</v>
      </c>
      <c r="E21" s="136">
        <f t="shared" si="0"/>
        <v>1133.9104468305861</v>
      </c>
    </row>
    <row r="22" spans="2:5" x14ac:dyDescent="0.25">
      <c r="B22" s="135">
        <v>15</v>
      </c>
      <c r="C22" s="15"/>
      <c r="D22" s="7">
        <v>1.1848100987230223</v>
      </c>
      <c r="E22" s="136">
        <f t="shared" si="0"/>
        <v>1184.8100987230223</v>
      </c>
    </row>
    <row r="23" spans="2:5" x14ac:dyDescent="0.25">
      <c r="B23" s="135">
        <v>16</v>
      </c>
      <c r="C23" s="15"/>
      <c r="D23" s="7">
        <v>1.2227872139248779</v>
      </c>
      <c r="E23" s="136">
        <f t="shared" si="0"/>
        <v>1222.787213924878</v>
      </c>
    </row>
    <row r="24" spans="2:5" x14ac:dyDescent="0.25">
      <c r="B24" s="135">
        <v>17</v>
      </c>
      <c r="C24" s="15"/>
      <c r="D24" s="7">
        <v>1.2501544240910345</v>
      </c>
      <c r="E24" s="136">
        <f t="shared" si="0"/>
        <v>1250.1544240910346</v>
      </c>
    </row>
    <row r="25" spans="2:5" x14ac:dyDescent="0.25">
      <c r="B25" s="135">
        <v>18</v>
      </c>
      <c r="C25" s="15"/>
      <c r="D25" s="7">
        <v>1.2694776291061773</v>
      </c>
      <c r="E25" s="136">
        <f t="shared" si="0"/>
        <v>1269.4776291061773</v>
      </c>
    </row>
    <row r="26" spans="2:5" x14ac:dyDescent="0.25">
      <c r="B26" s="135">
        <v>19</v>
      </c>
      <c r="C26" s="15"/>
      <c r="D26" s="7">
        <v>1.283012584268505</v>
      </c>
      <c r="E26" s="136">
        <f t="shared" si="0"/>
        <v>1283.012584268505</v>
      </c>
    </row>
    <row r="27" spans="2:5" x14ac:dyDescent="0.25">
      <c r="B27" s="135">
        <v>20</v>
      </c>
      <c r="C27" s="15"/>
      <c r="D27" s="7">
        <v>1.2925182998646403</v>
      </c>
      <c r="E27" s="136">
        <f t="shared" si="0"/>
        <v>1292.5182998646403</v>
      </c>
    </row>
    <row r="28" spans="2:5" x14ac:dyDescent="0.25">
      <c r="B28" s="135">
        <v>21</v>
      </c>
      <c r="C28" s="15"/>
      <c r="D28" s="7">
        <v>1.2992739641305378</v>
      </c>
      <c r="E28" s="136">
        <f t="shared" si="0"/>
        <v>1299.2739641305377</v>
      </c>
    </row>
    <row r="29" spans="2:5" x14ac:dyDescent="0.25">
      <c r="B29" s="135">
        <v>22</v>
      </c>
      <c r="C29" s="15"/>
      <c r="D29" s="7">
        <v>1.3055007123485478</v>
      </c>
      <c r="E29" s="136">
        <f t="shared" si="0"/>
        <v>1305.5007123485477</v>
      </c>
    </row>
    <row r="30" spans="2:5" x14ac:dyDescent="0.25">
      <c r="B30" s="135">
        <v>23</v>
      </c>
      <c r="C30" s="15"/>
      <c r="D30" s="7">
        <v>1.3208762034466737</v>
      </c>
      <c r="E30" s="136">
        <f t="shared" si="0"/>
        <v>1320.8762034466736</v>
      </c>
    </row>
    <row r="31" spans="2:5" s="2" customFormat="1" x14ac:dyDescent="0.25">
      <c r="B31" s="135">
        <v>24</v>
      </c>
      <c r="C31" s="15"/>
      <c r="D31" s="7">
        <v>1.3292604162338533</v>
      </c>
      <c r="E31" s="136">
        <f t="shared" si="0"/>
        <v>1329.2604162338532</v>
      </c>
    </row>
    <row r="32" spans="2:5" s="2" customFormat="1" x14ac:dyDescent="0.25">
      <c r="B32" s="94">
        <v>25</v>
      </c>
      <c r="C32" s="16"/>
      <c r="D32" s="89">
        <v>1.3372771471056539</v>
      </c>
      <c r="E32" s="98">
        <f t="shared" si="0"/>
        <v>1337.277147105654</v>
      </c>
    </row>
    <row r="33" spans="2:5" s="2" customFormat="1" x14ac:dyDescent="0.25">
      <c r="B33" s="135">
        <v>26</v>
      </c>
      <c r="C33" s="15"/>
      <c r="D33" s="7">
        <v>1.3449322682605294</v>
      </c>
      <c r="E33" s="136">
        <f t="shared" si="0"/>
        <v>1344.9322682605293</v>
      </c>
    </row>
    <row r="34" spans="2:5" s="2" customFormat="1" x14ac:dyDescent="0.25">
      <c r="B34" s="135">
        <v>27</v>
      </c>
      <c r="C34" s="15"/>
      <c r="D34" s="7">
        <v>1.3522313125221144</v>
      </c>
      <c r="E34" s="136">
        <f t="shared" si="0"/>
        <v>1352.2313125221144</v>
      </c>
    </row>
    <row r="35" spans="2:5" s="2" customFormat="1" x14ac:dyDescent="0.25">
      <c r="B35" s="135">
        <v>28</v>
      </c>
      <c r="C35" s="15"/>
      <c r="D35" s="7">
        <v>1.359179498137322</v>
      </c>
      <c r="E35" s="136">
        <f t="shared" si="0"/>
        <v>1359.1794981373221</v>
      </c>
    </row>
    <row r="36" spans="2:5" s="2" customFormat="1" x14ac:dyDescent="0.25">
      <c r="B36" s="135">
        <v>29</v>
      </c>
      <c r="C36" s="15"/>
      <c r="D36" s="7">
        <v>1.3657817476787659</v>
      </c>
      <c r="E36" s="136">
        <f t="shared" si="0"/>
        <v>1365.7817476787659</v>
      </c>
    </row>
    <row r="37" spans="2:5" s="2" customFormat="1" x14ac:dyDescent="0.25">
      <c r="B37" s="135">
        <v>30</v>
      </c>
      <c r="C37" s="15"/>
      <c r="D37" s="7">
        <v>1.3720427042696122</v>
      </c>
      <c r="E37" s="136">
        <f t="shared" si="0"/>
        <v>1372.0427042696122</v>
      </c>
    </row>
    <row r="38" spans="2:5" s="2" customFormat="1" x14ac:dyDescent="0.25">
      <c r="B38" s="135">
        <v>31</v>
      </c>
      <c r="C38" s="15"/>
      <c r="D38" s="7">
        <v>1.3779667461329681</v>
      </c>
      <c r="E38" s="136">
        <f t="shared" si="0"/>
        <v>1377.9667461329682</v>
      </c>
    </row>
    <row r="39" spans="2:5" s="2" customFormat="1" x14ac:dyDescent="0.25">
      <c r="B39" s="135">
        <v>32</v>
      </c>
      <c r="C39" s="15"/>
      <c r="D39" s="7">
        <v>1.3835579998312604</v>
      </c>
      <c r="E39" s="136">
        <f t="shared" si="0"/>
        <v>1383.5579998312603</v>
      </c>
    </row>
    <row r="40" spans="2:5" s="2" customFormat="1" x14ac:dyDescent="0.25">
      <c r="B40" s="135">
        <v>33</v>
      </c>
      <c r="C40" s="15"/>
      <c r="D40" s="7">
        <v>1.3888203523719553</v>
      </c>
      <c r="E40" s="136">
        <f t="shared" si="0"/>
        <v>1388.8203523719553</v>
      </c>
    </row>
    <row r="41" spans="2:5" s="2" customFormat="1" x14ac:dyDescent="0.25">
      <c r="B41" s="135">
        <v>34</v>
      </c>
      <c r="C41" s="15"/>
      <c r="D41" s="7">
        <v>1.3937574622944491</v>
      </c>
      <c r="E41" s="136">
        <f t="shared" si="0"/>
        <v>1393.7574622944492</v>
      </c>
    </row>
    <row r="42" spans="2:5" s="2" customFormat="1" x14ac:dyDescent="0.25">
      <c r="B42" s="135">
        <v>35</v>
      </c>
      <c r="C42" s="15"/>
      <c r="D42" s="7">
        <v>1.3983727698283848</v>
      </c>
      <c r="E42" s="136">
        <f t="shared" si="0"/>
        <v>1398.3727698283847</v>
      </c>
    </row>
    <row r="43" spans="2:5" s="2" customFormat="1" x14ac:dyDescent="0.25">
      <c r="B43" s="135">
        <v>36</v>
      </c>
      <c r="C43" s="15"/>
      <c r="D43" s="7">
        <v>1.4026695062004537</v>
      </c>
      <c r="E43" s="136">
        <f t="shared" si="0"/>
        <v>1402.6695062004537</v>
      </c>
    </row>
    <row r="44" spans="2:5" s="2" customFormat="1" x14ac:dyDescent="0.25">
      <c r="B44" s="135">
        <v>37</v>
      </c>
      <c r="C44" s="15"/>
      <c r="D44" s="7">
        <v>1.4066507021573476</v>
      </c>
      <c r="E44" s="136">
        <f t="shared" si="0"/>
        <v>1406.6507021573475</v>
      </c>
    </row>
    <row r="45" spans="2:5" s="2" customFormat="1" x14ac:dyDescent="0.25">
      <c r="B45" s="135">
        <v>38</v>
      </c>
      <c r="C45" s="15"/>
      <c r="D45" s="7">
        <v>1.4103191957649581</v>
      </c>
      <c r="E45" s="136">
        <f t="shared" si="0"/>
        <v>1410.3191957649581</v>
      </c>
    </row>
    <row r="46" spans="2:5" s="2" customFormat="1" x14ac:dyDescent="0.25">
      <c r="B46" s="135">
        <v>39</v>
      </c>
      <c r="C46" s="15"/>
      <c r="D46" s="7">
        <v>1.4136776395373278</v>
      </c>
      <c r="E46" s="136">
        <f t="shared" si="0"/>
        <v>1413.6776395373279</v>
      </c>
    </row>
    <row r="47" spans="2:5" s="2" customFormat="1" x14ac:dyDescent="0.25">
      <c r="B47" s="135">
        <v>40</v>
      </c>
      <c r="C47" s="15"/>
      <c r="D47" s="7">
        <v>1.4167285069430497</v>
      </c>
      <c r="E47" s="136">
        <f t="shared" si="0"/>
        <v>1416.7285069430498</v>
      </c>
    </row>
    <row r="48" spans="2:5" s="2" customFormat="1" x14ac:dyDescent="0.25">
      <c r="B48" s="135">
        <v>41</v>
      </c>
      <c r="C48" s="15"/>
      <c r="D48" s="7">
        <v>1.4194740983316272</v>
      </c>
      <c r="E48" s="136">
        <f t="shared" si="0"/>
        <v>1419.4740983316271</v>
      </c>
    </row>
    <row r="49" spans="2:5" s="2" customFormat="1" x14ac:dyDescent="0.25">
      <c r="B49" s="135">
        <v>42</v>
      </c>
      <c r="C49" s="15"/>
      <c r="D49" s="7">
        <v>1.4219165463176644</v>
      </c>
      <c r="E49" s="136">
        <f t="shared" si="0"/>
        <v>1421.9165463176644</v>
      </c>
    </row>
    <row r="50" spans="2:5" s="2" customFormat="1" x14ac:dyDescent="0.25">
      <c r="B50" s="135">
        <v>43</v>
      </c>
      <c r="C50" s="15"/>
      <c r="D50" s="7">
        <v>1.424057820656536</v>
      </c>
      <c r="E50" s="136">
        <f t="shared" si="0"/>
        <v>1424.057820656536</v>
      </c>
    </row>
    <row r="51" spans="2:5" s="2" customFormat="1" x14ac:dyDescent="0.25">
      <c r="B51" s="135">
        <v>44</v>
      </c>
      <c r="C51" s="15"/>
      <c r="D51" s="7">
        <v>1.4258997326414125</v>
      </c>
      <c r="E51" s="136">
        <f t="shared" si="0"/>
        <v>1425.8997326414124</v>
      </c>
    </row>
    <row r="52" spans="2:5" s="2" customFormat="1" x14ac:dyDescent="0.25">
      <c r="B52" s="135">
        <v>45</v>
      </c>
      <c r="C52" s="15"/>
      <c r="D52" s="7">
        <v>1.4274439390480627</v>
      </c>
      <c r="E52" s="136">
        <f t="shared" si="0"/>
        <v>1427.4439390480627</v>
      </c>
    </row>
    <row r="53" spans="2:5" s="2" customFormat="1" x14ac:dyDescent="0.25">
      <c r="B53" s="135">
        <v>46</v>
      </c>
      <c r="C53" s="15"/>
      <c r="D53" s="7">
        <v>1.4286919456506872</v>
      </c>
      <c r="E53" s="136">
        <f t="shared" si="0"/>
        <v>1428.6919456506873</v>
      </c>
    </row>
    <row r="54" spans="2:5" s="2" customFormat="1" x14ac:dyDescent="0.25">
      <c r="B54" s="135">
        <v>47</v>
      </c>
      <c r="C54" s="15"/>
      <c r="D54" s="7">
        <v>1.4296451103291505</v>
      </c>
      <c r="E54" s="136">
        <f t="shared" si="0"/>
        <v>1429.6451103291506</v>
      </c>
    </row>
    <row r="55" spans="2:5" s="2" customFormat="1" x14ac:dyDescent="0.25">
      <c r="B55" s="135">
        <v>48</v>
      </c>
      <c r="C55" s="15"/>
      <c r="D55" s="7">
        <v>1.4303046457853064</v>
      </c>
      <c r="E55" s="136">
        <f t="shared" si="0"/>
        <v>1430.3046457853063</v>
      </c>
    </row>
    <row r="56" spans="2:5" s="2" customFormat="1" x14ac:dyDescent="0.25">
      <c r="B56" s="135">
        <v>49</v>
      </c>
      <c r="C56" s="15"/>
      <c r="D56" s="7">
        <v>1.430671621883608</v>
      </c>
      <c r="E56" s="136">
        <f t="shared" si="0"/>
        <v>1430.6716218836079</v>
      </c>
    </row>
    <row r="57" spans="2:5" s="2" customFormat="1" x14ac:dyDescent="0.25">
      <c r="B57" s="135">
        <v>50</v>
      </c>
      <c r="C57" s="15"/>
      <c r="D57" s="7">
        <v>1.4307469676289051</v>
      </c>
      <c r="E57" s="136">
        <f t="shared" si="0"/>
        <v>1430.7469676289052</v>
      </c>
    </row>
    <row r="58" spans="2:5" s="2" customFormat="1" x14ac:dyDescent="0.25">
      <c r="B58" s="135">
        <v>51</v>
      </c>
      <c r="C58" s="15"/>
      <c r="D58" s="7">
        <v>1.4305314727920624</v>
      </c>
      <c r="E58" s="136">
        <f t="shared" si="0"/>
        <v>1430.5314727920625</v>
      </c>
    </row>
    <row r="59" spans="2:5" s="2" customFormat="1" x14ac:dyDescent="0.25">
      <c r="B59" s="135">
        <v>52</v>
      </c>
      <c r="C59" s="15"/>
      <c r="D59" s="7">
        <v>1.4300257891920536</v>
      </c>
      <c r="E59" s="136">
        <f t="shared" si="0"/>
        <v>1430.0257891920535</v>
      </c>
    </row>
    <row r="60" spans="2:5" s="2" customFormat="1" x14ac:dyDescent="0.25">
      <c r="B60" s="135">
        <v>53</v>
      </c>
      <c r="C60" s="15"/>
      <c r="D60" s="7">
        <v>1.4292304316410629</v>
      </c>
      <c r="E60" s="136">
        <f t="shared" si="0"/>
        <v>1429.230431641063</v>
      </c>
    </row>
    <row r="61" spans="2:5" s="2" customFormat="1" x14ac:dyDescent="0.25">
      <c r="B61" s="135">
        <v>54</v>
      </c>
      <c r="C61" s="15"/>
      <c r="D61" s="7">
        <v>1.4281457785573093</v>
      </c>
      <c r="E61" s="136">
        <f t="shared" si="0"/>
        <v>1428.1457785573093</v>
      </c>
    </row>
    <row r="62" spans="2:5" s="2" customFormat="1" x14ac:dyDescent="0.25">
      <c r="B62" s="135">
        <v>55</v>
      </c>
      <c r="C62" s="15"/>
      <c r="D62" s="7">
        <v>1.4267720722483141</v>
      </c>
      <c r="E62" s="136">
        <f t="shared" si="0"/>
        <v>1426.7720722483141</v>
      </c>
    </row>
    <row r="63" spans="2:5" x14ac:dyDescent="0.25">
      <c r="B63" s="135">
        <v>56</v>
      </c>
      <c r="C63" s="15"/>
      <c r="D63" s="7">
        <v>1.4251094188655518</v>
      </c>
      <c r="E63" s="136">
        <f t="shared" si="0"/>
        <v>1425.1094188655518</v>
      </c>
    </row>
    <row r="64" spans="2:5" x14ac:dyDescent="0.25">
      <c r="B64" s="135">
        <v>57</v>
      </c>
      <c r="C64" s="15"/>
      <c r="D64" s="7">
        <v>1.4231577880295028</v>
      </c>
      <c r="E64" s="136">
        <f t="shared" si="0"/>
        <v>1423.1577880295029</v>
      </c>
    </row>
    <row r="65" spans="2:5" x14ac:dyDescent="0.25">
      <c r="B65" s="135">
        <v>58</v>
      </c>
      <c r="C65" s="15"/>
      <c r="D65" s="7">
        <v>1.42091701212229</v>
      </c>
      <c r="E65" s="136">
        <f t="shared" si="0"/>
        <v>1420.9170121222901</v>
      </c>
    </row>
    <row r="66" spans="2:5" x14ac:dyDescent="0.25">
      <c r="B66" s="135">
        <v>59</v>
      </c>
      <c r="C66" s="15"/>
      <c r="D66" s="7">
        <v>1.4183867852431666</v>
      </c>
      <c r="E66" s="136">
        <f t="shared" si="0"/>
        <v>1418.3867852431667</v>
      </c>
    </row>
    <row r="67" spans="2:5" x14ac:dyDescent="0.25">
      <c r="B67" s="135">
        <v>60</v>
      </c>
      <c r="C67" s="15"/>
      <c r="D67" s="7">
        <v>1.4155666618201566</v>
      </c>
      <c r="E67" s="136">
        <f t="shared" si="0"/>
        <v>1415.5666618201565</v>
      </c>
    </row>
  </sheetData>
  <hyperlinks>
    <hyperlink ref="E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65"/>
  <sheetViews>
    <sheetView zoomScale="70" zoomScaleNormal="70" workbookViewId="0">
      <selection activeCell="E5" sqref="E5:E65"/>
    </sheetView>
  </sheetViews>
  <sheetFormatPr defaultRowHeight="15" x14ac:dyDescent="0.25"/>
  <cols>
    <col min="2" max="2" width="28.5703125" style="1" customWidth="1"/>
    <col min="3" max="3" width="17.28515625" style="1" customWidth="1"/>
    <col min="4" max="4" width="28.5703125" style="1" customWidth="1"/>
    <col min="5" max="5" width="13.7109375" bestFit="1" customWidth="1"/>
  </cols>
  <sheetData>
    <row r="1" spans="2:5" ht="69" customHeight="1" thickBot="1" x14ac:dyDescent="0.3">
      <c r="B1" s="57" t="s">
        <v>147</v>
      </c>
      <c r="C1" s="55" t="s">
        <v>12</v>
      </c>
      <c r="D1" s="56" t="s">
        <v>2</v>
      </c>
    </row>
    <row r="4" spans="2:5" ht="31.5" x14ac:dyDescent="0.25">
      <c r="B4" s="209" t="s">
        <v>15</v>
      </c>
      <c r="C4" s="209" t="s">
        <v>10</v>
      </c>
      <c r="D4" s="209" t="s">
        <v>1</v>
      </c>
      <c r="E4" s="210" t="s">
        <v>148</v>
      </c>
    </row>
    <row r="5" spans="2:5" ht="15.75" x14ac:dyDescent="0.25">
      <c r="B5" s="104">
        <v>0.5</v>
      </c>
      <c r="C5" s="88">
        <v>63.846796951283025</v>
      </c>
      <c r="D5" s="88">
        <v>6.9154266062882783</v>
      </c>
      <c r="E5" s="124">
        <f>EXP(-3.751 + 0.422 * LN(C5) + 0.515 * LN(D5))</f>
        <v>0.36748268225543174</v>
      </c>
    </row>
    <row r="6" spans="2:5" ht="15.75" x14ac:dyDescent="0.25">
      <c r="B6" s="104">
        <v>1</v>
      </c>
      <c r="C6" s="88">
        <v>73.133515075073461</v>
      </c>
      <c r="D6" s="88">
        <v>9.363369181598614</v>
      </c>
      <c r="E6" s="124">
        <f t="shared" ref="E6:E65" si="0">EXP(-3.751 + 0.422 * LN(C6) + 0.515 * LN(D6))</f>
        <v>0.45488969149254993</v>
      </c>
    </row>
    <row r="7" spans="2:5" ht="15.75" x14ac:dyDescent="0.25">
      <c r="B7" s="137">
        <v>2</v>
      </c>
      <c r="C7" s="12">
        <v>85.8923535915862</v>
      </c>
      <c r="D7" s="12">
        <v>12.915540478557535</v>
      </c>
      <c r="E7" s="123">
        <f t="shared" si="0"/>
        <v>0.57453062042081449</v>
      </c>
    </row>
    <row r="8" spans="2:5" ht="15.75" x14ac:dyDescent="0.25">
      <c r="B8" s="137">
        <v>3</v>
      </c>
      <c r="C8" s="12">
        <v>94.541359016210961</v>
      </c>
      <c r="D8" s="12">
        <v>15.501380951815555</v>
      </c>
      <c r="E8" s="123">
        <f t="shared" si="0"/>
        <v>0.6572257425427771</v>
      </c>
    </row>
    <row r="9" spans="2:5" ht="15.75" x14ac:dyDescent="0.25">
      <c r="B9" s="137">
        <v>4</v>
      </c>
      <c r="C9" s="12">
        <v>102.79377912809166</v>
      </c>
      <c r="D9" s="12">
        <v>17.658377304122929</v>
      </c>
      <c r="E9" s="123">
        <f t="shared" si="0"/>
        <v>0.72810004813477081</v>
      </c>
    </row>
    <row r="10" spans="2:5" ht="15.75" x14ac:dyDescent="0.25">
      <c r="B10" s="104">
        <v>5</v>
      </c>
      <c r="C10" s="88">
        <v>110.31860080082637</v>
      </c>
      <c r="D10" s="88">
        <v>19.714719765531608</v>
      </c>
      <c r="E10" s="124">
        <f t="shared" si="0"/>
        <v>0.79391924933230318</v>
      </c>
    </row>
    <row r="11" spans="2:5" ht="15.75" x14ac:dyDescent="0.25">
      <c r="B11" s="137">
        <v>6</v>
      </c>
      <c r="C11" s="12">
        <v>116.94293516675691</v>
      </c>
      <c r="D11" s="12">
        <v>21.92310304640738</v>
      </c>
      <c r="E11" s="123">
        <f t="shared" si="0"/>
        <v>0.85943090178124271</v>
      </c>
    </row>
    <row r="12" spans="2:5" ht="15.75" x14ac:dyDescent="0.25">
      <c r="B12" s="137">
        <v>7</v>
      </c>
      <c r="C12" s="12">
        <v>122.86468769382844</v>
      </c>
      <c r="D12" s="12">
        <v>24.506576900677818</v>
      </c>
      <c r="E12" s="123">
        <f t="shared" si="0"/>
        <v>0.9293519035452813</v>
      </c>
    </row>
    <row r="13" spans="2:5" ht="15.75" x14ac:dyDescent="0.25">
      <c r="B13" s="137">
        <v>8</v>
      </c>
      <c r="C13" s="12">
        <v>128.39169770546997</v>
      </c>
      <c r="D13" s="12">
        <v>27.656407916528913</v>
      </c>
      <c r="E13" s="123">
        <f t="shared" si="0"/>
        <v>1.0076015116435706</v>
      </c>
    </row>
    <row r="14" spans="2:5" ht="15.75" x14ac:dyDescent="0.25">
      <c r="B14" s="137">
        <v>9</v>
      </c>
      <c r="C14" s="12">
        <v>134.09393224350492</v>
      </c>
      <c r="D14" s="12">
        <v>31.490090721081462</v>
      </c>
      <c r="E14" s="123">
        <f t="shared" si="0"/>
        <v>1.0972045864183075</v>
      </c>
    </row>
    <row r="15" spans="2:5" ht="15.75" x14ac:dyDescent="0.25">
      <c r="B15" s="104">
        <v>10</v>
      </c>
      <c r="C15" s="88">
        <v>140.86757931933013</v>
      </c>
      <c r="D15" s="88">
        <v>35.983607211042894</v>
      </c>
      <c r="E15" s="124">
        <f t="shared" si="0"/>
        <v>1.1999235621706403</v>
      </c>
    </row>
    <row r="16" spans="2:5" ht="15.75" x14ac:dyDescent="0.25">
      <c r="B16" s="137">
        <v>11</v>
      </c>
      <c r="C16" s="12">
        <v>148.96245456446943</v>
      </c>
      <c r="D16" s="12">
        <v>40.920968011983341</v>
      </c>
      <c r="E16" s="123">
        <f t="shared" si="0"/>
        <v>1.3126591016380704</v>
      </c>
    </row>
    <row r="17" spans="2:5" ht="15.75" x14ac:dyDescent="0.25">
      <c r="B17" s="137">
        <v>12</v>
      </c>
      <c r="C17" s="12">
        <v>156.10069388016007</v>
      </c>
      <c r="D17" s="12">
        <v>45.921621798727614</v>
      </c>
      <c r="E17" s="123">
        <f t="shared" si="0"/>
        <v>1.4207481694198665</v>
      </c>
    </row>
    <row r="18" spans="2:5" ht="15.75" x14ac:dyDescent="0.25">
      <c r="B18" s="137">
        <v>13</v>
      </c>
      <c r="C18" s="12">
        <v>160.01687553922528</v>
      </c>
      <c r="D18" s="12">
        <v>50.562974255063295</v>
      </c>
      <c r="E18" s="123">
        <f t="shared" si="0"/>
        <v>1.508666182635569</v>
      </c>
    </row>
    <row r="19" spans="2:5" ht="15.75" x14ac:dyDescent="0.25">
      <c r="B19" s="137">
        <v>14</v>
      </c>
      <c r="C19" s="12">
        <v>161.49732203973653</v>
      </c>
      <c r="D19" s="12">
        <v>54.528713185550821</v>
      </c>
      <c r="E19" s="123">
        <f t="shared" si="0"/>
        <v>1.5745960905913443</v>
      </c>
    </row>
    <row r="20" spans="2:5" ht="15.75" x14ac:dyDescent="0.25">
      <c r="B20" s="137">
        <v>15</v>
      </c>
      <c r="C20" s="12">
        <v>161.96127689238583</v>
      </c>
      <c r="D20" s="12">
        <v>57.686468800180961</v>
      </c>
      <c r="E20" s="123">
        <f t="shared" si="0"/>
        <v>1.622878505732064</v>
      </c>
    </row>
    <row r="21" spans="2:5" ht="15.75" x14ac:dyDescent="0.25">
      <c r="B21" s="137">
        <v>16</v>
      </c>
      <c r="C21" s="12">
        <v>162.09649102155765</v>
      </c>
      <c r="D21" s="12">
        <v>60.067672365756145</v>
      </c>
      <c r="E21" s="123">
        <f t="shared" si="0"/>
        <v>1.6576234310245059</v>
      </c>
    </row>
    <row r="22" spans="2:5" ht="15.75" x14ac:dyDescent="0.25">
      <c r="B22" s="137">
        <v>17</v>
      </c>
      <c r="C22" s="12">
        <v>162.1349264047526</v>
      </c>
      <c r="D22" s="12">
        <v>61.796641311133001</v>
      </c>
      <c r="E22" s="123">
        <f t="shared" si="0"/>
        <v>1.6821945571748413</v>
      </c>
    </row>
    <row r="23" spans="2:5" ht="15.75" x14ac:dyDescent="0.25">
      <c r="B23" s="137">
        <v>18</v>
      </c>
      <c r="C23" s="12">
        <v>162.14576263580773</v>
      </c>
      <c r="D23" s="12">
        <v>63.023876884237708</v>
      </c>
      <c r="E23" s="123">
        <f t="shared" si="0"/>
        <v>1.6993651099713358</v>
      </c>
    </row>
    <row r="24" spans="2:5" ht="15.75" x14ac:dyDescent="0.25">
      <c r="B24" s="137">
        <v>19</v>
      </c>
      <c r="C24" s="12">
        <v>162.1488096325391</v>
      </c>
      <c r="D24" s="12">
        <v>63.886643111966308</v>
      </c>
      <c r="E24" s="123">
        <f t="shared" si="0"/>
        <v>1.7113198688105276</v>
      </c>
    </row>
    <row r="25" spans="2:5" ht="15.75" x14ac:dyDescent="0.25">
      <c r="B25" s="137">
        <v>20</v>
      </c>
      <c r="C25" s="12">
        <v>162.14966567271529</v>
      </c>
      <c r="D25" s="12">
        <v>64.494109284869964</v>
      </c>
      <c r="E25" s="123">
        <f t="shared" si="0"/>
        <v>1.7196845916164114</v>
      </c>
    </row>
    <row r="26" spans="2:5" ht="15.75" x14ac:dyDescent="0.25">
      <c r="B26" s="137">
        <v>21</v>
      </c>
      <c r="C26" s="12">
        <v>162.14990610721546</v>
      </c>
      <c r="D26" s="12">
        <v>64.926599621061627</v>
      </c>
      <c r="E26" s="123">
        <f t="shared" si="0"/>
        <v>1.7256150326524335</v>
      </c>
    </row>
    <row r="27" spans="2:5" ht="15.75" x14ac:dyDescent="0.25">
      <c r="B27" s="137">
        <v>22</v>
      </c>
      <c r="C27" s="12">
        <v>162.14997363165622</v>
      </c>
      <c r="D27" s="12">
        <v>65.325791514810419</v>
      </c>
      <c r="E27" s="123">
        <f t="shared" si="0"/>
        <v>1.731071208698802</v>
      </c>
    </row>
    <row r="28" spans="2:5" ht="15.75" x14ac:dyDescent="0.25">
      <c r="B28" s="104">
        <v>23</v>
      </c>
      <c r="C28" s="88">
        <v>162.14999259490992</v>
      </c>
      <c r="D28" s="88">
        <v>65.780304330831555</v>
      </c>
      <c r="E28" s="124">
        <f t="shared" si="0"/>
        <v>1.7372636054462667</v>
      </c>
    </row>
    <row r="29" spans="2:5" ht="15.75" x14ac:dyDescent="0.25">
      <c r="B29" s="137">
        <v>24</v>
      </c>
      <c r="C29" s="12">
        <v>162.14999792041425</v>
      </c>
      <c r="D29" s="12">
        <v>66.442278786561701</v>
      </c>
      <c r="E29" s="123">
        <f t="shared" si="0"/>
        <v>1.7462454098904858</v>
      </c>
    </row>
    <row r="30" spans="2:5" ht="15.75" x14ac:dyDescent="0.25">
      <c r="B30" s="104">
        <v>25</v>
      </c>
      <c r="C30" s="88">
        <v>162.14999941598637</v>
      </c>
      <c r="D30" s="88">
        <v>67.078246029899788</v>
      </c>
      <c r="E30" s="124">
        <f t="shared" si="0"/>
        <v>1.7548335398437895</v>
      </c>
    </row>
    <row r="31" spans="2:5" ht="15.75" x14ac:dyDescent="0.25">
      <c r="B31" s="137">
        <v>26</v>
      </c>
      <c r="C31" s="12">
        <v>162.14999983599049</v>
      </c>
      <c r="D31" s="12">
        <v>67.688269215733612</v>
      </c>
      <c r="E31" s="123">
        <f t="shared" si="0"/>
        <v>1.7630342860504022</v>
      </c>
    </row>
    <row r="32" spans="2:5" ht="15.75" x14ac:dyDescent="0.25">
      <c r="B32" s="137">
        <v>27</v>
      </c>
      <c r="C32" s="12">
        <v>162.14999995394095</v>
      </c>
      <c r="D32" s="12">
        <v>68.272411498951101</v>
      </c>
      <c r="E32" s="123">
        <f t="shared" si="0"/>
        <v>1.7708535756905106</v>
      </c>
    </row>
    <row r="33" spans="2:5" ht="15.75" x14ac:dyDescent="0.25">
      <c r="B33" s="137">
        <v>28</v>
      </c>
      <c r="C33" s="12">
        <v>162.14999998706517</v>
      </c>
      <c r="D33" s="12">
        <v>68.830736034440065</v>
      </c>
      <c r="E33" s="123">
        <f t="shared" si="0"/>
        <v>1.7782969989458648</v>
      </c>
    </row>
    <row r="34" spans="2:5" ht="15.75" x14ac:dyDescent="0.25">
      <c r="B34" s="137">
        <v>29</v>
      </c>
      <c r="C34" s="12">
        <v>162.14999999636748</v>
      </c>
      <c r="D34" s="12">
        <v>69.363305977088416</v>
      </c>
      <c r="E34" s="123">
        <f t="shared" si="0"/>
        <v>1.7853698292494875</v>
      </c>
    </row>
    <row r="35" spans="2:5" ht="15.75" x14ac:dyDescent="0.25">
      <c r="B35" s="137">
        <v>30</v>
      </c>
      <c r="C35" s="12">
        <v>162.14999999897989</v>
      </c>
      <c r="D35" s="12">
        <v>69.87018448178398</v>
      </c>
      <c r="E35" s="123">
        <f t="shared" si="0"/>
        <v>1.7920770406669644</v>
      </c>
    </row>
    <row r="36" spans="2:5" ht="15.75" x14ac:dyDescent="0.25">
      <c r="B36" s="137">
        <v>31</v>
      </c>
      <c r="C36" s="12">
        <v>162.14999999971351</v>
      </c>
      <c r="D36" s="12">
        <v>70.351434703414611</v>
      </c>
      <c r="E36" s="123">
        <f t="shared" si="0"/>
        <v>1.7984233234828528</v>
      </c>
    </row>
    <row r="37" spans="2:5" ht="15.75" x14ac:dyDescent="0.25">
      <c r="B37" s="137">
        <v>32</v>
      </c>
      <c r="C37" s="12">
        <v>162.14999999991954</v>
      </c>
      <c r="D37" s="12">
        <v>70.807119796868221</v>
      </c>
      <c r="E37" s="123">
        <f t="shared" si="0"/>
        <v>1.8044130983837079</v>
      </c>
    </row>
    <row r="38" spans="2:5" ht="15.75" x14ac:dyDescent="0.25">
      <c r="B38" s="137">
        <v>33</v>
      </c>
      <c r="C38" s="12">
        <v>162.14999999997741</v>
      </c>
      <c r="D38" s="12">
        <v>71.237302917032622</v>
      </c>
      <c r="E38" s="123">
        <f t="shared" si="0"/>
        <v>1.8100505294266482</v>
      </c>
    </row>
    <row r="39" spans="2:5" ht="15.75" x14ac:dyDescent="0.25">
      <c r="B39" s="137">
        <v>34</v>
      </c>
      <c r="C39" s="12">
        <v>162.14999999999367</v>
      </c>
      <c r="D39" s="12">
        <v>71.64204721879571</v>
      </c>
      <c r="E39" s="123">
        <f t="shared" si="0"/>
        <v>1.8153395359164715</v>
      </c>
    </row>
    <row r="40" spans="2:5" ht="15.75" x14ac:dyDescent="0.25">
      <c r="B40" s="137">
        <v>35</v>
      </c>
      <c r="C40" s="12">
        <v>162.14999999999822</v>
      </c>
      <c r="D40" s="12">
        <v>72.021415857045355</v>
      </c>
      <c r="E40" s="123">
        <f t="shared" si="0"/>
        <v>1.8202838032880166</v>
      </c>
    </row>
    <row r="41" spans="2:5" ht="15.75" x14ac:dyDescent="0.25">
      <c r="B41" s="137">
        <v>36</v>
      </c>
      <c r="C41" s="12">
        <v>162.14999999999949</v>
      </c>
      <c r="D41" s="12">
        <v>72.375471986669368</v>
      </c>
      <c r="E41" s="123">
        <f t="shared" si="0"/>
        <v>1.8248867930763126</v>
      </c>
    </row>
    <row r="42" spans="2:5" ht="15.75" x14ac:dyDescent="0.25">
      <c r="B42" s="137">
        <v>37</v>
      </c>
      <c r="C42" s="12">
        <v>162.14999999999986</v>
      </c>
      <c r="D42" s="12">
        <v>72.70427876255566</v>
      </c>
      <c r="E42" s="123">
        <f t="shared" si="0"/>
        <v>1.829151752047012</v>
      </c>
    </row>
    <row r="43" spans="2:5" ht="15.75" x14ac:dyDescent="0.25">
      <c r="B43" s="137">
        <v>38</v>
      </c>
      <c r="C43" s="12">
        <v>162.14999999999998</v>
      </c>
      <c r="D43" s="12">
        <v>73.0078993395921</v>
      </c>
      <c r="E43" s="123">
        <f t="shared" si="0"/>
        <v>1.8330817205514862</v>
      </c>
    </row>
    <row r="44" spans="2:5" ht="15.75" x14ac:dyDescent="0.25">
      <c r="B44" s="137">
        <v>39</v>
      </c>
      <c r="C44" s="12">
        <v>162.15</v>
      </c>
      <c r="D44" s="12">
        <v>73.286396872666501</v>
      </c>
      <c r="E44" s="123">
        <f t="shared" si="0"/>
        <v>1.836679540163896</v>
      </c>
    </row>
    <row r="45" spans="2:5" ht="15.75" x14ac:dyDescent="0.25">
      <c r="B45" s="137">
        <v>40</v>
      </c>
      <c r="C45" s="12">
        <v>162.15</v>
      </c>
      <c r="D45" s="12">
        <v>73.539834516666772</v>
      </c>
      <c r="E45" s="123">
        <f t="shared" si="0"/>
        <v>1.8399478606513409</v>
      </c>
    </row>
    <row r="46" spans="2:5" ht="15.75" x14ac:dyDescent="0.25">
      <c r="B46" s="137">
        <v>41</v>
      </c>
      <c r="C46" s="12">
        <v>162.15</v>
      </c>
      <c r="D46" s="12">
        <v>73.76827542648077</v>
      </c>
      <c r="E46" s="123">
        <f t="shared" si="0"/>
        <v>1.8428891463226258</v>
      </c>
    </row>
    <row r="47" spans="2:5" ht="15.75" x14ac:dyDescent="0.25">
      <c r="B47" s="137">
        <v>42</v>
      </c>
      <c r="C47" s="12">
        <v>162.15</v>
      </c>
      <c r="D47" s="12">
        <v>73.971782756996333</v>
      </c>
      <c r="E47" s="123">
        <f t="shared" si="0"/>
        <v>1.8455056817962137</v>
      </c>
    </row>
    <row r="48" spans="2:5" ht="15.75" x14ac:dyDescent="0.25">
      <c r="B48" s="137">
        <v>43</v>
      </c>
      <c r="C48" s="12">
        <v>162.15</v>
      </c>
      <c r="D48" s="12">
        <v>74.15041966310136</v>
      </c>
      <c r="E48" s="123">
        <f t="shared" si="0"/>
        <v>1.8477995772234119</v>
      </c>
    </row>
    <row r="49" spans="2:5" ht="15.75" x14ac:dyDescent="0.25">
      <c r="B49" s="137">
        <v>44</v>
      </c>
      <c r="C49" s="12">
        <v>162.15</v>
      </c>
      <c r="D49" s="12">
        <v>74.304249299683661</v>
      </c>
      <c r="E49" s="123">
        <f t="shared" si="0"/>
        <v>1.8497727729988007</v>
      </c>
    </row>
    <row r="50" spans="2:5" ht="15.75" x14ac:dyDescent="0.25">
      <c r="B50" s="137">
        <v>45</v>
      </c>
      <c r="C50" s="12">
        <v>162.15</v>
      </c>
      <c r="D50" s="12">
        <v>74.433334821631163</v>
      </c>
      <c r="E50" s="123">
        <f t="shared" si="0"/>
        <v>1.8514270439862035</v>
      </c>
    </row>
    <row r="51" spans="2:5" ht="15.75" x14ac:dyDescent="0.25">
      <c r="B51" s="137">
        <v>46</v>
      </c>
      <c r="C51" s="12">
        <v>162.15</v>
      </c>
      <c r="D51" s="12">
        <v>74.537739383831678</v>
      </c>
      <c r="E51" s="123">
        <f t="shared" si="0"/>
        <v>1.8527640032851145</v>
      </c>
    </row>
    <row r="52" spans="2:5" ht="15.75" x14ac:dyDescent="0.25">
      <c r="B52" s="137">
        <v>47</v>
      </c>
      <c r="C52" s="12">
        <v>162.15</v>
      </c>
      <c r="D52" s="12">
        <v>74.617526141173087</v>
      </c>
      <c r="E52" s="123">
        <f t="shared" si="0"/>
        <v>1.8537851055594012</v>
      </c>
    </row>
    <row r="53" spans="2:5" ht="15.75" x14ac:dyDescent="0.25">
      <c r="B53" s="137">
        <v>48</v>
      </c>
      <c r="C53" s="12">
        <v>162.15</v>
      </c>
      <c r="D53" s="12">
        <v>74.672758248543275</v>
      </c>
      <c r="E53" s="123">
        <f t="shared" si="0"/>
        <v>1.8544916499472395</v>
      </c>
    </row>
    <row r="54" spans="2:5" ht="15.75" x14ac:dyDescent="0.25">
      <c r="B54" s="137">
        <v>49</v>
      </c>
      <c r="C54" s="12">
        <v>162.15</v>
      </c>
      <c r="D54" s="12">
        <v>74.703498860830067</v>
      </c>
      <c r="E54" s="123">
        <f t="shared" si="0"/>
        <v>1.8548847825685495</v>
      </c>
    </row>
    <row r="55" spans="2:5" ht="15.75" x14ac:dyDescent="0.25">
      <c r="B55" s="137">
        <v>50</v>
      </c>
      <c r="C55" s="12">
        <v>162.15</v>
      </c>
      <c r="D55" s="12">
        <v>74.709811132921374</v>
      </c>
      <c r="E55" s="123">
        <f t="shared" si="0"/>
        <v>1.854965498643766</v>
      </c>
    </row>
    <row r="56" spans="2:5" ht="15.75" x14ac:dyDescent="0.25">
      <c r="B56" s="137">
        <v>51</v>
      </c>
      <c r="C56" s="12">
        <v>162.15</v>
      </c>
      <c r="D56" s="12">
        <v>74.69175821970498</v>
      </c>
      <c r="E56" s="123">
        <f t="shared" si="0"/>
        <v>1.8547346442353214</v>
      </c>
    </row>
    <row r="57" spans="2:5" ht="15.75" x14ac:dyDescent="0.25">
      <c r="B57" s="137">
        <v>52</v>
      </c>
      <c r="C57" s="12">
        <v>162.15</v>
      </c>
      <c r="D57" s="12">
        <v>74.649403276068824</v>
      </c>
      <c r="E57" s="123">
        <f t="shared" si="0"/>
        <v>1.854192917621122</v>
      </c>
    </row>
    <row r="58" spans="2:5" ht="15.75" x14ac:dyDescent="0.25">
      <c r="B58" s="137">
        <v>53</v>
      </c>
      <c r="C58" s="12">
        <v>162.15</v>
      </c>
      <c r="D58" s="12">
        <v>74.582809456900748</v>
      </c>
      <c r="E58" s="123">
        <f t="shared" si="0"/>
        <v>1.8533408703070131</v>
      </c>
    </row>
    <row r="59" spans="2:5" ht="15.75" x14ac:dyDescent="0.25">
      <c r="B59" s="137">
        <v>54</v>
      </c>
      <c r="C59" s="12">
        <v>162.15</v>
      </c>
      <c r="D59" s="12">
        <v>74.492039917088604</v>
      </c>
      <c r="E59" s="123">
        <f t="shared" si="0"/>
        <v>1.8521789076832842</v>
      </c>
    </row>
    <row r="60" spans="2:5" ht="15.75" x14ac:dyDescent="0.25">
      <c r="B60" s="137">
        <v>55</v>
      </c>
      <c r="C60" s="12">
        <v>162.15</v>
      </c>
      <c r="D60" s="12">
        <v>74.377157811520263</v>
      </c>
      <c r="E60" s="123">
        <f t="shared" si="0"/>
        <v>1.8507072893281238</v>
      </c>
    </row>
    <row r="61" spans="2:5" ht="15.75" x14ac:dyDescent="0.25">
      <c r="B61" s="137">
        <v>56</v>
      </c>
      <c r="C61" s="12">
        <v>162.15</v>
      </c>
      <c r="D61" s="12">
        <v>74.238226295083564</v>
      </c>
      <c r="E61" s="123">
        <f t="shared" si="0"/>
        <v>1.8489261289590395</v>
      </c>
    </row>
    <row r="62" spans="2:5" ht="15.75" x14ac:dyDescent="0.25">
      <c r="B62" s="137">
        <v>57</v>
      </c>
      <c r="C62" s="12">
        <v>162.15</v>
      </c>
      <c r="D62" s="12">
        <v>74.075308522666418</v>
      </c>
      <c r="E62" s="123">
        <f t="shared" si="0"/>
        <v>1.8468353940311877</v>
      </c>
    </row>
    <row r="63" spans="2:5" ht="15.75" x14ac:dyDescent="0.25">
      <c r="B63" s="137">
        <v>58</v>
      </c>
      <c r="C63" s="12">
        <v>162.15</v>
      </c>
      <c r="D63" s="12">
        <v>73.888467649156638</v>
      </c>
      <c r="E63" s="123">
        <f t="shared" si="0"/>
        <v>1.8444349049795887</v>
      </c>
    </row>
    <row r="64" spans="2:5" ht="15.75" x14ac:dyDescent="0.25">
      <c r="B64" s="137">
        <v>59</v>
      </c>
      <c r="C64" s="12">
        <v>162.15</v>
      </c>
      <c r="D64" s="12">
        <v>73.67776682944212</v>
      </c>
      <c r="E64" s="123">
        <f t="shared" si="0"/>
        <v>1.8417243341001681</v>
      </c>
    </row>
    <row r="65" spans="2:5" ht="15.75" x14ac:dyDescent="0.25">
      <c r="B65" s="137">
        <v>60</v>
      </c>
      <c r="C65" s="12">
        <v>162.15</v>
      </c>
      <c r="D65" s="12">
        <v>73.443269218410734</v>
      </c>
      <c r="E65" s="123">
        <f t="shared" si="0"/>
        <v>1.8387032040624416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F64"/>
  <sheetViews>
    <sheetView zoomScale="70" zoomScaleNormal="70" workbookViewId="0">
      <selection activeCell="E4" sqref="E4:E64"/>
    </sheetView>
  </sheetViews>
  <sheetFormatPr defaultRowHeight="15" x14ac:dyDescent="0.25"/>
  <cols>
    <col min="2" max="2" width="19" customWidth="1"/>
    <col min="3" max="3" width="21.42578125" customWidth="1"/>
    <col min="4" max="4" width="22.140625" customWidth="1"/>
    <col min="5" max="5" width="18.85546875" customWidth="1"/>
    <col min="6" max="6" width="16.28515625" customWidth="1"/>
  </cols>
  <sheetData>
    <row r="1" spans="2:6" ht="54" customHeight="1" thickBot="1" x14ac:dyDescent="0.3">
      <c r="B1" s="58" t="s">
        <v>149</v>
      </c>
      <c r="C1" s="59" t="s">
        <v>32</v>
      </c>
      <c r="D1" s="60" t="s">
        <v>31</v>
      </c>
    </row>
    <row r="3" spans="2:6" ht="31.5" x14ac:dyDescent="0.25">
      <c r="B3" s="209" t="s">
        <v>15</v>
      </c>
      <c r="C3" s="209" t="s">
        <v>1</v>
      </c>
      <c r="D3" s="209" t="s">
        <v>10</v>
      </c>
      <c r="E3" s="211" t="s">
        <v>114</v>
      </c>
      <c r="F3" s="209" t="s">
        <v>244</v>
      </c>
    </row>
    <row r="4" spans="2:6" ht="15.75" x14ac:dyDescent="0.25">
      <c r="B4" s="137">
        <v>0.5</v>
      </c>
      <c r="C4" s="12">
        <v>6.9154266062882783</v>
      </c>
      <c r="D4" s="12">
        <v>63.847397180814866</v>
      </c>
      <c r="E4" s="123">
        <f>C4 / ((D4 / 100)^2)</f>
        <v>16.964168662850781</v>
      </c>
      <c r="F4" s="11"/>
    </row>
    <row r="5" spans="2:6" ht="16.5" customHeight="1" x14ac:dyDescent="0.25">
      <c r="B5" s="137">
        <v>1</v>
      </c>
      <c r="C5" s="12">
        <v>9.363369181598614</v>
      </c>
      <c r="D5" s="12">
        <v>73.134202609885094</v>
      </c>
      <c r="E5" s="123">
        <f>C5 / ((D5 / 100)^2)</f>
        <v>17.506167762644072</v>
      </c>
      <c r="F5" s="11"/>
    </row>
    <row r="6" spans="2:6" ht="15.75" x14ac:dyDescent="0.25">
      <c r="B6" s="137">
        <v>2</v>
      </c>
      <c r="C6" s="12">
        <v>12.915540478557535</v>
      </c>
      <c r="D6" s="12">
        <v>85.893161073396499</v>
      </c>
      <c r="E6" s="123">
        <f t="shared" ref="E6:E64" si="0">C6 / ((D6 / 100)^2)</f>
        <v>17.506342167803354</v>
      </c>
      <c r="F6" s="11">
        <v>16.515000000000001</v>
      </c>
    </row>
    <row r="7" spans="2:6" ht="15.75" x14ac:dyDescent="0.25">
      <c r="B7" s="137">
        <v>3</v>
      </c>
      <c r="C7" s="12">
        <v>15.501380951815555</v>
      </c>
      <c r="D7" s="12">
        <v>94.542247808106112</v>
      </c>
      <c r="E7" s="123">
        <f t="shared" si="0"/>
        <v>17.342773088008471</v>
      </c>
      <c r="F7" s="11">
        <v>15.93</v>
      </c>
    </row>
    <row r="8" spans="2:6" ht="15.75" x14ac:dyDescent="0.25">
      <c r="B8" s="137">
        <v>4</v>
      </c>
      <c r="C8" s="12">
        <v>17.658377304122929</v>
      </c>
      <c r="D8" s="12">
        <v>102.79377912809166</v>
      </c>
      <c r="E8" s="123">
        <f t="shared" si="0"/>
        <v>16.711565151873849</v>
      </c>
      <c r="F8" s="11">
        <v>15.89</v>
      </c>
    </row>
    <row r="9" spans="2:6" ht="15.75" x14ac:dyDescent="0.25">
      <c r="B9" s="137">
        <v>5</v>
      </c>
      <c r="C9" s="12">
        <v>19.714719765531608</v>
      </c>
      <c r="D9" s="12">
        <v>110.31860080082637</v>
      </c>
      <c r="E9" s="123">
        <f t="shared" si="0"/>
        <v>16.199183250167831</v>
      </c>
      <c r="F9" s="11">
        <v>15.86</v>
      </c>
    </row>
    <row r="10" spans="2:6" ht="15.75" x14ac:dyDescent="0.25">
      <c r="B10" s="137">
        <v>6</v>
      </c>
      <c r="C10" s="12">
        <v>21.92310304640738</v>
      </c>
      <c r="D10" s="12">
        <v>116.94293516675691</v>
      </c>
      <c r="E10" s="123">
        <f t="shared" si="0"/>
        <v>16.030757521199039</v>
      </c>
      <c r="F10" s="11">
        <v>16.094999999999999</v>
      </c>
    </row>
    <row r="11" spans="2:6" ht="15.75" x14ac:dyDescent="0.25">
      <c r="B11" s="137">
        <v>7</v>
      </c>
      <c r="C11" s="12">
        <v>24.506576900677818</v>
      </c>
      <c r="D11" s="12">
        <v>122.86468769382844</v>
      </c>
      <c r="E11" s="123">
        <f t="shared" si="0"/>
        <v>16.234110238204511</v>
      </c>
      <c r="F11" s="11">
        <v>16.68</v>
      </c>
    </row>
    <row r="12" spans="2:6" ht="15.75" x14ac:dyDescent="0.25">
      <c r="B12" s="137">
        <v>8</v>
      </c>
      <c r="C12" s="12">
        <v>27.656407916528913</v>
      </c>
      <c r="D12" s="12">
        <v>128.39169770546997</v>
      </c>
      <c r="E12" s="123">
        <f t="shared" si="0"/>
        <v>16.777293000360807</v>
      </c>
      <c r="F12" s="11">
        <v>17.094999999999999</v>
      </c>
    </row>
    <row r="13" spans="2:6" ht="15.75" x14ac:dyDescent="0.25">
      <c r="B13" s="137">
        <v>9</v>
      </c>
      <c r="C13" s="12">
        <v>31.490090721081462</v>
      </c>
      <c r="D13" s="12">
        <v>134.09393224350492</v>
      </c>
      <c r="E13" s="123">
        <f t="shared" si="0"/>
        <v>17.512802860963603</v>
      </c>
      <c r="F13" s="11">
        <v>18.79</v>
      </c>
    </row>
    <row r="14" spans="2:6" ht="15.75" x14ac:dyDescent="0.25">
      <c r="B14" s="137">
        <v>10</v>
      </c>
      <c r="C14" s="12">
        <v>35.983607211042894</v>
      </c>
      <c r="D14" s="12">
        <v>140.86757931933013</v>
      </c>
      <c r="E14" s="123">
        <f t="shared" si="0"/>
        <v>18.133539975038094</v>
      </c>
      <c r="F14" s="11">
        <v>19.945</v>
      </c>
    </row>
    <row r="15" spans="2:6" ht="15.75" x14ac:dyDescent="0.25">
      <c r="B15" s="137">
        <v>11</v>
      </c>
      <c r="C15" s="12">
        <v>40.920968011983341</v>
      </c>
      <c r="D15" s="12">
        <v>148.96245456446943</v>
      </c>
      <c r="E15" s="123">
        <f t="shared" si="0"/>
        <v>18.441330826878712</v>
      </c>
      <c r="F15" s="11">
        <v>21.54</v>
      </c>
    </row>
    <row r="16" spans="2:6" ht="15.75" x14ac:dyDescent="0.25">
      <c r="B16" s="137">
        <v>12</v>
      </c>
      <c r="C16" s="12">
        <v>45.921621798727614</v>
      </c>
      <c r="D16" s="12">
        <v>156.10069388016007</v>
      </c>
      <c r="E16" s="123">
        <f t="shared" si="0"/>
        <v>18.845495052169746</v>
      </c>
      <c r="F16" s="11">
        <v>19.905000000000001</v>
      </c>
    </row>
    <row r="17" spans="2:6" ht="15.75" x14ac:dyDescent="0.25">
      <c r="B17" s="137">
        <v>13</v>
      </c>
      <c r="C17" s="12">
        <v>50.562974255063295</v>
      </c>
      <c r="D17" s="12">
        <v>160.01687553922528</v>
      </c>
      <c r="E17" s="123">
        <f t="shared" si="0"/>
        <v>19.746996083623863</v>
      </c>
      <c r="F17" s="11">
        <v>21.91</v>
      </c>
    </row>
    <row r="18" spans="2:6" ht="15.75" x14ac:dyDescent="0.25">
      <c r="B18" s="137">
        <v>14</v>
      </c>
      <c r="C18" s="12">
        <v>54.528713185550821</v>
      </c>
      <c r="D18" s="12">
        <v>161.49732203973653</v>
      </c>
      <c r="E18" s="123">
        <f t="shared" si="0"/>
        <v>20.907138609080363</v>
      </c>
      <c r="F18" s="11">
        <v>21.745000000000001</v>
      </c>
    </row>
    <row r="19" spans="2:6" ht="15.75" x14ac:dyDescent="0.25">
      <c r="B19" s="137">
        <v>15</v>
      </c>
      <c r="C19" s="12">
        <v>57.686468800180961</v>
      </c>
      <c r="D19" s="12">
        <v>161.96127689238583</v>
      </c>
      <c r="E19" s="123">
        <f t="shared" si="0"/>
        <v>21.991333813781456</v>
      </c>
      <c r="F19" s="11">
        <v>22.79</v>
      </c>
    </row>
    <row r="20" spans="2:6" ht="15.75" x14ac:dyDescent="0.25">
      <c r="B20" s="137">
        <v>16</v>
      </c>
      <c r="C20" s="12">
        <v>60.067672365756145</v>
      </c>
      <c r="D20" s="12">
        <v>162.09649102155765</v>
      </c>
      <c r="E20" s="123">
        <f t="shared" si="0"/>
        <v>22.860913275373928</v>
      </c>
      <c r="F20" s="11">
        <v>22.25</v>
      </c>
    </row>
    <row r="21" spans="2:6" ht="15.75" x14ac:dyDescent="0.25">
      <c r="B21" s="137">
        <v>17</v>
      </c>
      <c r="C21" s="12">
        <v>61.796641311133001</v>
      </c>
      <c r="D21" s="12">
        <v>162.1349264047526</v>
      </c>
      <c r="E21" s="123">
        <f t="shared" si="0"/>
        <v>23.507785214278012</v>
      </c>
      <c r="F21" s="11">
        <v>23.88</v>
      </c>
    </row>
    <row r="22" spans="2:6" ht="15.75" x14ac:dyDescent="0.25">
      <c r="B22" s="137">
        <v>18</v>
      </c>
      <c r="C22" s="12">
        <v>63.023876884237708</v>
      </c>
      <c r="D22" s="12">
        <v>162.14576263580773</v>
      </c>
      <c r="E22" s="123">
        <f t="shared" si="0"/>
        <v>23.971428084135376</v>
      </c>
      <c r="F22" s="11">
        <v>24.21</v>
      </c>
    </row>
    <row r="23" spans="2:6" ht="15.75" x14ac:dyDescent="0.25">
      <c r="B23" s="137">
        <v>19</v>
      </c>
      <c r="C23" s="12">
        <v>63.886643111966308</v>
      </c>
      <c r="D23" s="12">
        <v>162.1488096325391</v>
      </c>
      <c r="E23" s="123">
        <f t="shared" si="0"/>
        <v>24.298672041994461</v>
      </c>
      <c r="F23" s="11">
        <v>24.465</v>
      </c>
    </row>
    <row r="24" spans="2:6" ht="15.75" x14ac:dyDescent="0.25">
      <c r="B24" s="137">
        <v>20</v>
      </c>
      <c r="C24" s="12">
        <v>64.494109284869964</v>
      </c>
      <c r="D24" s="12">
        <v>162.14966567271529</v>
      </c>
      <c r="E24" s="123">
        <f t="shared" si="0"/>
        <v>24.529456975508758</v>
      </c>
      <c r="F24" s="11">
        <v>26.22</v>
      </c>
    </row>
    <row r="25" spans="2:6" ht="15.75" x14ac:dyDescent="0.25">
      <c r="B25" s="137">
        <v>21</v>
      </c>
      <c r="C25" s="12">
        <v>64.926599621061627</v>
      </c>
      <c r="D25" s="12">
        <v>162.14990610721546</v>
      </c>
      <c r="E25" s="123">
        <f t="shared" si="0"/>
        <v>24.69387555862237</v>
      </c>
      <c r="F25" s="11">
        <v>24.34</v>
      </c>
    </row>
    <row r="26" spans="2:6" ht="15.75" x14ac:dyDescent="0.25">
      <c r="B26" s="137">
        <v>22</v>
      </c>
      <c r="C26" s="12">
        <v>65.325791514810419</v>
      </c>
      <c r="D26" s="12">
        <v>162.14997363165622</v>
      </c>
      <c r="E26" s="123">
        <f t="shared" si="0"/>
        <v>24.845681620759532</v>
      </c>
      <c r="F26" s="11">
        <v>24.65</v>
      </c>
    </row>
    <row r="27" spans="2:6" ht="15.75" x14ac:dyDescent="0.25">
      <c r="B27" s="137">
        <v>23</v>
      </c>
      <c r="C27" s="12">
        <v>65.780304330831555</v>
      </c>
      <c r="D27" s="12">
        <v>162.14999259490992</v>
      </c>
      <c r="E27" s="123">
        <f t="shared" si="0"/>
        <v>25.01854287793514</v>
      </c>
      <c r="F27" s="11">
        <v>25.64</v>
      </c>
    </row>
    <row r="28" spans="2:6" ht="15.75" x14ac:dyDescent="0.25">
      <c r="B28" s="137">
        <v>24</v>
      </c>
      <c r="C28" s="12">
        <v>66.442278786561701</v>
      </c>
      <c r="D28" s="12">
        <v>162.14999792041425</v>
      </c>
      <c r="E28" s="123">
        <f t="shared" si="0"/>
        <v>25.270313180366859</v>
      </c>
      <c r="F28" s="11">
        <v>25.734999999999999</v>
      </c>
    </row>
    <row r="29" spans="2:6" s="87" customFormat="1" ht="15.75" x14ac:dyDescent="0.25">
      <c r="B29" s="104">
        <v>25</v>
      </c>
      <c r="C29" s="88">
        <v>67.078246029899788</v>
      </c>
      <c r="D29" s="88">
        <v>162.14999941598637</v>
      </c>
      <c r="E29" s="124">
        <f t="shared" si="0"/>
        <v>25.512193206702584</v>
      </c>
      <c r="F29" s="152">
        <v>23.81</v>
      </c>
    </row>
    <row r="30" spans="2:6" ht="15.75" x14ac:dyDescent="0.25">
      <c r="B30" s="137">
        <v>26</v>
      </c>
      <c r="C30" s="12">
        <v>67.688269215733612</v>
      </c>
      <c r="D30" s="12">
        <v>162.14999983599049</v>
      </c>
      <c r="E30" s="123">
        <f t="shared" si="0"/>
        <v>25.744206137163623</v>
      </c>
      <c r="F30" s="11">
        <v>24.48</v>
      </c>
    </row>
    <row r="31" spans="2:6" ht="15.75" x14ac:dyDescent="0.25">
      <c r="B31" s="137">
        <v>27</v>
      </c>
      <c r="C31" s="12">
        <v>68.272411498951101</v>
      </c>
      <c r="D31" s="12">
        <v>162.14999995394095</v>
      </c>
      <c r="E31" s="123">
        <f t="shared" si="0"/>
        <v>25.966375753402669</v>
      </c>
      <c r="F31" s="11">
        <v>26.614999999999998</v>
      </c>
    </row>
    <row r="32" spans="2:6" ht="15.75" x14ac:dyDescent="0.25">
      <c r="B32" s="137">
        <v>28</v>
      </c>
      <c r="C32" s="12">
        <v>68.830736034440065</v>
      </c>
      <c r="D32" s="12">
        <v>162.14999998706517</v>
      </c>
      <c r="E32" s="123">
        <f t="shared" si="0"/>
        <v>26.178726007807487</v>
      </c>
      <c r="F32" s="11">
        <v>29.545000000000002</v>
      </c>
    </row>
    <row r="33" spans="2:6" ht="15.75" x14ac:dyDescent="0.25">
      <c r="B33" s="137">
        <v>29</v>
      </c>
      <c r="C33" s="12">
        <v>69.363305977088416</v>
      </c>
      <c r="D33" s="12">
        <v>162.14999999636748</v>
      </c>
      <c r="E33" s="123">
        <f t="shared" si="0"/>
        <v>26.381280901209532</v>
      </c>
      <c r="F33" s="11">
        <v>26.925000000000001</v>
      </c>
    </row>
    <row r="34" spans="2:6" ht="15.75" x14ac:dyDescent="0.25">
      <c r="B34" s="137">
        <v>30</v>
      </c>
      <c r="C34" s="12">
        <v>69.87018448178398</v>
      </c>
      <c r="D34" s="12">
        <v>162.14999999897989</v>
      </c>
      <c r="E34" s="123">
        <f t="shared" si="0"/>
        <v>26.574064448178611</v>
      </c>
      <c r="F34" s="11">
        <v>27.445</v>
      </c>
    </row>
    <row r="35" spans="2:6" ht="15.75" x14ac:dyDescent="0.25">
      <c r="B35" s="137">
        <v>31</v>
      </c>
      <c r="C35" s="12">
        <v>70.351434703414611</v>
      </c>
      <c r="D35" s="12">
        <v>162.14999999971351</v>
      </c>
      <c r="E35" s="123">
        <f t="shared" si="0"/>
        <v>26.757100667178864</v>
      </c>
      <c r="F35" s="11">
        <v>29.73</v>
      </c>
    </row>
    <row r="36" spans="2:6" ht="15.75" x14ac:dyDescent="0.25">
      <c r="B36" s="137">
        <v>32</v>
      </c>
      <c r="C36" s="12">
        <v>70.807119796868221</v>
      </c>
      <c r="D36" s="12">
        <v>162.14999999991954</v>
      </c>
      <c r="E36" s="123">
        <f t="shared" si="0"/>
        <v>26.930413577777752</v>
      </c>
      <c r="F36" s="11">
        <v>27.39</v>
      </c>
    </row>
    <row r="37" spans="2:6" ht="15.75" x14ac:dyDescent="0.25">
      <c r="B37" s="137">
        <v>33</v>
      </c>
      <c r="C37" s="12">
        <v>71.237302917032622</v>
      </c>
      <c r="D37" s="12">
        <v>162.14999999997741</v>
      </c>
      <c r="E37" s="123">
        <f t="shared" si="0"/>
        <v>27.094027199855198</v>
      </c>
      <c r="F37" s="11">
        <v>28.3</v>
      </c>
    </row>
    <row r="38" spans="2:6" ht="15.75" x14ac:dyDescent="0.25">
      <c r="B38" s="137">
        <v>34</v>
      </c>
      <c r="C38" s="12">
        <v>71.64204721879571</v>
      </c>
      <c r="D38" s="12">
        <v>162.14999999999367</v>
      </c>
      <c r="E38" s="123">
        <f t="shared" si="0"/>
        <v>27.24796555337959</v>
      </c>
      <c r="F38" s="11">
        <v>25.02</v>
      </c>
    </row>
    <row r="39" spans="2:6" ht="15.75" x14ac:dyDescent="0.25">
      <c r="B39" s="137">
        <v>35</v>
      </c>
      <c r="C39" s="12">
        <v>72.021415857045355</v>
      </c>
      <c r="D39" s="12">
        <v>162.14999999999822</v>
      </c>
      <c r="E39" s="123">
        <f t="shared" si="0"/>
        <v>27.392252658344347</v>
      </c>
      <c r="F39" s="11">
        <v>27.95</v>
      </c>
    </row>
    <row r="40" spans="2:6" ht="15.75" x14ac:dyDescent="0.25">
      <c r="B40" s="137">
        <v>36</v>
      </c>
      <c r="C40" s="12">
        <v>72.375471986669368</v>
      </c>
      <c r="D40" s="12">
        <v>162.14999999999949</v>
      </c>
      <c r="E40" s="123">
        <f t="shared" si="0"/>
        <v>27.52691253474994</v>
      </c>
      <c r="F40" s="11">
        <v>28.045000000000002</v>
      </c>
    </row>
    <row r="41" spans="2:6" ht="15.75" x14ac:dyDescent="0.25">
      <c r="B41" s="137">
        <v>37</v>
      </c>
      <c r="C41" s="12">
        <v>72.70427876255566</v>
      </c>
      <c r="D41" s="12">
        <v>162.14999999999986</v>
      </c>
      <c r="E41" s="123">
        <f t="shared" si="0"/>
        <v>27.65196920259886</v>
      </c>
      <c r="F41" s="11">
        <v>24.79</v>
      </c>
    </row>
    <row r="42" spans="2:6" ht="15.75" x14ac:dyDescent="0.25">
      <c r="B42" s="137">
        <v>38</v>
      </c>
      <c r="C42" s="12">
        <v>73.0078993395921</v>
      </c>
      <c r="D42" s="12">
        <v>162.14999999999998</v>
      </c>
      <c r="E42" s="123">
        <f t="shared" si="0"/>
        <v>27.767446681894178</v>
      </c>
      <c r="F42" s="11">
        <v>28.39</v>
      </c>
    </row>
    <row r="43" spans="2:6" ht="15.75" x14ac:dyDescent="0.25">
      <c r="B43" s="137">
        <v>39</v>
      </c>
      <c r="C43" s="12">
        <v>73.286396872666501</v>
      </c>
      <c r="D43" s="12">
        <v>162.15</v>
      </c>
      <c r="E43" s="123">
        <f t="shared" si="0"/>
        <v>27.87336899263909</v>
      </c>
      <c r="F43" s="11">
        <v>28.315000000000001</v>
      </c>
    </row>
    <row r="44" spans="2:6" ht="15.75" x14ac:dyDescent="0.25">
      <c r="B44" s="137">
        <v>40</v>
      </c>
      <c r="C44" s="12">
        <v>73.539834516666772</v>
      </c>
      <c r="D44" s="12">
        <v>162.15</v>
      </c>
      <c r="E44" s="123">
        <f t="shared" si="0"/>
        <v>27.96976015483688</v>
      </c>
      <c r="F44" s="11">
        <v>29.56</v>
      </c>
    </row>
    <row r="45" spans="2:6" ht="15.75" x14ac:dyDescent="0.25">
      <c r="B45" s="137">
        <v>41</v>
      </c>
      <c r="C45" s="12">
        <v>73.76827542648077</v>
      </c>
      <c r="D45" s="12">
        <v>162.15</v>
      </c>
      <c r="E45" s="123">
        <f t="shared" si="0"/>
        <v>28.056644188490804</v>
      </c>
      <c r="F45" s="11">
        <v>28.96</v>
      </c>
    </row>
    <row r="46" spans="2:6" ht="15.75" x14ac:dyDescent="0.25">
      <c r="B46" s="137">
        <v>42</v>
      </c>
      <c r="C46" s="12">
        <v>73.971782756996333</v>
      </c>
      <c r="D46" s="12">
        <v>162.15</v>
      </c>
      <c r="E46" s="123">
        <f t="shared" si="0"/>
        <v>28.134045113604138</v>
      </c>
      <c r="F46" s="11">
        <v>28.03</v>
      </c>
    </row>
    <row r="47" spans="2:6" ht="15.75" x14ac:dyDescent="0.25">
      <c r="B47" s="137">
        <v>43</v>
      </c>
      <c r="C47" s="12">
        <v>74.15041966310136</v>
      </c>
      <c r="D47" s="12">
        <v>162.15</v>
      </c>
      <c r="E47" s="123">
        <f t="shared" si="0"/>
        <v>28.201986950180167</v>
      </c>
      <c r="F47" s="11">
        <v>28.905000000000001</v>
      </c>
    </row>
    <row r="48" spans="2:6" ht="15.75" x14ac:dyDescent="0.25">
      <c r="B48" s="137">
        <v>44</v>
      </c>
      <c r="C48" s="12">
        <v>74.304249299683661</v>
      </c>
      <c r="D48" s="12">
        <v>162.15</v>
      </c>
      <c r="E48" s="123">
        <f t="shared" si="0"/>
        <v>28.260493718222154</v>
      </c>
      <c r="F48" s="11">
        <v>28.734999999999999</v>
      </c>
    </row>
    <row r="49" spans="2:6" ht="15.75" x14ac:dyDescent="0.25">
      <c r="B49" s="137">
        <v>45</v>
      </c>
      <c r="C49" s="12">
        <v>74.433334821631163</v>
      </c>
      <c r="D49" s="12">
        <v>162.15</v>
      </c>
      <c r="E49" s="123">
        <f t="shared" si="0"/>
        <v>28.309589437733397</v>
      </c>
      <c r="F49" s="11">
        <v>30.234999999999999</v>
      </c>
    </row>
    <row r="50" spans="2:6" ht="15.75" x14ac:dyDescent="0.25">
      <c r="B50" s="137">
        <v>46</v>
      </c>
      <c r="C50" s="12">
        <v>74.537739383831678</v>
      </c>
      <c r="D50" s="12">
        <v>162.15</v>
      </c>
      <c r="E50" s="123">
        <f t="shared" si="0"/>
        <v>28.349298128717159</v>
      </c>
      <c r="F50" s="11">
        <v>29.565000000000001</v>
      </c>
    </row>
    <row r="51" spans="2:6" ht="15.75" x14ac:dyDescent="0.25">
      <c r="B51" s="137">
        <v>47</v>
      </c>
      <c r="C51" s="12">
        <v>74.617526141173087</v>
      </c>
      <c r="D51" s="12">
        <v>162.15</v>
      </c>
      <c r="E51" s="123">
        <f t="shared" si="0"/>
        <v>28.37964381117672</v>
      </c>
      <c r="F51" s="11">
        <v>27.97</v>
      </c>
    </row>
    <row r="52" spans="2:6" ht="15.75" x14ac:dyDescent="0.25">
      <c r="B52" s="137">
        <v>48</v>
      </c>
      <c r="C52" s="12">
        <v>74.672758248543275</v>
      </c>
      <c r="D52" s="12">
        <v>162.15</v>
      </c>
      <c r="E52" s="123">
        <f t="shared" si="0"/>
        <v>28.400650505115365</v>
      </c>
      <c r="F52" s="11">
        <v>29.96</v>
      </c>
    </row>
    <row r="53" spans="2:6" ht="15.75" x14ac:dyDescent="0.25">
      <c r="B53" s="137">
        <v>49</v>
      </c>
      <c r="C53" s="12">
        <v>74.703498860830067</v>
      </c>
      <c r="D53" s="12">
        <v>162.15</v>
      </c>
      <c r="E53" s="123">
        <f t="shared" si="0"/>
        <v>28.41234223053636</v>
      </c>
      <c r="F53" s="11">
        <v>29.45</v>
      </c>
    </row>
    <row r="54" spans="2:6" ht="15.75" x14ac:dyDescent="0.25">
      <c r="B54" s="137">
        <v>50</v>
      </c>
      <c r="C54" s="12">
        <v>74.709811132921374</v>
      </c>
      <c r="D54" s="12">
        <v>162.15</v>
      </c>
      <c r="E54" s="123">
        <f t="shared" si="0"/>
        <v>28.414743007443004</v>
      </c>
      <c r="F54" s="11">
        <v>31.145</v>
      </c>
    </row>
    <row r="55" spans="2:6" ht="15.75" x14ac:dyDescent="0.25">
      <c r="B55" s="137">
        <v>51</v>
      </c>
      <c r="C55" s="12">
        <v>74.69175821970498</v>
      </c>
      <c r="D55" s="12">
        <v>162.15</v>
      </c>
      <c r="E55" s="123">
        <f t="shared" si="0"/>
        <v>28.407876855838541</v>
      </c>
      <c r="F55" s="11">
        <v>27.975000000000001</v>
      </c>
    </row>
    <row r="56" spans="2:6" ht="15.75" x14ac:dyDescent="0.25">
      <c r="B56" s="137">
        <v>52</v>
      </c>
      <c r="C56" s="12">
        <v>74.649403276068824</v>
      </c>
      <c r="D56" s="12">
        <v>162.15</v>
      </c>
      <c r="E56" s="123">
        <f t="shared" si="0"/>
        <v>28.391767795726278</v>
      </c>
      <c r="F56" s="11">
        <v>29.155000000000001</v>
      </c>
    </row>
    <row r="57" spans="2:6" ht="15.75" x14ac:dyDescent="0.25">
      <c r="B57" s="137">
        <v>53</v>
      </c>
      <c r="C57" s="12">
        <v>74.582809456900748</v>
      </c>
      <c r="D57" s="12">
        <v>162.15</v>
      </c>
      <c r="E57" s="123">
        <f t="shared" si="0"/>
        <v>28.366439847109483</v>
      </c>
      <c r="F57" s="11">
        <v>27.405000000000001</v>
      </c>
    </row>
    <row r="58" spans="2:6" ht="15.75" x14ac:dyDescent="0.25">
      <c r="B58" s="137">
        <v>54</v>
      </c>
      <c r="C58" s="12">
        <v>74.492039917088604</v>
      </c>
      <c r="D58" s="12">
        <v>162.15</v>
      </c>
      <c r="E58" s="123">
        <f t="shared" si="0"/>
        <v>28.331917029991434</v>
      </c>
      <c r="F58" s="11">
        <v>28.4</v>
      </c>
    </row>
    <row r="59" spans="2:6" ht="15.75" x14ac:dyDescent="0.25">
      <c r="B59" s="137">
        <v>55</v>
      </c>
      <c r="C59" s="12">
        <v>74.377157811520263</v>
      </c>
      <c r="D59" s="12">
        <v>162.15</v>
      </c>
      <c r="E59" s="123">
        <f t="shared" si="0"/>
        <v>28.288223364375405</v>
      </c>
      <c r="F59" s="11">
        <v>28.75</v>
      </c>
    </row>
    <row r="60" spans="2:6" ht="15.75" x14ac:dyDescent="0.25">
      <c r="B60" s="137">
        <v>56</v>
      </c>
      <c r="C60" s="12">
        <v>74.238226295083564</v>
      </c>
      <c r="D60" s="12">
        <v>162.15</v>
      </c>
      <c r="E60" s="123">
        <f t="shared" si="0"/>
        <v>28.235382870264672</v>
      </c>
      <c r="F60" s="11">
        <v>29</v>
      </c>
    </row>
    <row r="61" spans="2:6" ht="15.75" x14ac:dyDescent="0.25">
      <c r="B61" s="137">
        <v>57</v>
      </c>
      <c r="C61" s="12">
        <v>74.075308522666418</v>
      </c>
      <c r="D61" s="12">
        <v>162.15</v>
      </c>
      <c r="E61" s="123">
        <f t="shared" si="0"/>
        <v>28.173419567662528</v>
      </c>
      <c r="F61" s="11">
        <v>25.15</v>
      </c>
    </row>
    <row r="62" spans="2:6" ht="15.75" x14ac:dyDescent="0.25">
      <c r="B62" s="137">
        <v>58</v>
      </c>
      <c r="C62" s="12">
        <v>73.888467649156638</v>
      </c>
      <c r="D62" s="12">
        <v>162.15</v>
      </c>
      <c r="E62" s="123">
        <f t="shared" si="0"/>
        <v>28.10235747657223</v>
      </c>
      <c r="F62" s="11">
        <v>29.67</v>
      </c>
    </row>
    <row r="63" spans="2:6" ht="15.75" x14ac:dyDescent="0.25">
      <c r="B63" s="137">
        <v>59</v>
      </c>
      <c r="C63" s="12">
        <v>73.67776682944212</v>
      </c>
      <c r="D63" s="12">
        <v>162.15</v>
      </c>
      <c r="E63" s="123">
        <f t="shared" si="0"/>
        <v>28.022220616997071</v>
      </c>
      <c r="F63" s="11">
        <v>32.36</v>
      </c>
    </row>
    <row r="64" spans="2:6" ht="15.75" x14ac:dyDescent="0.25">
      <c r="B64" s="137">
        <v>60</v>
      </c>
      <c r="C64" s="12">
        <v>73.443269218410734</v>
      </c>
      <c r="D64" s="12">
        <v>162.15</v>
      </c>
      <c r="E64" s="123">
        <f t="shared" si="0"/>
        <v>27.933033008940331</v>
      </c>
      <c r="F64" s="11">
        <v>29.36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2:D64"/>
  <sheetViews>
    <sheetView zoomScale="60" zoomScaleNormal="60" workbookViewId="0">
      <selection activeCell="B2" sqref="B2:D2"/>
    </sheetView>
  </sheetViews>
  <sheetFormatPr defaultRowHeight="15" x14ac:dyDescent="0.25"/>
  <cols>
    <col min="2" max="2" width="19.42578125" customWidth="1"/>
    <col min="3" max="3" width="64" style="1" customWidth="1"/>
    <col min="4" max="4" width="23" style="1" customWidth="1"/>
  </cols>
  <sheetData>
    <row r="2" spans="2:4" ht="46.5" customHeight="1" x14ac:dyDescent="0.25">
      <c r="B2" s="209"/>
      <c r="C2" s="212" t="s">
        <v>261</v>
      </c>
      <c r="D2" s="209" t="s">
        <v>118</v>
      </c>
    </row>
    <row r="3" spans="2:4" s="87" customFormat="1" ht="19.5" customHeight="1" x14ac:dyDescent="0.25">
      <c r="B3" s="104">
        <v>0.5</v>
      </c>
      <c r="C3" s="155" t="s">
        <v>116</v>
      </c>
      <c r="D3" s="121">
        <f>0.359 * (1 + 0)</f>
        <v>0.35899999999999999</v>
      </c>
    </row>
    <row r="4" spans="2:4" s="87" customFormat="1" ht="21" customHeight="1" x14ac:dyDescent="0.25">
      <c r="B4" s="104">
        <v>1</v>
      </c>
      <c r="C4" s="154"/>
      <c r="D4" s="121">
        <f>0.359 * (1+ 0)</f>
        <v>0.35899999999999999</v>
      </c>
    </row>
    <row r="5" spans="2:4" s="87" customFormat="1" ht="47.25" x14ac:dyDescent="0.25">
      <c r="B5" s="72">
        <v>2</v>
      </c>
      <c r="C5" s="30" t="s">
        <v>115</v>
      </c>
      <c r="D5" s="122">
        <f>(((0.00000112815) * (B5^3)) - (0.000172362 * (B5^2)) + (0.00815264 * B5) + 0.327363) * (1 + 0)</f>
        <v>0.34298785720000002</v>
      </c>
    </row>
    <row r="6" spans="2:4" s="87" customFormat="1" ht="15.75" x14ac:dyDescent="0.25">
      <c r="B6" s="72">
        <v>3</v>
      </c>
      <c r="C6" s="31"/>
      <c r="D6" s="122">
        <f t="shared" ref="D6:D63" si="0">(((0.00000112815) * (B6^3)) - (0.000172362 * (B6^2)) + (0.00815264 * B6) + 0.327363) * (1 + 0)</f>
        <v>0.35030012205</v>
      </c>
    </row>
    <row r="7" spans="2:4" s="87" customFormat="1" ht="15.75" x14ac:dyDescent="0.25">
      <c r="B7" s="72">
        <v>4</v>
      </c>
      <c r="C7" s="31"/>
      <c r="D7" s="122">
        <f t="shared" si="0"/>
        <v>0.35728796960000003</v>
      </c>
    </row>
    <row r="8" spans="2:4" s="87" customFormat="1" ht="15.75" x14ac:dyDescent="0.25">
      <c r="B8" s="104">
        <v>5</v>
      </c>
      <c r="C8" s="19"/>
      <c r="D8" s="121">
        <f t="shared" si="0"/>
        <v>0.36395816875000003</v>
      </c>
    </row>
    <row r="9" spans="2:4" s="87" customFormat="1" ht="15.75" x14ac:dyDescent="0.25">
      <c r="B9" s="72">
        <v>6</v>
      </c>
      <c r="C9" s="31"/>
      <c r="D9" s="122">
        <f t="shared" si="0"/>
        <v>0.37031748840000001</v>
      </c>
    </row>
    <row r="10" spans="2:4" s="87" customFormat="1" ht="15.75" x14ac:dyDescent="0.25">
      <c r="B10" s="72">
        <v>7</v>
      </c>
      <c r="C10" s="31"/>
      <c r="D10" s="122">
        <f t="shared" si="0"/>
        <v>0.37637269745000002</v>
      </c>
    </row>
    <row r="11" spans="2:4" s="87" customFormat="1" ht="15.75" x14ac:dyDescent="0.25">
      <c r="B11" s="72">
        <v>8</v>
      </c>
      <c r="C11" s="31"/>
      <c r="D11" s="122">
        <f t="shared" si="0"/>
        <v>0.38213056480000002</v>
      </c>
    </row>
    <row r="12" spans="2:4" s="87" customFormat="1" ht="15.75" x14ac:dyDescent="0.25">
      <c r="B12" s="72">
        <v>9</v>
      </c>
      <c r="C12" s="31"/>
      <c r="D12" s="122">
        <f t="shared" si="0"/>
        <v>0.38759785935000002</v>
      </c>
    </row>
    <row r="13" spans="2:4" s="87" customFormat="1" ht="15.75" x14ac:dyDescent="0.25">
      <c r="B13" s="104">
        <v>10</v>
      </c>
      <c r="C13" s="19"/>
      <c r="D13" s="121">
        <f t="shared" si="0"/>
        <v>0.39278135000000003</v>
      </c>
    </row>
    <row r="14" spans="2:4" s="87" customFormat="1" ht="15.75" x14ac:dyDescent="0.25">
      <c r="B14" s="72">
        <v>11</v>
      </c>
      <c r="C14" s="31"/>
      <c r="D14" s="122">
        <f t="shared" si="0"/>
        <v>0.39768780565</v>
      </c>
    </row>
    <row r="15" spans="2:4" s="87" customFormat="1" ht="15.75" x14ac:dyDescent="0.25">
      <c r="B15" s="72">
        <v>12</v>
      </c>
      <c r="C15" s="31"/>
      <c r="D15" s="122">
        <f t="shared" si="0"/>
        <v>0.40232399520000001</v>
      </c>
    </row>
    <row r="16" spans="2:4" s="87" customFormat="1" ht="15.75" x14ac:dyDescent="0.25">
      <c r="B16" s="72">
        <v>13</v>
      </c>
      <c r="C16" s="31"/>
      <c r="D16" s="122">
        <f t="shared" si="0"/>
        <v>0.40669668754999999</v>
      </c>
    </row>
    <row r="17" spans="2:4" s="87" customFormat="1" ht="15.75" x14ac:dyDescent="0.25">
      <c r="B17" s="72">
        <v>14</v>
      </c>
      <c r="C17" s="31"/>
      <c r="D17" s="122">
        <f t="shared" si="0"/>
        <v>0.41081265160000002</v>
      </c>
    </row>
    <row r="18" spans="2:4" s="87" customFormat="1" ht="15.75" x14ac:dyDescent="0.25">
      <c r="B18" s="72">
        <v>15</v>
      </c>
      <c r="C18" s="31"/>
      <c r="D18" s="122">
        <f t="shared" si="0"/>
        <v>0.41467865625</v>
      </c>
    </row>
    <row r="19" spans="2:4" s="87" customFormat="1" ht="15.75" x14ac:dyDescent="0.25">
      <c r="B19" s="72">
        <v>16</v>
      </c>
      <c r="C19" s="31"/>
      <c r="D19" s="122">
        <f t="shared" si="0"/>
        <v>0.41830147039999999</v>
      </c>
    </row>
    <row r="20" spans="2:4" s="87" customFormat="1" ht="15.75" x14ac:dyDescent="0.25">
      <c r="B20" s="72">
        <v>17</v>
      </c>
      <c r="C20" s="31"/>
      <c r="D20" s="122">
        <f t="shared" si="0"/>
        <v>0.42168786294999999</v>
      </c>
    </row>
    <row r="21" spans="2:4" s="87" customFormat="1" ht="15.75" x14ac:dyDescent="0.25">
      <c r="B21" s="72">
        <v>18</v>
      </c>
      <c r="C21" s="31"/>
      <c r="D21" s="122">
        <f t="shared" si="0"/>
        <v>0.42484460280000003</v>
      </c>
    </row>
    <row r="22" spans="2:4" s="87" customFormat="1" ht="15.75" x14ac:dyDescent="0.25">
      <c r="B22" s="72">
        <v>19</v>
      </c>
      <c r="C22" s="31"/>
      <c r="D22" s="122">
        <f t="shared" si="0"/>
        <v>0.42777845884999999</v>
      </c>
    </row>
    <row r="23" spans="2:4" s="87" customFormat="1" ht="15.75" x14ac:dyDescent="0.25">
      <c r="B23" s="72">
        <v>20</v>
      </c>
      <c r="C23" s="31"/>
      <c r="D23" s="122">
        <f t="shared" si="0"/>
        <v>0.4304962</v>
      </c>
    </row>
    <row r="24" spans="2:4" s="87" customFormat="1" ht="15.75" x14ac:dyDescent="0.25">
      <c r="B24" s="72">
        <v>21</v>
      </c>
      <c r="C24" s="31"/>
      <c r="D24" s="122">
        <f t="shared" si="0"/>
        <v>0.43300459515</v>
      </c>
    </row>
    <row r="25" spans="2:4" s="87" customFormat="1" ht="15.75" x14ac:dyDescent="0.25">
      <c r="B25" s="72">
        <v>22</v>
      </c>
      <c r="C25" s="31"/>
      <c r="D25" s="122">
        <f t="shared" si="0"/>
        <v>0.43531041319999997</v>
      </c>
    </row>
    <row r="26" spans="2:4" s="87" customFormat="1" ht="15.75" x14ac:dyDescent="0.25">
      <c r="B26" s="72">
        <v>23</v>
      </c>
      <c r="C26" s="31"/>
      <c r="D26" s="122">
        <f t="shared" si="0"/>
        <v>0.43742042305000001</v>
      </c>
    </row>
    <row r="27" spans="2:4" s="87" customFormat="1" ht="15.75" x14ac:dyDescent="0.25">
      <c r="B27" s="72">
        <v>24</v>
      </c>
      <c r="C27" s="31"/>
      <c r="D27" s="122">
        <f t="shared" si="0"/>
        <v>0.43934139360000002</v>
      </c>
    </row>
    <row r="28" spans="2:4" s="87" customFormat="1" ht="15.75" x14ac:dyDescent="0.25">
      <c r="B28" s="104">
        <v>25</v>
      </c>
      <c r="C28" s="19"/>
      <c r="D28" s="121">
        <f t="shared" si="0"/>
        <v>0.44108009375000001</v>
      </c>
    </row>
    <row r="29" spans="2:4" ht="15.75" x14ac:dyDescent="0.25">
      <c r="B29" s="72">
        <v>26</v>
      </c>
      <c r="C29" s="8"/>
      <c r="D29" s="122">
        <f t="shared" si="0"/>
        <v>0.4426432924</v>
      </c>
    </row>
    <row r="30" spans="2:4" ht="15.75" x14ac:dyDescent="0.25">
      <c r="B30" s="72">
        <v>27</v>
      </c>
      <c r="C30" s="8"/>
      <c r="D30" s="122">
        <f t="shared" si="0"/>
        <v>0.44403775844999999</v>
      </c>
    </row>
    <row r="31" spans="2:4" ht="15.75" x14ac:dyDescent="0.25">
      <c r="B31" s="72">
        <v>28</v>
      </c>
      <c r="C31" s="8"/>
      <c r="D31" s="122">
        <f t="shared" si="0"/>
        <v>0.44527026079999998</v>
      </c>
    </row>
    <row r="32" spans="2:4" ht="15.75" x14ac:dyDescent="0.25">
      <c r="B32" s="72">
        <v>29</v>
      </c>
      <c r="C32" s="8"/>
      <c r="D32" s="122">
        <f t="shared" si="0"/>
        <v>0.44634756835</v>
      </c>
    </row>
    <row r="33" spans="2:4" ht="15.75" x14ac:dyDescent="0.25">
      <c r="B33" s="72">
        <v>30</v>
      </c>
      <c r="C33" s="8"/>
      <c r="D33" s="122">
        <f t="shared" si="0"/>
        <v>0.44727644999999999</v>
      </c>
    </row>
    <row r="34" spans="2:4" ht="15.75" x14ac:dyDescent="0.25">
      <c r="B34" s="72">
        <v>31</v>
      </c>
      <c r="C34" s="8"/>
      <c r="D34" s="122">
        <f t="shared" si="0"/>
        <v>0.44806367465000002</v>
      </c>
    </row>
    <row r="35" spans="2:4" ht="15.75" x14ac:dyDescent="0.25">
      <c r="B35" s="72">
        <v>32</v>
      </c>
      <c r="C35" s="8"/>
      <c r="D35" s="122">
        <f t="shared" si="0"/>
        <v>0.44871601119999999</v>
      </c>
    </row>
    <row r="36" spans="2:4" ht="15.75" x14ac:dyDescent="0.25">
      <c r="B36" s="72">
        <v>33</v>
      </c>
      <c r="C36" s="8"/>
      <c r="D36" s="122">
        <f t="shared" si="0"/>
        <v>0.44924022855000001</v>
      </c>
    </row>
    <row r="37" spans="2:4" ht="15.75" x14ac:dyDescent="0.25">
      <c r="B37" s="72">
        <v>34</v>
      </c>
      <c r="C37" s="8"/>
      <c r="D37" s="122">
        <f t="shared" si="0"/>
        <v>0.44964309559999999</v>
      </c>
    </row>
    <row r="38" spans="2:4" ht="15.75" x14ac:dyDescent="0.25">
      <c r="B38" s="72">
        <v>35</v>
      </c>
      <c r="C38" s="8"/>
      <c r="D38" s="122">
        <f t="shared" si="0"/>
        <v>0.44993138125000004</v>
      </c>
    </row>
    <row r="39" spans="2:4" ht="15.75" x14ac:dyDescent="0.25">
      <c r="B39" s="72">
        <v>36</v>
      </c>
      <c r="C39" s="8"/>
      <c r="D39" s="122">
        <f t="shared" si="0"/>
        <v>0.45011185440000001</v>
      </c>
    </row>
    <row r="40" spans="2:4" ht="15.75" x14ac:dyDescent="0.25">
      <c r="B40" s="72">
        <v>37</v>
      </c>
      <c r="C40" s="8"/>
      <c r="D40" s="122">
        <f t="shared" si="0"/>
        <v>0.45019128395000002</v>
      </c>
    </row>
    <row r="41" spans="2:4" ht="15.75" x14ac:dyDescent="0.25">
      <c r="B41" s="72">
        <v>38</v>
      </c>
      <c r="C41" s="8"/>
      <c r="D41" s="122">
        <f t="shared" si="0"/>
        <v>0.45017643880000002</v>
      </c>
    </row>
    <row r="42" spans="2:4" ht="15.75" x14ac:dyDescent="0.25">
      <c r="B42" s="72">
        <v>39</v>
      </c>
      <c r="C42" s="8"/>
      <c r="D42" s="122">
        <f t="shared" si="0"/>
        <v>0.45007408785000003</v>
      </c>
    </row>
    <row r="43" spans="2:4" ht="15.75" x14ac:dyDescent="0.25">
      <c r="B43" s="72">
        <v>40</v>
      </c>
      <c r="C43" s="8"/>
      <c r="D43" s="122">
        <f t="shared" si="0"/>
        <v>0.44989099999999999</v>
      </c>
    </row>
    <row r="44" spans="2:4" ht="15.75" x14ac:dyDescent="0.25">
      <c r="B44" s="72">
        <v>41</v>
      </c>
      <c r="C44" s="8"/>
      <c r="D44" s="122">
        <f t="shared" si="0"/>
        <v>0.44963394415000002</v>
      </c>
    </row>
    <row r="45" spans="2:4" ht="15.75" x14ac:dyDescent="0.25">
      <c r="B45" s="72">
        <v>42</v>
      </c>
      <c r="C45" s="8"/>
      <c r="D45" s="122">
        <f t="shared" si="0"/>
        <v>0.44930968920000003</v>
      </c>
    </row>
    <row r="46" spans="2:4" ht="15.75" x14ac:dyDescent="0.25">
      <c r="B46" s="72">
        <v>43</v>
      </c>
      <c r="C46" s="8"/>
      <c r="D46" s="122">
        <f t="shared" si="0"/>
        <v>0.44892500404999996</v>
      </c>
    </row>
    <row r="47" spans="2:4" ht="15.75" x14ac:dyDescent="0.25">
      <c r="B47" s="72">
        <v>44</v>
      </c>
      <c r="C47" s="8"/>
      <c r="D47" s="122">
        <f t="shared" si="0"/>
        <v>0.44848665759999995</v>
      </c>
    </row>
    <row r="48" spans="2:4" ht="15.75" x14ac:dyDescent="0.25">
      <c r="B48" s="72">
        <v>45</v>
      </c>
      <c r="C48" s="8"/>
      <c r="D48" s="122">
        <f t="shared" si="0"/>
        <v>0.44800141874999999</v>
      </c>
    </row>
    <row r="49" spans="2:4" ht="15.75" x14ac:dyDescent="0.25">
      <c r="B49" s="72">
        <v>46</v>
      </c>
      <c r="C49" s="8"/>
      <c r="D49" s="122">
        <f t="shared" si="0"/>
        <v>0.44747605639999999</v>
      </c>
    </row>
    <row r="50" spans="2:4" ht="15.75" x14ac:dyDescent="0.25">
      <c r="B50" s="72">
        <v>47</v>
      </c>
      <c r="C50" s="8"/>
      <c r="D50" s="122">
        <f t="shared" si="0"/>
        <v>0.44691733945000001</v>
      </c>
    </row>
    <row r="51" spans="2:4" ht="15.75" x14ac:dyDescent="0.25">
      <c r="B51" s="72">
        <v>48</v>
      </c>
      <c r="C51" s="8"/>
      <c r="D51" s="122">
        <f t="shared" si="0"/>
        <v>0.4463320368</v>
      </c>
    </row>
    <row r="52" spans="2:4" ht="15.75" x14ac:dyDescent="0.25">
      <c r="B52" s="72">
        <v>49</v>
      </c>
      <c r="C52" s="8"/>
      <c r="D52" s="122">
        <f t="shared" si="0"/>
        <v>0.44572691734999997</v>
      </c>
    </row>
    <row r="53" spans="2:4" ht="15.75" x14ac:dyDescent="0.25">
      <c r="B53" s="72">
        <v>50</v>
      </c>
      <c r="C53" s="8"/>
      <c r="D53" s="122">
        <f t="shared" si="0"/>
        <v>0.44510874999999994</v>
      </c>
    </row>
    <row r="54" spans="2:4" ht="15.75" x14ac:dyDescent="0.25">
      <c r="B54" s="72">
        <v>51</v>
      </c>
      <c r="C54" s="8"/>
      <c r="D54" s="122">
        <f t="shared" si="0"/>
        <v>0.44448430365000002</v>
      </c>
    </row>
    <row r="55" spans="2:4" ht="15.75" x14ac:dyDescent="0.25">
      <c r="B55" s="72">
        <v>52</v>
      </c>
      <c r="C55" s="8"/>
      <c r="D55" s="122">
        <f t="shared" si="0"/>
        <v>0.4438603472</v>
      </c>
    </row>
    <row r="56" spans="2:4" ht="15.75" x14ac:dyDescent="0.25">
      <c r="B56" s="72">
        <v>53</v>
      </c>
      <c r="C56" s="8"/>
      <c r="D56" s="122">
        <f t="shared" si="0"/>
        <v>0.44324364954999995</v>
      </c>
    </row>
    <row r="57" spans="2:4" ht="15.75" x14ac:dyDescent="0.25">
      <c r="B57" s="72">
        <v>54</v>
      </c>
      <c r="C57" s="8"/>
      <c r="D57" s="122">
        <f t="shared" si="0"/>
        <v>0.44264097959999998</v>
      </c>
    </row>
    <row r="58" spans="2:4" ht="15.75" x14ac:dyDescent="0.25">
      <c r="B58" s="72">
        <v>55</v>
      </c>
      <c r="C58" s="8"/>
      <c r="D58" s="122">
        <f t="shared" si="0"/>
        <v>0.44205910625</v>
      </c>
    </row>
    <row r="59" spans="2:4" ht="15.75" x14ac:dyDescent="0.25">
      <c r="B59" s="72">
        <v>56</v>
      </c>
      <c r="C59" s="8"/>
      <c r="D59" s="122">
        <f t="shared" si="0"/>
        <v>0.44150479839999995</v>
      </c>
    </row>
    <row r="60" spans="2:4" ht="15.75" x14ac:dyDescent="0.25">
      <c r="B60" s="72">
        <v>57</v>
      </c>
      <c r="C60" s="8"/>
      <c r="D60" s="122">
        <f t="shared" si="0"/>
        <v>0.44098482495000008</v>
      </c>
    </row>
    <row r="61" spans="2:4" ht="15.75" x14ac:dyDescent="0.25">
      <c r="B61" s="72">
        <v>58</v>
      </c>
      <c r="C61" s="8"/>
      <c r="D61" s="122">
        <f t="shared" si="0"/>
        <v>0.44050595479999999</v>
      </c>
    </row>
    <row r="62" spans="2:4" ht="15.75" x14ac:dyDescent="0.25">
      <c r="B62" s="72">
        <v>59</v>
      </c>
      <c r="C62" s="8"/>
      <c r="D62" s="122">
        <f t="shared" si="0"/>
        <v>0.44007495685000003</v>
      </c>
    </row>
    <row r="63" spans="2:4" s="18" customFormat="1" ht="15.75" x14ac:dyDescent="0.25">
      <c r="B63" s="72">
        <v>60</v>
      </c>
      <c r="C63" s="19"/>
      <c r="D63" s="121">
        <f t="shared" si="0"/>
        <v>0.43969860000000005</v>
      </c>
    </row>
    <row r="64" spans="2:4" ht="31.5" x14ac:dyDescent="0.25">
      <c r="B64" s="153">
        <v>70</v>
      </c>
      <c r="C64" s="10" t="s">
        <v>117</v>
      </c>
      <c r="D64" s="10">
        <f>(((0.00000112815) * (B64^3)) - (0.000172362 * (B64^2)) + (0.00815264 * B64) + 0.327363) * (1 + 0)</f>
        <v>0.44042945000000006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B3DB7"/>
  </sheetPr>
  <dimension ref="B1:Q199"/>
  <sheetViews>
    <sheetView topLeftCell="A4" zoomScale="80" zoomScaleNormal="80" workbookViewId="0">
      <selection activeCell="I138" sqref="I138:I199"/>
    </sheetView>
  </sheetViews>
  <sheetFormatPr defaultRowHeight="15" x14ac:dyDescent="0.25"/>
  <cols>
    <col min="2" max="2" width="15.85546875" customWidth="1"/>
    <col min="3" max="3" width="20" customWidth="1"/>
    <col min="4" max="4" width="20.5703125" customWidth="1"/>
    <col min="5" max="5" width="26" customWidth="1"/>
    <col min="6" max="6" width="16.85546875" customWidth="1"/>
    <col min="7" max="7" width="18.5703125" customWidth="1"/>
    <col min="8" max="8" width="11.7109375" customWidth="1"/>
    <col min="9" max="9" width="18.85546875" customWidth="1"/>
    <col min="11" max="11" width="19.140625" customWidth="1"/>
    <col min="12" max="12" width="23.42578125" customWidth="1"/>
    <col min="13" max="13" width="13.140625" customWidth="1"/>
    <col min="14" max="14" width="12.7109375" customWidth="1"/>
    <col min="15" max="15" width="19.28515625" customWidth="1"/>
    <col min="16" max="16" width="11.42578125" customWidth="1"/>
    <col min="23" max="23" width="10.7109375" customWidth="1"/>
    <col min="24" max="24" width="12.7109375" customWidth="1"/>
  </cols>
  <sheetData>
    <row r="1" spans="2:9" x14ac:dyDescent="0.25">
      <c r="B1" s="18" t="s">
        <v>161</v>
      </c>
      <c r="C1" s="18"/>
    </row>
    <row r="2" spans="2:9" ht="77.25" customHeight="1" x14ac:dyDescent="0.25">
      <c r="B2" s="11"/>
      <c r="C2" s="239" t="s">
        <v>162</v>
      </c>
      <c r="D2" s="239"/>
      <c r="E2" s="239"/>
      <c r="F2" s="239"/>
      <c r="H2" s="74" t="s">
        <v>163</v>
      </c>
      <c r="I2" s="75" t="s">
        <v>235</v>
      </c>
    </row>
    <row r="3" spans="2:9" x14ac:dyDescent="0.25">
      <c r="B3" s="76" t="s">
        <v>15</v>
      </c>
      <c r="C3" s="76" t="s">
        <v>164</v>
      </c>
      <c r="D3" s="76" t="s">
        <v>165</v>
      </c>
      <c r="E3" s="76" t="s">
        <v>270</v>
      </c>
      <c r="F3" s="76" t="s">
        <v>166</v>
      </c>
      <c r="H3" s="11">
        <v>0.25</v>
      </c>
      <c r="I3" s="11">
        <f>0.1274*EXP(LN(0.01345/0.1274)*EXP(-0.1609*H3))</f>
        <v>1.4696718870561946E-2</v>
      </c>
    </row>
    <row r="4" spans="2:9" x14ac:dyDescent="0.25">
      <c r="B4" s="77">
        <v>0.25</v>
      </c>
      <c r="C4" s="11">
        <v>1.4E-2</v>
      </c>
      <c r="D4" s="11">
        <v>3.9E-2</v>
      </c>
      <c r="E4" s="11">
        <f>0.09*1000</f>
        <v>90</v>
      </c>
      <c r="F4" s="11">
        <f>(D4-C4)*E4</f>
        <v>2.25</v>
      </c>
      <c r="H4" s="78">
        <v>0.5</v>
      </c>
      <c r="I4" s="78">
        <f t="shared" ref="I4:I64" si="0">0.1274*EXP(LN(0.01345/0.1274)*EXP(-0.1609*H4))</f>
        <v>1.6002971636388953E-2</v>
      </c>
    </row>
    <row r="5" spans="2:9" x14ac:dyDescent="0.25">
      <c r="B5" s="79">
        <v>1</v>
      </c>
      <c r="C5" s="78">
        <v>0.02</v>
      </c>
      <c r="D5" s="78">
        <v>7.3999999999999996E-2</v>
      </c>
      <c r="E5" s="78">
        <f>0.15*1000</f>
        <v>150</v>
      </c>
      <c r="F5" s="11">
        <f t="shared" ref="F5:F9" si="1">(D5-C5)*E5</f>
        <v>8.1</v>
      </c>
      <c r="H5" s="78">
        <v>1</v>
      </c>
      <c r="I5" s="78">
        <f t="shared" si="0"/>
        <v>1.8786444266168375E-2</v>
      </c>
    </row>
    <row r="6" spans="2:9" x14ac:dyDescent="0.25">
      <c r="B6" s="79">
        <v>5</v>
      </c>
      <c r="C6" s="78">
        <v>4.5999999999999999E-2</v>
      </c>
      <c r="D6" s="78">
        <v>0.17</v>
      </c>
      <c r="E6" s="78">
        <v>240</v>
      </c>
      <c r="F6" s="11">
        <f t="shared" si="1"/>
        <v>29.76</v>
      </c>
      <c r="H6" s="11">
        <v>2</v>
      </c>
      <c r="I6" s="11">
        <f t="shared" si="0"/>
        <v>2.4968842505434873E-2</v>
      </c>
    </row>
    <row r="7" spans="2:9" x14ac:dyDescent="0.25">
      <c r="B7" s="79">
        <v>10</v>
      </c>
      <c r="C7" s="78">
        <v>7.8E-2</v>
      </c>
      <c r="D7" s="78">
        <v>0.3</v>
      </c>
      <c r="E7" s="78">
        <v>310</v>
      </c>
      <c r="F7" s="11">
        <f t="shared" si="1"/>
        <v>68.819999999999993</v>
      </c>
      <c r="H7" s="11">
        <v>3</v>
      </c>
      <c r="I7" s="11">
        <f t="shared" si="0"/>
        <v>3.1811878656488393E-2</v>
      </c>
    </row>
    <row r="8" spans="2:9" x14ac:dyDescent="0.25">
      <c r="B8" s="79">
        <v>15</v>
      </c>
      <c r="C8" s="78">
        <v>0.11</v>
      </c>
      <c r="D8" s="78">
        <v>0.42</v>
      </c>
      <c r="E8" s="78">
        <v>350</v>
      </c>
      <c r="F8" s="11">
        <f t="shared" si="1"/>
        <v>108.5</v>
      </c>
      <c r="H8" s="11">
        <v>4</v>
      </c>
      <c r="I8" s="11">
        <f t="shared" si="0"/>
        <v>3.9097272184781359E-2</v>
      </c>
    </row>
    <row r="9" spans="2:9" x14ac:dyDescent="0.25">
      <c r="B9" s="79">
        <v>25</v>
      </c>
      <c r="C9" s="78">
        <v>0.12</v>
      </c>
      <c r="D9" s="78">
        <v>0.44</v>
      </c>
      <c r="E9" s="78">
        <v>320</v>
      </c>
      <c r="F9" s="11">
        <f t="shared" si="1"/>
        <v>102.4</v>
      </c>
      <c r="H9" s="78">
        <v>5</v>
      </c>
      <c r="I9" s="78">
        <f t="shared" si="0"/>
        <v>4.6600799289301283E-2</v>
      </c>
    </row>
    <row r="10" spans="2:9" x14ac:dyDescent="0.25">
      <c r="H10" s="11">
        <v>6</v>
      </c>
      <c r="I10" s="11">
        <f t="shared" si="0"/>
        <v>5.4113826522727712E-2</v>
      </c>
    </row>
    <row r="11" spans="2:9" x14ac:dyDescent="0.25">
      <c r="H11" s="11">
        <v>7</v>
      </c>
      <c r="I11" s="11">
        <f t="shared" si="0"/>
        <v>6.1457557135658786E-2</v>
      </c>
    </row>
    <row r="12" spans="2:9" x14ac:dyDescent="0.25">
      <c r="B12" s="11"/>
      <c r="C12" s="240" t="s">
        <v>167</v>
      </c>
      <c r="D12" s="240"/>
      <c r="E12" s="240"/>
      <c r="F12" s="240"/>
      <c r="H12" s="11">
        <v>8</v>
      </c>
      <c r="I12" s="11">
        <f t="shared" si="0"/>
        <v>6.8490194392898648E-2</v>
      </c>
    </row>
    <row r="13" spans="2:9" x14ac:dyDescent="0.25">
      <c r="B13" s="76" t="s">
        <v>15</v>
      </c>
      <c r="C13" s="76" t="s">
        <v>164</v>
      </c>
      <c r="D13" s="76" t="s">
        <v>165</v>
      </c>
      <c r="E13" s="76" t="s">
        <v>270</v>
      </c>
      <c r="F13" s="76" t="s">
        <v>166</v>
      </c>
      <c r="H13" s="11">
        <v>9</v>
      </c>
      <c r="I13" s="11">
        <f t="shared" si="0"/>
        <v>7.5108370527865231E-2</v>
      </c>
    </row>
    <row r="14" spans="2:9" x14ac:dyDescent="0.25">
      <c r="B14" s="77">
        <v>0.25</v>
      </c>
      <c r="C14" s="11">
        <v>1.4E-2</v>
      </c>
      <c r="D14" s="80" t="s">
        <v>168</v>
      </c>
      <c r="E14" s="80" t="s">
        <v>168</v>
      </c>
      <c r="F14" s="11" t="e">
        <f>(D14-C14)*E14</f>
        <v>#VALUE!</v>
      </c>
      <c r="H14" s="78">
        <v>10</v>
      </c>
      <c r="I14" s="78">
        <f t="shared" si="0"/>
        <v>8.1244591779651487E-2</v>
      </c>
    </row>
    <row r="15" spans="2:9" x14ac:dyDescent="0.25">
      <c r="B15" s="79">
        <v>1</v>
      </c>
      <c r="C15" s="78">
        <v>0.02</v>
      </c>
      <c r="D15" s="78">
        <v>0.1</v>
      </c>
      <c r="E15" s="78">
        <v>220</v>
      </c>
      <c r="F15" s="11">
        <f t="shared" ref="F15:F19" si="2">(D15-C15)*E15</f>
        <v>17.600000000000001</v>
      </c>
      <c r="H15" s="11">
        <v>11</v>
      </c>
      <c r="I15" s="11">
        <f t="shared" si="0"/>
        <v>8.6862361985254696E-2</v>
      </c>
    </row>
    <row r="16" spans="2:9" x14ac:dyDescent="0.25">
      <c r="B16" s="79">
        <v>5</v>
      </c>
      <c r="C16" s="78">
        <v>4.5999999999999999E-2</v>
      </c>
      <c r="D16" s="78">
        <v>0.21</v>
      </c>
      <c r="E16" s="78">
        <v>320</v>
      </c>
      <c r="F16" s="11">
        <f t="shared" si="2"/>
        <v>52.47999999999999</v>
      </c>
      <c r="H16" s="11">
        <v>12</v>
      </c>
      <c r="I16" s="11">
        <f t="shared" si="0"/>
        <v>9.1950315234904823E-2</v>
      </c>
    </row>
    <row r="17" spans="2:9" x14ac:dyDescent="0.25">
      <c r="B17" s="79">
        <v>10</v>
      </c>
      <c r="C17" s="78">
        <v>7.8E-2</v>
      </c>
      <c r="D17" s="78">
        <v>0.33</v>
      </c>
      <c r="E17" s="78">
        <v>380</v>
      </c>
      <c r="F17" s="11">
        <f t="shared" si="2"/>
        <v>95.76</v>
      </c>
      <c r="H17" s="11">
        <v>13</v>
      </c>
      <c r="I17" s="11">
        <f t="shared" si="0"/>
        <v>9.6516289811889672E-2</v>
      </c>
    </row>
    <row r="18" spans="2:9" x14ac:dyDescent="0.25">
      <c r="B18" s="79">
        <v>15</v>
      </c>
      <c r="C18" s="78">
        <v>0.11</v>
      </c>
      <c r="D18" s="78">
        <v>0.42</v>
      </c>
      <c r="E18" s="78">
        <v>400</v>
      </c>
      <c r="F18" s="11">
        <f t="shared" si="2"/>
        <v>124</v>
      </c>
      <c r="H18" s="11">
        <v>14</v>
      </c>
      <c r="I18" s="11">
        <f t="shared" si="0"/>
        <v>0.10058191321539968</v>
      </c>
    </row>
    <row r="19" spans="2:9" x14ac:dyDescent="0.25">
      <c r="B19" s="79">
        <v>25</v>
      </c>
      <c r="C19" s="78">
        <v>0.12</v>
      </c>
      <c r="D19" s="78">
        <v>0.46</v>
      </c>
      <c r="E19" s="78">
        <v>390</v>
      </c>
      <c r="F19" s="11">
        <f t="shared" si="2"/>
        <v>132.60000000000002</v>
      </c>
      <c r="H19" s="11">
        <v>15</v>
      </c>
      <c r="I19" s="11">
        <f t="shared" si="0"/>
        <v>0.10417798503137558</v>
      </c>
    </row>
    <row r="20" spans="2:9" x14ac:dyDescent="0.25">
      <c r="H20" s="11">
        <v>16</v>
      </c>
      <c r="I20" s="11">
        <f t="shared" si="0"/>
        <v>0.10734074761075682</v>
      </c>
    </row>
    <row r="21" spans="2:9" x14ac:dyDescent="0.25">
      <c r="H21" s="11">
        <v>17</v>
      </c>
      <c r="I21" s="11">
        <f t="shared" si="0"/>
        <v>0.11010901229876653</v>
      </c>
    </row>
    <row r="22" spans="2:9" x14ac:dyDescent="0.25">
      <c r="H22" s="11">
        <v>18</v>
      </c>
      <c r="I22" s="11">
        <f t="shared" si="0"/>
        <v>0.11252204328992306</v>
      </c>
    </row>
    <row r="23" spans="2:9" x14ac:dyDescent="0.25">
      <c r="B23" s="11"/>
      <c r="C23" s="240" t="s">
        <v>169</v>
      </c>
      <c r="D23" s="240"/>
      <c r="E23" s="240"/>
      <c r="F23" s="240"/>
      <c r="H23" s="11">
        <v>19</v>
      </c>
      <c r="I23" s="11">
        <f t="shared" si="0"/>
        <v>0.11461807427260852</v>
      </c>
    </row>
    <row r="24" spans="2:9" x14ac:dyDescent="0.25">
      <c r="B24" s="76" t="s">
        <v>15</v>
      </c>
      <c r="C24" s="76" t="s">
        <v>164</v>
      </c>
      <c r="D24" s="76" t="s">
        <v>165</v>
      </c>
      <c r="E24" s="76" t="s">
        <v>270</v>
      </c>
      <c r="F24" s="76" t="s">
        <v>166</v>
      </c>
      <c r="H24" s="11">
        <v>20</v>
      </c>
      <c r="I24" s="11">
        <f t="shared" si="0"/>
        <v>0.1164333302456125</v>
      </c>
    </row>
    <row r="25" spans="2:9" x14ac:dyDescent="0.25">
      <c r="B25" s="77">
        <v>0.25</v>
      </c>
      <c r="C25" s="11">
        <v>1.4E-2</v>
      </c>
      <c r="D25" s="11">
        <v>6.6000000000000003E-2</v>
      </c>
      <c r="E25" s="11">
        <v>190</v>
      </c>
      <c r="F25" s="11">
        <f>(D25-C25)*E25</f>
        <v>9.8800000000000008</v>
      </c>
      <c r="H25" s="11">
        <v>21</v>
      </c>
      <c r="I25" s="11">
        <f t="shared" si="0"/>
        <v>0.11800143747890274</v>
      </c>
    </row>
    <row r="26" spans="2:9" x14ac:dyDescent="0.25">
      <c r="B26" s="79">
        <v>1</v>
      </c>
      <c r="C26" s="78">
        <v>0.02</v>
      </c>
      <c r="D26" s="78">
        <v>0.13</v>
      </c>
      <c r="E26" s="78">
        <v>350</v>
      </c>
      <c r="F26" s="11">
        <f t="shared" ref="F26:F30" si="3">(D26-C26)*E26</f>
        <v>38.5</v>
      </c>
      <c r="H26" s="11">
        <v>22</v>
      </c>
      <c r="I26" s="11">
        <f t="shared" si="0"/>
        <v>0.11935312130043983</v>
      </c>
    </row>
    <row r="27" spans="2:9" x14ac:dyDescent="0.25">
      <c r="B27" s="79">
        <v>5</v>
      </c>
      <c r="C27" s="78">
        <v>4.5999999999999999E-2</v>
      </c>
      <c r="D27" s="78">
        <v>0.24</v>
      </c>
      <c r="E27" s="78">
        <v>570</v>
      </c>
      <c r="F27" s="11">
        <f t="shared" si="3"/>
        <v>110.58</v>
      </c>
      <c r="H27" s="11">
        <v>23</v>
      </c>
      <c r="I27" s="11">
        <f t="shared" si="0"/>
        <v>0.1205161097213802</v>
      </c>
    </row>
    <row r="28" spans="2:9" x14ac:dyDescent="0.25">
      <c r="B28" s="79">
        <v>10</v>
      </c>
      <c r="C28" s="78">
        <v>7.8E-2</v>
      </c>
      <c r="D28" s="78">
        <v>0.57999999999999996</v>
      </c>
      <c r="E28" s="78">
        <v>1100</v>
      </c>
      <c r="F28" s="11">
        <f t="shared" si="3"/>
        <v>552.20000000000005</v>
      </c>
      <c r="H28" s="11">
        <v>24</v>
      </c>
      <c r="I28" s="11">
        <f t="shared" si="0"/>
        <v>0.12151517833192617</v>
      </c>
    </row>
    <row r="29" spans="2:9" x14ac:dyDescent="0.25">
      <c r="B29" s="79">
        <v>15</v>
      </c>
      <c r="C29" s="78">
        <v>0.11</v>
      </c>
      <c r="D29" s="78">
        <v>0.9</v>
      </c>
      <c r="E29" s="78">
        <v>1300</v>
      </c>
      <c r="F29" s="11">
        <f t="shared" si="3"/>
        <v>1027</v>
      </c>
      <c r="H29" s="78">
        <v>25</v>
      </c>
      <c r="I29" s="78">
        <f t="shared" si="0"/>
        <v>0.12237228718165492</v>
      </c>
    </row>
    <row r="30" spans="2:9" x14ac:dyDescent="0.25">
      <c r="B30" s="79">
        <v>25</v>
      </c>
      <c r="C30" s="78">
        <v>0.12</v>
      </c>
      <c r="D30" s="78">
        <v>0.99</v>
      </c>
      <c r="E30" s="78">
        <v>1300</v>
      </c>
      <c r="F30" s="11">
        <f t="shared" si="3"/>
        <v>1131</v>
      </c>
      <c r="H30" s="11">
        <v>26</v>
      </c>
      <c r="I30" s="11">
        <f t="shared" si="0"/>
        <v>0.1231067730776145</v>
      </c>
    </row>
    <row r="31" spans="2:9" x14ac:dyDescent="0.25">
      <c r="H31" s="11">
        <v>27</v>
      </c>
      <c r="I31" s="11">
        <f t="shared" si="0"/>
        <v>0.12373557092290143</v>
      </c>
    </row>
    <row r="32" spans="2:9" x14ac:dyDescent="0.25">
      <c r="H32" s="11">
        <v>28</v>
      </c>
      <c r="I32" s="11">
        <f t="shared" si="0"/>
        <v>0.12427344563867948</v>
      </c>
    </row>
    <row r="33" spans="2:9" x14ac:dyDescent="0.25">
      <c r="B33" s="11"/>
      <c r="C33" s="240" t="s">
        <v>170</v>
      </c>
      <c r="D33" s="240"/>
      <c r="E33" s="240"/>
      <c r="F33" s="240"/>
      <c r="H33" s="11">
        <v>29</v>
      </c>
      <c r="I33" s="11">
        <f t="shared" si="0"/>
        <v>0.12473322221423393</v>
      </c>
    </row>
    <row r="34" spans="2:9" x14ac:dyDescent="0.25">
      <c r="B34" s="76" t="s">
        <v>15</v>
      </c>
      <c r="C34" s="76" t="s">
        <v>164</v>
      </c>
      <c r="D34" s="76" t="s">
        <v>165</v>
      </c>
      <c r="E34" s="76" t="s">
        <v>270</v>
      </c>
      <c r="F34" s="76" t="s">
        <v>166</v>
      </c>
      <c r="H34" s="11">
        <v>30</v>
      </c>
      <c r="I34" s="11">
        <f t="shared" si="0"/>
        <v>0.12512600587385228</v>
      </c>
    </row>
    <row r="35" spans="2:9" x14ac:dyDescent="0.25">
      <c r="B35" s="77">
        <v>0.25</v>
      </c>
      <c r="C35" s="11">
        <v>1.4E-2</v>
      </c>
      <c r="D35" s="80" t="s">
        <v>168</v>
      </c>
      <c r="E35" s="80" t="s">
        <v>168</v>
      </c>
      <c r="F35" s="11" t="e">
        <f>(D35-C35)*E35</f>
        <v>#VALUE!</v>
      </c>
      <c r="H35" s="11">
        <v>31</v>
      </c>
      <c r="I35" s="11">
        <f t="shared" si="0"/>
        <v>0.12546138756728403</v>
      </c>
    </row>
    <row r="36" spans="2:9" x14ac:dyDescent="0.25">
      <c r="B36" s="79">
        <v>1</v>
      </c>
      <c r="C36" s="78">
        <v>0.02</v>
      </c>
      <c r="D36" s="81" t="s">
        <v>168</v>
      </c>
      <c r="E36" s="81" t="s">
        <v>168</v>
      </c>
      <c r="F36" s="11" t="e">
        <f t="shared" ref="F36:F40" si="4">(D36-C36)*E36</f>
        <v>#VALUE!</v>
      </c>
      <c r="H36" s="11">
        <v>32</v>
      </c>
      <c r="I36" s="11">
        <f t="shared" si="0"/>
        <v>0.12574763226634367</v>
      </c>
    </row>
    <row r="37" spans="2:9" x14ac:dyDescent="0.25">
      <c r="B37" s="79">
        <v>5</v>
      </c>
      <c r="C37" s="78">
        <v>4.5999999999999999E-2</v>
      </c>
      <c r="D37" s="81" t="s">
        <v>168</v>
      </c>
      <c r="E37" s="81" t="s">
        <v>168</v>
      </c>
      <c r="F37" s="11" t="e">
        <f t="shared" si="4"/>
        <v>#VALUE!</v>
      </c>
      <c r="H37" s="11">
        <v>33</v>
      </c>
      <c r="I37" s="11">
        <f t="shared" si="0"/>
        <v>0.12599184911705252</v>
      </c>
    </row>
    <row r="38" spans="2:9" x14ac:dyDescent="0.25">
      <c r="B38" s="79">
        <v>10</v>
      </c>
      <c r="C38" s="78">
        <v>7.8E-2</v>
      </c>
      <c r="D38" s="78">
        <v>0.67</v>
      </c>
      <c r="E38" s="78">
        <v>1800</v>
      </c>
      <c r="F38" s="11">
        <f t="shared" si="4"/>
        <v>1065.6000000000001</v>
      </c>
      <c r="H38" s="11">
        <v>34</v>
      </c>
      <c r="I38" s="11">
        <f t="shared" si="0"/>
        <v>0.12620014353997625</v>
      </c>
    </row>
    <row r="39" spans="2:9" x14ac:dyDescent="0.25">
      <c r="B39" s="79">
        <v>15</v>
      </c>
      <c r="C39" s="78">
        <v>0.11</v>
      </c>
      <c r="D39" s="78">
        <v>1.1000000000000001</v>
      </c>
      <c r="E39" s="78">
        <v>2600</v>
      </c>
      <c r="F39" s="11">
        <f t="shared" si="4"/>
        <v>2574.0000000000005</v>
      </c>
      <c r="H39" s="11">
        <v>35</v>
      </c>
      <c r="I39" s="11">
        <f t="shared" si="0"/>
        <v>0.12637775203497922</v>
      </c>
    </row>
    <row r="40" spans="2:9" x14ac:dyDescent="0.25">
      <c r="B40" s="79">
        <v>25</v>
      </c>
      <c r="C40" s="78">
        <v>0.12</v>
      </c>
      <c r="D40" s="78">
        <v>1.4</v>
      </c>
      <c r="E40" s="78">
        <v>2700</v>
      </c>
      <c r="F40" s="11">
        <f t="shared" si="4"/>
        <v>3455.9999999999995</v>
      </c>
      <c r="H40" s="11">
        <v>36</v>
      </c>
      <c r="I40" s="11">
        <f t="shared" si="0"/>
        <v>0.12652916083993904</v>
      </c>
    </row>
    <row r="41" spans="2:9" x14ac:dyDescent="0.25">
      <c r="H41" s="11">
        <v>37</v>
      </c>
      <c r="I41" s="11">
        <f t="shared" si="0"/>
        <v>0.12665820979789813</v>
      </c>
    </row>
    <row r="42" spans="2:9" x14ac:dyDescent="0.25">
      <c r="H42" s="11">
        <v>38</v>
      </c>
      <c r="I42" s="11">
        <f t="shared" si="0"/>
        <v>0.12676818286396122</v>
      </c>
    </row>
    <row r="43" spans="2:9" x14ac:dyDescent="0.25">
      <c r="H43" s="11">
        <v>39</v>
      </c>
      <c r="I43" s="11">
        <f t="shared" si="0"/>
        <v>0.12686188667571027</v>
      </c>
    </row>
    <row r="44" spans="2:9" x14ac:dyDescent="0.25">
      <c r="H44" s="11">
        <v>40</v>
      </c>
      <c r="I44" s="11">
        <f t="shared" si="0"/>
        <v>0.1269417185502624</v>
      </c>
    </row>
    <row r="45" spans="2:9" x14ac:dyDescent="0.25">
      <c r="H45" s="11">
        <v>41</v>
      </c>
      <c r="I45" s="11">
        <f t="shared" si="0"/>
        <v>0.1270097251793097</v>
      </c>
    </row>
    <row r="46" spans="2:9" x14ac:dyDescent="0.25">
      <c r="H46" s="11">
        <v>42</v>
      </c>
      <c r="I46" s="11">
        <f t="shared" si="0"/>
        <v>0.12706765318570715</v>
      </c>
    </row>
    <row r="47" spans="2:9" x14ac:dyDescent="0.25">
      <c r="H47" s="11">
        <v>43</v>
      </c>
      <c r="I47" s="11">
        <f t="shared" si="0"/>
        <v>0.12711699259161419</v>
      </c>
    </row>
    <row r="48" spans="2:9" x14ac:dyDescent="0.25">
      <c r="H48" s="11">
        <v>44</v>
      </c>
      <c r="I48" s="11">
        <f t="shared" si="0"/>
        <v>0.12715901413550706</v>
      </c>
    </row>
    <row r="49" spans="8:9" x14ac:dyDescent="0.25">
      <c r="H49" s="11">
        <v>45</v>
      </c>
      <c r="I49" s="11">
        <f t="shared" si="0"/>
        <v>0.12719480126771116</v>
      </c>
    </row>
    <row r="50" spans="8:9" x14ac:dyDescent="0.25">
      <c r="H50" s="11">
        <v>46</v>
      </c>
      <c r="I50" s="11">
        <f t="shared" si="0"/>
        <v>0.12722527755385585</v>
      </c>
    </row>
    <row r="51" spans="8:9" x14ac:dyDescent="0.25">
      <c r="H51" s="11">
        <v>47</v>
      </c>
      <c r="I51" s="11">
        <f t="shared" si="0"/>
        <v>0.12725123012404246</v>
      </c>
    </row>
    <row r="52" spans="8:9" x14ac:dyDescent="0.25">
      <c r="H52" s="11">
        <v>48</v>
      </c>
      <c r="I52" s="11">
        <f t="shared" si="0"/>
        <v>0.12727332972294519</v>
      </c>
    </row>
    <row r="53" spans="8:9" x14ac:dyDescent="0.25">
      <c r="H53" s="11">
        <v>49</v>
      </c>
      <c r="I53" s="11">
        <f t="shared" si="0"/>
        <v>0.12729214784243464</v>
      </c>
    </row>
    <row r="54" spans="8:9" x14ac:dyDescent="0.25">
      <c r="H54" s="11">
        <v>50</v>
      </c>
      <c r="I54" s="11">
        <f t="shared" si="0"/>
        <v>0.12730817135319969</v>
      </c>
    </row>
    <row r="55" spans="8:9" x14ac:dyDescent="0.25">
      <c r="H55" s="11">
        <v>51</v>
      </c>
      <c r="I55" s="11">
        <f t="shared" si="0"/>
        <v>0.12732181499463927</v>
      </c>
    </row>
    <row r="56" spans="8:9" x14ac:dyDescent="0.25">
      <c r="H56" s="11">
        <v>52</v>
      </c>
      <c r="I56" s="11">
        <f t="shared" si="0"/>
        <v>0.12733343203231029</v>
      </c>
    </row>
    <row r="57" spans="8:9" x14ac:dyDescent="0.25">
      <c r="H57" s="11">
        <v>53</v>
      </c>
      <c r="I57" s="11">
        <f t="shared" si="0"/>
        <v>0.12734332334872664</v>
      </c>
    </row>
    <row r="58" spans="8:9" x14ac:dyDescent="0.25">
      <c r="H58" s="11">
        <v>54</v>
      </c>
      <c r="I58" s="11">
        <f t="shared" si="0"/>
        <v>0.12735174519559811</v>
      </c>
    </row>
    <row r="59" spans="8:9" x14ac:dyDescent="0.25">
      <c r="H59" s="11">
        <v>55</v>
      </c>
      <c r="I59" s="11">
        <f t="shared" si="0"/>
        <v>0.1273589158030039</v>
      </c>
    </row>
    <row r="60" spans="8:9" x14ac:dyDescent="0.25">
      <c r="H60" s="11">
        <v>56</v>
      </c>
      <c r="I60" s="11">
        <f t="shared" si="0"/>
        <v>0.12736502101288669</v>
      </c>
    </row>
    <row r="61" spans="8:9" x14ac:dyDescent="0.25">
      <c r="H61" s="11">
        <v>57</v>
      </c>
      <c r="I61" s="11">
        <f t="shared" si="0"/>
        <v>0.12737021908006227</v>
      </c>
    </row>
    <row r="62" spans="8:9" x14ac:dyDescent="0.25">
      <c r="H62" s="11">
        <v>58</v>
      </c>
      <c r="I62" s="11">
        <f t="shared" si="0"/>
        <v>0.12737464476315699</v>
      </c>
    </row>
    <row r="63" spans="8:9" x14ac:dyDescent="0.25">
      <c r="H63" s="11">
        <v>59</v>
      </c>
      <c r="I63" s="11">
        <f t="shared" si="0"/>
        <v>0.12737841281005188</v>
      </c>
    </row>
    <row r="64" spans="8:9" x14ac:dyDescent="0.25">
      <c r="H64" s="11">
        <v>60</v>
      </c>
      <c r="I64" s="11">
        <f t="shared" si="0"/>
        <v>0.12738162092713276</v>
      </c>
    </row>
    <row r="70" spans="2:16" ht="30" x14ac:dyDescent="0.25">
      <c r="B70" s="82" t="s">
        <v>171</v>
      </c>
      <c r="C70" s="75"/>
      <c r="H70" s="82" t="s">
        <v>172</v>
      </c>
      <c r="I70" s="75"/>
    </row>
    <row r="71" spans="2:16" x14ac:dyDescent="0.25">
      <c r="B71" s="11">
        <v>0.25</v>
      </c>
      <c r="C71" s="11">
        <f>0.02712+(B71^0.9173)*(0.9599-0.02712)/(B71^0.9173+27.01^0.9173)</f>
        <v>3.966559704469344E-2</v>
      </c>
      <c r="H71" s="11">
        <v>0.25</v>
      </c>
      <c r="I71" s="11">
        <f>1.159*EXP(LN(0.07248/1.159)*EXP(-0.1362*H71))</f>
        <v>7.9527946435074437E-2</v>
      </c>
      <c r="N71" s="24" t="s">
        <v>173</v>
      </c>
      <c r="O71" s="24"/>
      <c r="P71" s="24"/>
    </row>
    <row r="72" spans="2:16" x14ac:dyDescent="0.25">
      <c r="B72" s="78">
        <v>0.5</v>
      </c>
      <c r="C72" s="78">
        <f t="shared" ref="C72:C74" si="5">0.02712+(B72^0.9173)*(0.9599-0.02712)/(B72^0.9173+27.01^0.9173)</f>
        <v>5.0533515530634981E-2</v>
      </c>
      <c r="H72" s="78">
        <v>0.5</v>
      </c>
      <c r="I72" s="78">
        <f t="shared" ref="I72:I73" si="6">1.159*EXP(LN(0.07248/1.159)*EXP(-0.1362*H72))</f>
        <v>8.6990571277000411E-2</v>
      </c>
    </row>
    <row r="73" spans="2:16" x14ac:dyDescent="0.25">
      <c r="B73" s="78">
        <v>1</v>
      </c>
      <c r="C73" s="78">
        <f t="shared" si="5"/>
        <v>7.0373512732948784E-2</v>
      </c>
      <c r="H73" s="78">
        <v>1</v>
      </c>
      <c r="I73" s="78">
        <f t="shared" si="6"/>
        <v>0.1031593642082161</v>
      </c>
    </row>
    <row r="74" spans="2:16" x14ac:dyDescent="0.25">
      <c r="B74" s="11">
        <v>2</v>
      </c>
      <c r="C74" s="11">
        <f t="shared" si="5"/>
        <v>0.10557496731573351</v>
      </c>
      <c r="H74" s="11">
        <v>2</v>
      </c>
      <c r="I74" s="11">
        <f>0.1036+(H74^3.064)*(1.055-0.1036)/(H74^3.064+9.58^3.064)</f>
        <v>0.11136703196481797</v>
      </c>
    </row>
    <row r="75" spans="2:16" x14ac:dyDescent="0.25">
      <c r="B75" s="11">
        <v>3</v>
      </c>
      <c r="C75" s="11">
        <f>0.02712+(B75^0.9173)*(0.9599-0.02712)/(B75^0.9173+27.01^0.9173)</f>
        <v>0.136766796243807</v>
      </c>
      <c r="H75" s="11">
        <v>3</v>
      </c>
      <c r="I75" s="11">
        <f t="shared" ref="I75:I132" si="7">0.1036+(H75^3.064)*(1.055-0.1036)/(H75^3.064+9.58^3.064)</f>
        <v>0.12997243786748075</v>
      </c>
    </row>
    <row r="76" spans="2:16" x14ac:dyDescent="0.25">
      <c r="B76" s="11">
        <v>4</v>
      </c>
      <c r="C76" s="11">
        <f>0.02712+(B76^0.9173)*(0.9599-0.02712)/(B76^0.9173+27.01^0.9173)</f>
        <v>0.16498467428087915</v>
      </c>
      <c r="H76" s="11">
        <v>4</v>
      </c>
      <c r="I76" s="11">
        <f t="shared" si="7"/>
        <v>0.16487177554851426</v>
      </c>
    </row>
    <row r="77" spans="2:16" x14ac:dyDescent="0.25">
      <c r="B77" s="78">
        <v>5</v>
      </c>
      <c r="C77" s="78">
        <f>0.02712+(B77^0.9173)*(0.9599-0.02712)/(B77^0.9173+27.01^0.9173)</f>
        <v>0.19080462370617624</v>
      </c>
      <c r="H77" s="78">
        <v>5</v>
      </c>
      <c r="I77" s="78">
        <f t="shared" si="7"/>
        <v>0.21777762381837842</v>
      </c>
    </row>
    <row r="78" spans="2:16" x14ac:dyDescent="0.25">
      <c r="B78" s="11">
        <v>6</v>
      </c>
      <c r="C78" s="11">
        <f t="shared" ref="C78:C132" si="8">0.4532*EXP(LN(0.04072/0.4532)*EXP(-0.1909*B78))</f>
        <v>0.2105753042777555</v>
      </c>
      <c r="H78" s="11">
        <v>6</v>
      </c>
      <c r="I78" s="11">
        <f t="shared" si="7"/>
        <v>0.28676605925309867</v>
      </c>
    </row>
    <row r="79" spans="2:16" x14ac:dyDescent="0.25">
      <c r="B79" s="11">
        <v>7</v>
      </c>
      <c r="C79" s="11">
        <f t="shared" si="8"/>
        <v>0.24057879625523504</v>
      </c>
      <c r="H79" s="11">
        <v>7</v>
      </c>
      <c r="I79" s="11">
        <f t="shared" si="7"/>
        <v>0.36675846885687746</v>
      </c>
    </row>
    <row r="80" spans="2:16" x14ac:dyDescent="0.25">
      <c r="B80" s="11">
        <v>8</v>
      </c>
      <c r="C80" s="11">
        <f t="shared" si="8"/>
        <v>0.26856772686598995</v>
      </c>
      <c r="H80" s="11">
        <v>8</v>
      </c>
      <c r="I80" s="11">
        <f t="shared" si="7"/>
        <v>0.45118838885461143</v>
      </c>
    </row>
    <row r="81" spans="2:9" x14ac:dyDescent="0.25">
      <c r="B81" s="11">
        <v>9</v>
      </c>
      <c r="C81" s="11">
        <f t="shared" si="8"/>
        <v>0.29413316653580179</v>
      </c>
      <c r="H81" s="11">
        <v>9</v>
      </c>
      <c r="I81" s="11">
        <f t="shared" si="7"/>
        <v>0.53392434274110057</v>
      </c>
    </row>
    <row r="82" spans="2:9" x14ac:dyDescent="0.25">
      <c r="B82" s="78">
        <v>10</v>
      </c>
      <c r="C82" s="78">
        <f t="shared" si="8"/>
        <v>0.31708184865149769</v>
      </c>
      <c r="H82" s="78">
        <v>10</v>
      </c>
      <c r="I82" s="78">
        <f t="shared" si="7"/>
        <v>0.61052484129080198</v>
      </c>
    </row>
    <row r="83" spans="2:9" x14ac:dyDescent="0.25">
      <c r="B83" s="11">
        <v>11</v>
      </c>
      <c r="C83" s="11">
        <f t="shared" si="8"/>
        <v>0.33738721520106352</v>
      </c>
      <c r="H83" s="11">
        <v>11</v>
      </c>
      <c r="I83" s="11">
        <f t="shared" si="7"/>
        <v>0.67855025702988214</v>
      </c>
    </row>
    <row r="84" spans="2:9" x14ac:dyDescent="0.25">
      <c r="B84" s="11">
        <v>12</v>
      </c>
      <c r="C84" s="11">
        <f t="shared" si="8"/>
        <v>0.35514123714527446</v>
      </c>
      <c r="H84" s="11">
        <v>12</v>
      </c>
      <c r="I84" s="11">
        <f t="shared" si="7"/>
        <v>0.73722248608136776</v>
      </c>
    </row>
    <row r="85" spans="2:9" x14ac:dyDescent="0.25">
      <c r="B85" s="11">
        <v>13</v>
      </c>
      <c r="C85" s="11">
        <f t="shared" si="8"/>
        <v>0.37051258688828209</v>
      </c>
      <c r="H85" s="11">
        <v>13</v>
      </c>
      <c r="I85" s="11">
        <f t="shared" si="7"/>
        <v>0.78685739280598999</v>
      </c>
    </row>
    <row r="86" spans="2:9" x14ac:dyDescent="0.25">
      <c r="B86" s="11">
        <v>14</v>
      </c>
      <c r="C86" s="11">
        <f t="shared" si="8"/>
        <v>0.38371331110330154</v>
      </c>
      <c r="H86" s="11">
        <v>14</v>
      </c>
      <c r="I86" s="11">
        <f t="shared" si="7"/>
        <v>0.82834995263900446</v>
      </c>
    </row>
    <row r="87" spans="2:9" x14ac:dyDescent="0.25">
      <c r="B87" s="11">
        <v>15</v>
      </c>
      <c r="C87" s="11">
        <f t="shared" si="8"/>
        <v>0.3949740450806723</v>
      </c>
      <c r="H87" s="11">
        <v>15</v>
      </c>
      <c r="I87" s="11">
        <f t="shared" si="7"/>
        <v>0.86281302458072218</v>
      </c>
    </row>
    <row r="88" spans="2:9" x14ac:dyDescent="0.25">
      <c r="B88" s="11">
        <v>16</v>
      </c>
      <c r="C88" s="11">
        <f t="shared" si="8"/>
        <v>0.40452672562638747</v>
      </c>
      <c r="H88" s="11">
        <v>16</v>
      </c>
      <c r="I88" s="11">
        <f t="shared" si="7"/>
        <v>0.89136475866302434</v>
      </c>
    </row>
    <row r="89" spans="2:9" x14ac:dyDescent="0.25">
      <c r="B89" s="11">
        <v>17</v>
      </c>
      <c r="C89" s="11">
        <f t="shared" si="8"/>
        <v>0.41259335294505389</v>
      </c>
      <c r="H89" s="11">
        <v>17</v>
      </c>
      <c r="I89" s="11">
        <f t="shared" si="7"/>
        <v>0.91502325921662941</v>
      </c>
    </row>
    <row r="90" spans="2:9" x14ac:dyDescent="0.25">
      <c r="B90" s="11">
        <v>18</v>
      </c>
      <c r="C90" s="11">
        <f t="shared" si="8"/>
        <v>0.41937933711489428</v>
      </c>
      <c r="H90" s="11">
        <v>18</v>
      </c>
      <c r="I90" s="11">
        <f t="shared" si="7"/>
        <v>0.93466693762355202</v>
      </c>
    </row>
    <row r="91" spans="2:9" x14ac:dyDescent="0.25">
      <c r="B91" s="11">
        <v>19</v>
      </c>
      <c r="C91" s="11">
        <f t="shared" si="8"/>
        <v>0.42507014184365133</v>
      </c>
      <c r="H91" s="11">
        <v>19</v>
      </c>
      <c r="I91" s="11">
        <f t="shared" si="7"/>
        <v>0.95103028211595808</v>
      </c>
    </row>
    <row r="92" spans="2:9" x14ac:dyDescent="0.25">
      <c r="B92" s="11">
        <v>20</v>
      </c>
      <c r="C92" s="11">
        <f t="shared" si="8"/>
        <v>0.42983018361703773</v>
      </c>
      <c r="H92" s="11">
        <v>20</v>
      </c>
      <c r="I92" s="11">
        <f t="shared" si="7"/>
        <v>0.96471621078639869</v>
      </c>
    </row>
    <row r="93" spans="2:9" x14ac:dyDescent="0.25">
      <c r="B93" s="11">
        <v>21</v>
      </c>
      <c r="C93" s="11">
        <f t="shared" si="8"/>
        <v>0.43380319039655862</v>
      </c>
      <c r="H93" s="11">
        <v>21</v>
      </c>
      <c r="I93" s="11">
        <f t="shared" si="7"/>
        <v>0.9762144782906077</v>
      </c>
    </row>
    <row r="94" spans="2:9" x14ac:dyDescent="0.25">
      <c r="B94" s="11">
        <v>22</v>
      </c>
      <c r="C94" s="11">
        <f t="shared" si="8"/>
        <v>0.43711343913167361</v>
      </c>
      <c r="H94" s="11">
        <v>22</v>
      </c>
      <c r="I94" s="11">
        <f t="shared" si="7"/>
        <v>0.98592079352908546</v>
      </c>
    </row>
    <row r="95" spans="2:9" x14ac:dyDescent="0.25">
      <c r="B95" s="11">
        <v>23</v>
      </c>
      <c r="C95" s="11">
        <f t="shared" si="8"/>
        <v>0.43986746508858982</v>
      </c>
      <c r="H95" s="11">
        <v>23</v>
      </c>
      <c r="I95" s="11">
        <f t="shared" si="7"/>
        <v>0.99415425496543175</v>
      </c>
    </row>
    <row r="96" spans="2:9" x14ac:dyDescent="0.25">
      <c r="B96" s="11">
        <v>24</v>
      </c>
      <c r="C96" s="11">
        <f t="shared" si="8"/>
        <v>0.44215596896603776</v>
      </c>
      <c r="H96" s="11">
        <v>24</v>
      </c>
      <c r="I96" s="11">
        <f t="shared" si="7"/>
        <v>1.0011722657060185</v>
      </c>
    </row>
    <row r="97" spans="2:9" x14ac:dyDescent="0.25">
      <c r="B97" s="78">
        <v>25</v>
      </c>
      <c r="C97" s="78">
        <f t="shared" si="8"/>
        <v>0.4440557454516687</v>
      </c>
      <c r="H97" s="78">
        <v>25</v>
      </c>
      <c r="I97" s="78">
        <f t="shared" si="7"/>
        <v>1.0071828473907005</v>
      </c>
    </row>
    <row r="98" spans="2:9" x14ac:dyDescent="0.25">
      <c r="B98" s="11">
        <v>26</v>
      </c>
      <c r="C98" s="11">
        <f t="shared" si="8"/>
        <v>0.44563152621106872</v>
      </c>
      <c r="H98" s="11">
        <v>26</v>
      </c>
      <c r="I98" s="11">
        <f t="shared" si="7"/>
        <v>1.0123545989172826</v>
      </c>
    </row>
    <row r="99" spans="2:9" x14ac:dyDescent="0.25">
      <c r="B99" s="11">
        <v>27</v>
      </c>
      <c r="C99" s="11">
        <f t="shared" si="8"/>
        <v>0.44693767797740414</v>
      </c>
      <c r="H99" s="11">
        <v>27</v>
      </c>
      <c r="I99" s="11">
        <f t="shared" si="7"/>
        <v>1.0168246546788522</v>
      </c>
    </row>
    <row r="100" spans="2:9" x14ac:dyDescent="0.25">
      <c r="B100" s="11">
        <v>28</v>
      </c>
      <c r="C100" s="11">
        <f t="shared" si="8"/>
        <v>0.44801972813258095</v>
      </c>
      <c r="H100" s="11">
        <v>28</v>
      </c>
      <c r="I100" s="11">
        <f t="shared" si="7"/>
        <v>1.0207050026041948</v>
      </c>
    </row>
    <row r="101" spans="2:9" x14ac:dyDescent="0.25">
      <c r="B101" s="11">
        <v>29</v>
      </c>
      <c r="C101" s="11">
        <f t="shared" si="8"/>
        <v>0.4489157104928681</v>
      </c>
      <c r="H101" s="11">
        <v>29</v>
      </c>
      <c r="I101" s="11">
        <f t="shared" si="7"/>
        <v>1.0240874848391681</v>
      </c>
    </row>
    <row r="102" spans="2:9" x14ac:dyDescent="0.25">
      <c r="B102" s="11">
        <v>30</v>
      </c>
      <c r="C102" s="11">
        <f t="shared" si="8"/>
        <v>0.449657336400267</v>
      </c>
      <c r="H102" s="11">
        <v>30</v>
      </c>
      <c r="I102" s="11">
        <f t="shared" si="7"/>
        <v>1.0270477530666033</v>
      </c>
    </row>
    <row r="103" spans="2:9" x14ac:dyDescent="0.25">
      <c r="B103" s="11">
        <v>31</v>
      </c>
      <c r="C103" s="11">
        <f t="shared" si="8"/>
        <v>0.4502710032286294</v>
      </c>
      <c r="H103" s="11">
        <v>31</v>
      </c>
      <c r="I103" s="11">
        <f t="shared" si="7"/>
        <v>1.0296483999019048</v>
      </c>
    </row>
    <row r="104" spans="2:9" x14ac:dyDescent="0.25">
      <c r="B104" s="11">
        <v>32</v>
      </c>
      <c r="C104" s="11">
        <f t="shared" si="8"/>
        <v>0.45077865587126342</v>
      </c>
      <c r="H104" s="11">
        <v>32</v>
      </c>
      <c r="I104" s="11">
        <f t="shared" si="7"/>
        <v>1.0319414430439848</v>
      </c>
    </row>
    <row r="105" spans="2:9" x14ac:dyDescent="0.25">
      <c r="B105" s="11">
        <v>33</v>
      </c>
      <c r="C105" s="11">
        <f t="shared" si="8"/>
        <v>0.45119851796742338</v>
      </c>
      <c r="H105" s="11">
        <v>33</v>
      </c>
      <c r="I105" s="11">
        <f t="shared" si="7"/>
        <v>1.0339703014772734</v>
      </c>
    </row>
    <row r="106" spans="2:9" x14ac:dyDescent="0.25">
      <c r="B106" s="11">
        <v>34</v>
      </c>
      <c r="C106" s="11">
        <f t="shared" si="8"/>
        <v>0.45154570942887906</v>
      </c>
      <c r="H106" s="11">
        <v>34</v>
      </c>
      <c r="I106" s="11">
        <f t="shared" si="7"/>
        <v>1.0357713728001572</v>
      </c>
    </row>
    <row r="107" spans="2:9" x14ac:dyDescent="0.25">
      <c r="B107" s="11">
        <v>35</v>
      </c>
      <c r="C107" s="11">
        <f t="shared" si="8"/>
        <v>0.45183276583586046</v>
      </c>
      <c r="H107" s="11">
        <v>35</v>
      </c>
      <c r="I107" s="11">
        <f t="shared" si="7"/>
        <v>1.0373752967949614</v>
      </c>
    </row>
    <row r="108" spans="2:9" x14ac:dyDescent="0.25">
      <c r="B108" s="11">
        <v>36</v>
      </c>
      <c r="C108" s="11">
        <f t="shared" si="8"/>
        <v>0.4520700738718133</v>
      </c>
      <c r="H108" s="11">
        <v>36</v>
      </c>
      <c r="I108" s="11">
        <f t="shared" si="7"/>
        <v>1.0388079715773473</v>
      </c>
    </row>
    <row r="109" spans="2:9" x14ac:dyDescent="0.25">
      <c r="B109" s="11">
        <v>37</v>
      </c>
      <c r="C109" s="11">
        <f t="shared" si="8"/>
        <v>0.452266235405761</v>
      </c>
      <c r="H109" s="11">
        <v>37</v>
      </c>
      <c r="I109" s="11">
        <f t="shared" si="7"/>
        <v>1.0400913740465108</v>
      </c>
    </row>
    <row r="110" spans="2:9" x14ac:dyDescent="0.25">
      <c r="B110" s="11">
        <v>38</v>
      </c>
      <c r="C110" s="11">
        <f t="shared" si="8"/>
        <v>0.45242837126132474</v>
      </c>
      <c r="H110" s="11">
        <v>38</v>
      </c>
      <c r="I110" s="11">
        <f t="shared" si="7"/>
        <v>1.0412442250202172</v>
      </c>
    </row>
    <row r="111" spans="2:9" x14ac:dyDescent="0.25">
      <c r="B111" s="11">
        <v>39</v>
      </c>
      <c r="C111" s="11">
        <f t="shared" si="8"/>
        <v>0.45256237422060491</v>
      </c>
      <c r="H111" s="11">
        <v>39</v>
      </c>
      <c r="I111" s="11">
        <f t="shared" si="7"/>
        <v>1.0422825306567205</v>
      </c>
    </row>
    <row r="112" spans="2:9" x14ac:dyDescent="0.25">
      <c r="B112" s="11">
        <v>40</v>
      </c>
      <c r="C112" s="11">
        <f t="shared" si="8"/>
        <v>0.45267311944555183</v>
      </c>
      <c r="H112" s="11">
        <v>40</v>
      </c>
      <c r="I112" s="11">
        <f t="shared" si="7"/>
        <v>1.0432200249619774</v>
      </c>
    </row>
    <row r="113" spans="2:9" x14ac:dyDescent="0.25">
      <c r="B113" s="11">
        <v>41</v>
      </c>
      <c r="C113" s="11">
        <f t="shared" si="8"/>
        <v>0.45276463927903549</v>
      </c>
      <c r="H113" s="11">
        <v>41</v>
      </c>
      <c r="I113" s="11">
        <f t="shared" si="7"/>
        <v>1.0440685329030934</v>
      </c>
    </row>
    <row r="114" spans="2:9" x14ac:dyDescent="0.25">
      <c r="B114" s="11">
        <v>42</v>
      </c>
      <c r="C114" s="11">
        <f t="shared" si="8"/>
        <v>0.45284026831611596</v>
      </c>
      <c r="H114" s="11">
        <v>42</v>
      </c>
      <c r="I114" s="11">
        <f t="shared" si="7"/>
        <v>1.0448382695470595</v>
      </c>
    </row>
    <row r="115" spans="2:9" x14ac:dyDescent="0.25">
      <c r="B115" s="11">
        <v>43</v>
      </c>
      <c r="C115" s="11">
        <f t="shared" si="8"/>
        <v>0.45290276370702998</v>
      </c>
      <c r="H115" s="11">
        <v>43</v>
      </c>
      <c r="I115" s="11">
        <f t="shared" si="7"/>
        <v>1.0455380874475924</v>
      </c>
    </row>
    <row r="116" spans="2:9" x14ac:dyDescent="0.25">
      <c r="B116" s="11">
        <v>44</v>
      </c>
      <c r="C116" s="11">
        <f t="shared" si="8"/>
        <v>0.45295440485600674</v>
      </c>
      <c r="H116" s="11">
        <v>44</v>
      </c>
      <c r="I116" s="11">
        <f t="shared" si="7"/>
        <v>1.0461756820049617</v>
      </c>
    </row>
    <row r="117" spans="2:9" x14ac:dyDescent="0.25">
      <c r="B117" s="11">
        <v>45</v>
      </c>
      <c r="C117" s="11">
        <f t="shared" si="8"/>
        <v>0.45299707600073302</v>
      </c>
      <c r="H117" s="11">
        <v>45</v>
      </c>
      <c r="I117" s="11">
        <f t="shared" si="7"/>
        <v>1.0467577625652678</v>
      </c>
    </row>
    <row r="118" spans="2:9" x14ac:dyDescent="0.25">
      <c r="B118" s="11">
        <v>46</v>
      </c>
      <c r="C118" s="11">
        <f t="shared" si="8"/>
        <v>0.45303233458202569</v>
      </c>
      <c r="H118" s="11">
        <v>46</v>
      </c>
      <c r="I118" s="11">
        <f t="shared" si="7"/>
        <v>1.0472901954849558</v>
      </c>
    </row>
    <row r="119" spans="2:9" x14ac:dyDescent="0.25">
      <c r="B119" s="11">
        <v>47</v>
      </c>
      <c r="C119" s="11">
        <f t="shared" si="8"/>
        <v>0.45306146782838302</v>
      </c>
      <c r="H119" s="11">
        <v>47</v>
      </c>
      <c r="I119" s="11">
        <f t="shared" si="7"/>
        <v>1.047778124170071</v>
      </c>
    </row>
    <row r="120" spans="2:9" x14ac:dyDescent="0.25">
      <c r="B120" s="11">
        <v>48</v>
      </c>
      <c r="C120" s="11">
        <f t="shared" si="8"/>
        <v>0.45308553957290049</v>
      </c>
      <c r="H120" s="11">
        <v>48</v>
      </c>
      <c r="I120" s="11">
        <f t="shared" si="7"/>
        <v>1.0482260701360966</v>
      </c>
    </row>
    <row r="121" spans="2:9" x14ac:dyDescent="0.25">
      <c r="B121" s="11">
        <v>49</v>
      </c>
      <c r="C121" s="11">
        <f t="shared" si="8"/>
        <v>0.45310542897912137</v>
      </c>
      <c r="H121" s="11">
        <v>49</v>
      </c>
      <c r="I121" s="11">
        <f t="shared" si="7"/>
        <v>1.0486380183679642</v>
      </c>
    </row>
    <row r="122" spans="2:9" x14ac:dyDescent="0.25">
      <c r="B122" s="11">
        <v>50</v>
      </c>
      <c r="C122" s="11">
        <f t="shared" si="8"/>
        <v>0.4531218625676548</v>
      </c>
      <c r="H122" s="11">
        <v>50</v>
      </c>
      <c r="I122" s="11">
        <f t="shared" si="7"/>
        <v>1.0490174896483229</v>
      </c>
    </row>
    <row r="123" spans="2:9" x14ac:dyDescent="0.25">
      <c r="B123" s="11">
        <v>51</v>
      </c>
      <c r="C123" s="11">
        <f t="shared" si="8"/>
        <v>0.45313544069803807</v>
      </c>
      <c r="H123" s="11">
        <v>51</v>
      </c>
      <c r="I123" s="11">
        <f t="shared" si="7"/>
        <v>1.0493676020323672</v>
      </c>
    </row>
    <row r="124" spans="2:9" x14ac:dyDescent="0.25">
      <c r="B124" s="11">
        <v>52</v>
      </c>
      <c r="C124" s="11">
        <f t="shared" si="8"/>
        <v>0.45314665946278182</v>
      </c>
      <c r="H124" s="11">
        <v>52</v>
      </c>
      <c r="I124" s="11">
        <f t="shared" si="7"/>
        <v>1.049691123253875</v>
      </c>
    </row>
    <row r="125" spans="2:9" x14ac:dyDescent="0.25">
      <c r="B125" s="11">
        <v>53</v>
      </c>
      <c r="C125" s="11">
        <f t="shared" si="8"/>
        <v>0.45315592878634514</v>
      </c>
      <c r="H125" s="11">
        <v>53</v>
      </c>
      <c r="I125" s="11">
        <f t="shared" si="7"/>
        <v>1.0499905155295337</v>
      </c>
    </row>
    <row r="126" spans="2:9" x14ac:dyDescent="0.25">
      <c r="B126" s="11">
        <v>54</v>
      </c>
      <c r="C126" s="11">
        <f t="shared" si="8"/>
        <v>0.45316358738546297</v>
      </c>
      <c r="H126" s="11">
        <v>54</v>
      </c>
      <c r="I126" s="11">
        <f t="shared" si="7"/>
        <v>1.0502679739716179</v>
      </c>
    </row>
    <row r="127" spans="2:9" x14ac:dyDescent="0.25">
      <c r="B127" s="11">
        <v>55</v>
      </c>
      <c r="C127" s="11">
        <f t="shared" si="8"/>
        <v>0.45316991513415578</v>
      </c>
      <c r="H127" s="11">
        <v>55</v>
      </c>
      <c r="I127" s="11">
        <f t="shared" si="7"/>
        <v>1.0505254596103069</v>
      </c>
    </row>
    <row r="128" spans="2:9" x14ac:dyDescent="0.25">
      <c r="B128" s="11">
        <v>56</v>
      </c>
      <c r="C128" s="11">
        <f t="shared" si="8"/>
        <v>0.45317514328300157</v>
      </c>
      <c r="H128" s="11">
        <v>56</v>
      </c>
      <c r="I128" s="11">
        <f t="shared" si="7"/>
        <v>1.0507647278568126</v>
      </c>
    </row>
    <row r="129" spans="2:17" x14ac:dyDescent="0.25">
      <c r="B129" s="11">
        <v>57</v>
      </c>
      <c r="C129" s="11">
        <f t="shared" si="8"/>
        <v>0.45317946290457878</v>
      </c>
      <c r="H129" s="11">
        <v>57</v>
      </c>
      <c r="I129" s="11">
        <f t="shared" si="7"/>
        <v>1.0509873530993916</v>
      </c>
    </row>
    <row r="130" spans="2:17" x14ac:dyDescent="0.25">
      <c r="B130" s="11">
        <v>58</v>
      </c>
      <c r="C130" s="11">
        <f t="shared" si="8"/>
        <v>0.45318303187267084</v>
      </c>
      <c r="H130" s="11">
        <v>58</v>
      </c>
      <c r="I130" s="11">
        <f t="shared" si="7"/>
        <v>1.0511947500102319</v>
      </c>
    </row>
    <row r="131" spans="2:17" x14ac:dyDescent="0.25">
      <c r="B131" s="11">
        <v>59</v>
      </c>
      <c r="C131" s="11">
        <f t="shared" si="8"/>
        <v>0.45318598062958115</v>
      </c>
      <c r="H131" s="11">
        <v>59</v>
      </c>
      <c r="I131" s="11">
        <f t="shared" si="7"/>
        <v>1.0513881920473374</v>
      </c>
    </row>
    <row r="132" spans="2:17" x14ac:dyDescent="0.25">
      <c r="B132" s="11">
        <v>60</v>
      </c>
      <c r="C132" s="11">
        <f t="shared" si="8"/>
        <v>0.45318841695185297</v>
      </c>
      <c r="H132" s="11">
        <v>60</v>
      </c>
      <c r="I132" s="11">
        <f t="shared" si="7"/>
        <v>1.0515688275580599</v>
      </c>
    </row>
    <row r="137" spans="2:17" ht="30" x14ac:dyDescent="0.25">
      <c r="B137" s="82" t="s">
        <v>271</v>
      </c>
      <c r="C137" s="75"/>
      <c r="H137" s="82" t="s">
        <v>272</v>
      </c>
      <c r="I137" s="75"/>
    </row>
    <row r="138" spans="2:17" x14ac:dyDescent="0.25">
      <c r="B138" s="11">
        <v>0.25</v>
      </c>
      <c r="C138" s="11">
        <f>0.3255*EXP(LN(0.08771/0.3255)*EXP(-0.3731*B138))*1000</f>
        <v>98.575108747755152</v>
      </c>
      <c r="H138" s="11">
        <v>0.25</v>
      </c>
      <c r="I138" s="11">
        <f>(0.269+(H138^3.288)*(1.335-0.269)/(H138^3.288+6.656^3.288))*1000</f>
        <v>269.02195076377961</v>
      </c>
      <c r="O138" s="24"/>
      <c r="P138" s="24"/>
      <c r="Q138" s="24"/>
    </row>
    <row r="139" spans="2:17" x14ac:dyDescent="0.25">
      <c r="B139" s="78">
        <v>0.5</v>
      </c>
      <c r="C139" s="11">
        <f t="shared" ref="C139:C199" si="9">0.3255*EXP(LN(0.08771/0.3255)*EXP(-0.3731*B139))*1000</f>
        <v>109.63989472815658</v>
      </c>
      <c r="H139" s="78">
        <v>0.5</v>
      </c>
      <c r="I139" s="11">
        <f t="shared" ref="I139:I199" si="10">(0.269+(H139^3.288)*(1.335-0.269)/(H139^3.288+6.656^3.288))*1000</f>
        <v>269.21436696623283</v>
      </c>
    </row>
    <row r="140" spans="2:17" x14ac:dyDescent="0.25">
      <c r="B140" s="78">
        <v>1</v>
      </c>
      <c r="C140" s="11">
        <f t="shared" si="9"/>
        <v>131.945342397964</v>
      </c>
      <c r="H140" s="78">
        <v>1</v>
      </c>
      <c r="I140" s="11">
        <f t="shared" si="10"/>
        <v>271.09015961246922</v>
      </c>
    </row>
    <row r="141" spans="2:17" x14ac:dyDescent="0.25">
      <c r="B141" s="11">
        <v>2</v>
      </c>
      <c r="C141" s="11">
        <f t="shared" si="9"/>
        <v>174.78862083812825</v>
      </c>
      <c r="H141" s="11">
        <v>2</v>
      </c>
      <c r="I141" s="11">
        <f t="shared" si="10"/>
        <v>289.07074812734874</v>
      </c>
    </row>
    <row r="142" spans="2:17" x14ac:dyDescent="0.25">
      <c r="B142" s="11">
        <v>3</v>
      </c>
      <c r="C142" s="11">
        <f t="shared" si="9"/>
        <v>212.13089213754728</v>
      </c>
      <c r="H142" s="11">
        <v>3</v>
      </c>
      <c r="I142" s="11">
        <f t="shared" si="10"/>
        <v>341.32581229157745</v>
      </c>
    </row>
    <row r="143" spans="2:17" x14ac:dyDescent="0.25">
      <c r="B143" s="11">
        <v>4</v>
      </c>
      <c r="C143" s="11">
        <f t="shared" si="9"/>
        <v>242.38654734451913</v>
      </c>
      <c r="H143" s="11">
        <v>4</v>
      </c>
      <c r="I143" s="11">
        <f t="shared" si="10"/>
        <v>437.26573249126562</v>
      </c>
    </row>
    <row r="144" spans="2:17" x14ac:dyDescent="0.25">
      <c r="B144" s="78">
        <v>5</v>
      </c>
      <c r="C144" s="11">
        <f t="shared" si="9"/>
        <v>265.69379111911081</v>
      </c>
      <c r="H144" s="78">
        <v>5</v>
      </c>
      <c r="I144" s="11">
        <f t="shared" si="10"/>
        <v>568.30334408317287</v>
      </c>
    </row>
    <row r="145" spans="2:9" x14ac:dyDescent="0.25">
      <c r="B145" s="11">
        <v>6</v>
      </c>
      <c r="C145" s="11">
        <f t="shared" si="9"/>
        <v>283.03343048073123</v>
      </c>
      <c r="H145" s="11">
        <v>6</v>
      </c>
      <c r="I145" s="11">
        <f t="shared" si="10"/>
        <v>711.95246289887052</v>
      </c>
    </row>
    <row r="146" spans="2:9" x14ac:dyDescent="0.25">
      <c r="B146" s="11">
        <v>7</v>
      </c>
      <c r="C146" s="11">
        <f t="shared" si="9"/>
        <v>295.62697811845226</v>
      </c>
      <c r="H146" s="11">
        <v>7</v>
      </c>
      <c r="I146" s="11">
        <f t="shared" si="10"/>
        <v>846.05486740781328</v>
      </c>
    </row>
    <row r="147" spans="2:9" x14ac:dyDescent="0.25">
      <c r="B147" s="11">
        <v>8</v>
      </c>
      <c r="C147" s="11">
        <f t="shared" si="9"/>
        <v>304.62314213146016</v>
      </c>
      <c r="H147" s="11">
        <v>8</v>
      </c>
      <c r="I147" s="11">
        <f t="shared" si="10"/>
        <v>958.42441685753727</v>
      </c>
    </row>
    <row r="148" spans="2:9" x14ac:dyDescent="0.25">
      <c r="B148" s="11">
        <v>9</v>
      </c>
      <c r="C148" s="11">
        <f t="shared" si="9"/>
        <v>310.97652923242873</v>
      </c>
      <c r="H148" s="11">
        <v>9</v>
      </c>
      <c r="I148" s="11">
        <f t="shared" si="10"/>
        <v>1046.63051712485</v>
      </c>
    </row>
    <row r="149" spans="2:9" x14ac:dyDescent="0.25">
      <c r="B149" s="78">
        <v>10</v>
      </c>
      <c r="C149" s="11">
        <f t="shared" si="9"/>
        <v>315.42832146177966</v>
      </c>
      <c r="H149" s="78">
        <v>10</v>
      </c>
      <c r="I149" s="11">
        <f t="shared" si="10"/>
        <v>1113.5196774851379</v>
      </c>
    </row>
    <row r="150" spans="2:9" x14ac:dyDescent="0.25">
      <c r="B150" s="11">
        <v>11</v>
      </c>
      <c r="C150" s="11">
        <f t="shared" si="9"/>
        <v>318.5308058695083</v>
      </c>
      <c r="H150" s="11">
        <v>11</v>
      </c>
      <c r="I150" s="11">
        <f t="shared" si="10"/>
        <v>1163.5190704294839</v>
      </c>
    </row>
    <row r="151" spans="2:9" x14ac:dyDescent="0.25">
      <c r="B151" s="11">
        <v>12</v>
      </c>
      <c r="C151" s="11">
        <f t="shared" si="9"/>
        <v>320.68488835667438</v>
      </c>
      <c r="H151" s="11">
        <v>12</v>
      </c>
      <c r="I151" s="11">
        <f t="shared" si="10"/>
        <v>1200.8141455122216</v>
      </c>
    </row>
    <row r="152" spans="2:9" x14ac:dyDescent="0.25">
      <c r="B152" s="11">
        <v>13</v>
      </c>
      <c r="C152" s="11">
        <f t="shared" si="9"/>
        <v>322.17664483829867</v>
      </c>
      <c r="H152" s="11">
        <v>13</v>
      </c>
      <c r="I152" s="11">
        <f t="shared" si="10"/>
        <v>1228.7700834522527</v>
      </c>
    </row>
    <row r="153" spans="2:9" x14ac:dyDescent="0.25">
      <c r="B153" s="11">
        <v>14</v>
      </c>
      <c r="C153" s="11">
        <f t="shared" si="9"/>
        <v>323.20789538175381</v>
      </c>
      <c r="H153" s="11">
        <v>14</v>
      </c>
      <c r="I153" s="11">
        <f t="shared" si="10"/>
        <v>1249.9087323652218</v>
      </c>
    </row>
    <row r="154" spans="2:9" x14ac:dyDescent="0.25">
      <c r="B154" s="11">
        <v>15</v>
      </c>
      <c r="C154" s="11">
        <f t="shared" si="9"/>
        <v>323.91992921342694</v>
      </c>
      <c r="H154" s="11">
        <v>15</v>
      </c>
      <c r="I154" s="11">
        <f t="shared" si="10"/>
        <v>1266.0618813183844</v>
      </c>
    </row>
    <row r="155" spans="2:9" x14ac:dyDescent="0.25">
      <c r="B155" s="11">
        <v>16</v>
      </c>
      <c r="C155" s="11">
        <f t="shared" si="9"/>
        <v>324.41114488526313</v>
      </c>
      <c r="H155" s="11">
        <v>16</v>
      </c>
      <c r="I155" s="11">
        <f t="shared" si="10"/>
        <v>1278.544736357587</v>
      </c>
    </row>
    <row r="156" spans="2:9" x14ac:dyDescent="0.25">
      <c r="B156" s="11">
        <v>17</v>
      </c>
      <c r="C156" s="11">
        <f t="shared" si="9"/>
        <v>324.74982722474084</v>
      </c>
      <c r="H156" s="11">
        <v>17</v>
      </c>
      <c r="I156" s="11">
        <f t="shared" si="10"/>
        <v>1288.3005691845385</v>
      </c>
    </row>
    <row r="157" spans="2:9" x14ac:dyDescent="0.25">
      <c r="B157" s="11">
        <v>18</v>
      </c>
      <c r="C157" s="11">
        <f t="shared" si="9"/>
        <v>324.98324819729345</v>
      </c>
      <c r="H157" s="11">
        <v>18</v>
      </c>
      <c r="I157" s="11">
        <f t="shared" si="10"/>
        <v>1296.0090646032395</v>
      </c>
    </row>
    <row r="158" spans="2:9" x14ac:dyDescent="0.25">
      <c r="B158" s="11">
        <v>19</v>
      </c>
      <c r="C158" s="11">
        <f t="shared" si="9"/>
        <v>325.14407856628753</v>
      </c>
      <c r="H158" s="11">
        <v>19</v>
      </c>
      <c r="I158" s="11">
        <f t="shared" si="10"/>
        <v>1302.1638129795101</v>
      </c>
    </row>
    <row r="159" spans="2:9" x14ac:dyDescent="0.25">
      <c r="B159" s="11">
        <v>20</v>
      </c>
      <c r="C159" s="11">
        <f t="shared" si="9"/>
        <v>325.25487204600768</v>
      </c>
      <c r="H159" s="11">
        <v>20</v>
      </c>
      <c r="I159" s="11">
        <f t="shared" si="10"/>
        <v>1307.1266549866746</v>
      </c>
    </row>
    <row r="160" spans="2:9" x14ac:dyDescent="0.25">
      <c r="B160" s="11">
        <v>21</v>
      </c>
      <c r="C160" s="11">
        <f t="shared" si="9"/>
        <v>325.33118598207949</v>
      </c>
      <c r="H160" s="11">
        <v>21</v>
      </c>
      <c r="I160" s="11">
        <f t="shared" si="10"/>
        <v>1311.1655547603318</v>
      </c>
    </row>
    <row r="161" spans="2:9" x14ac:dyDescent="0.25">
      <c r="B161" s="11">
        <v>22</v>
      </c>
      <c r="C161" s="11">
        <f t="shared" si="9"/>
        <v>325.38374589101767</v>
      </c>
      <c r="H161" s="11">
        <v>22</v>
      </c>
      <c r="I161" s="11">
        <f t="shared" si="10"/>
        <v>1314.4810207290157</v>
      </c>
    </row>
    <row r="162" spans="2:9" x14ac:dyDescent="0.25">
      <c r="B162" s="11">
        <v>23</v>
      </c>
      <c r="C162" s="11">
        <f t="shared" si="9"/>
        <v>325.41994339020846</v>
      </c>
      <c r="H162" s="11">
        <v>23</v>
      </c>
      <c r="I162" s="11">
        <f t="shared" si="10"/>
        <v>1317.2246316170463</v>
      </c>
    </row>
    <row r="163" spans="2:9" x14ac:dyDescent="0.25">
      <c r="B163" s="11">
        <v>24</v>
      </c>
      <c r="C163" s="11">
        <f t="shared" si="9"/>
        <v>325.444871197829</v>
      </c>
      <c r="H163" s="11">
        <v>24</v>
      </c>
      <c r="I163" s="11">
        <f t="shared" si="10"/>
        <v>1319.5121233883924</v>
      </c>
    </row>
    <row r="164" spans="2:9" x14ac:dyDescent="0.25">
      <c r="B164" s="78">
        <v>25</v>
      </c>
      <c r="C164" s="11">
        <f t="shared" si="9"/>
        <v>325.46203750581134</v>
      </c>
      <c r="H164" s="78">
        <v>25</v>
      </c>
      <c r="I164" s="11">
        <f t="shared" si="10"/>
        <v>1321.4327144690637</v>
      </c>
    </row>
    <row r="165" spans="2:9" x14ac:dyDescent="0.25">
      <c r="B165" s="11">
        <v>26</v>
      </c>
      <c r="C165" s="11">
        <f t="shared" si="9"/>
        <v>325.47385868959287</v>
      </c>
      <c r="H165" s="11">
        <v>26</v>
      </c>
      <c r="I165" s="11">
        <f t="shared" si="10"/>
        <v>1323.0558124702529</v>
      </c>
    </row>
    <row r="166" spans="2:9" x14ac:dyDescent="0.25">
      <c r="B166" s="11">
        <v>27</v>
      </c>
      <c r="C166" s="11">
        <f t="shared" si="9"/>
        <v>325.48199896345182</v>
      </c>
      <c r="H166" s="11">
        <v>27</v>
      </c>
      <c r="I166" s="11">
        <f t="shared" si="10"/>
        <v>1324.4358837128179</v>
      </c>
    </row>
    <row r="167" spans="2:9" x14ac:dyDescent="0.25">
      <c r="B167" s="11">
        <v>28</v>
      </c>
      <c r="C167" s="11">
        <f t="shared" si="9"/>
        <v>325.48760444484446</v>
      </c>
      <c r="H167" s="11">
        <v>28</v>
      </c>
      <c r="I167" s="11">
        <f t="shared" si="10"/>
        <v>1325.6160224731634</v>
      </c>
    </row>
    <row r="168" spans="2:9" x14ac:dyDescent="0.25">
      <c r="B168" s="11">
        <v>29</v>
      </c>
      <c r="C168" s="11">
        <f t="shared" si="9"/>
        <v>325.49146441510749</v>
      </c>
      <c r="H168" s="11">
        <v>29</v>
      </c>
      <c r="I168" s="11">
        <f t="shared" si="10"/>
        <v>1326.6305915888261</v>
      </c>
    </row>
    <row r="169" spans="2:9" x14ac:dyDescent="0.25">
      <c r="B169" s="11">
        <v>30</v>
      </c>
      <c r="C169" s="11">
        <f t="shared" si="9"/>
        <v>325.49412240323102</v>
      </c>
      <c r="H169" s="11">
        <v>30</v>
      </c>
      <c r="I169" s="11">
        <f t="shared" si="10"/>
        <v>1327.5071937543914</v>
      </c>
    </row>
    <row r="170" spans="2:9" x14ac:dyDescent="0.25">
      <c r="B170" s="11">
        <v>31</v>
      </c>
      <c r="C170" s="11">
        <f t="shared" si="9"/>
        <v>325.49595269682277</v>
      </c>
      <c r="H170" s="11">
        <v>31</v>
      </c>
      <c r="I170" s="11">
        <f t="shared" si="10"/>
        <v>1328.2681560303843</v>
      </c>
    </row>
    <row r="171" spans="2:9" x14ac:dyDescent="0.25">
      <c r="B171" s="11">
        <v>32</v>
      </c>
      <c r="C171" s="11">
        <f t="shared" si="9"/>
        <v>325.49721303632924</v>
      </c>
      <c r="H171" s="11">
        <v>32</v>
      </c>
      <c r="I171" s="11">
        <f t="shared" si="10"/>
        <v>1328.9316571608792</v>
      </c>
    </row>
    <row r="172" spans="2:9" x14ac:dyDescent="0.25">
      <c r="B172" s="11">
        <v>33</v>
      </c>
      <c r="C172" s="11">
        <f t="shared" si="9"/>
        <v>325.49808090437523</v>
      </c>
      <c r="H172" s="11">
        <v>33</v>
      </c>
      <c r="I172" s="11">
        <f t="shared" si="10"/>
        <v>1329.5125905273242</v>
      </c>
    </row>
    <row r="173" spans="2:9" x14ac:dyDescent="0.25">
      <c r="B173" s="11">
        <v>34</v>
      </c>
      <c r="C173" s="11">
        <f t="shared" si="9"/>
        <v>325.49867851650646</v>
      </c>
      <c r="H173" s="11">
        <v>34</v>
      </c>
      <c r="I173" s="11">
        <f t="shared" si="10"/>
        <v>1330.0232298077281</v>
      </c>
    </row>
    <row r="174" spans="2:9" x14ac:dyDescent="0.25">
      <c r="B174" s="11">
        <v>35</v>
      </c>
      <c r="C174" s="11">
        <f t="shared" si="9"/>
        <v>325.49909003068842</v>
      </c>
      <c r="H174" s="11">
        <v>35</v>
      </c>
      <c r="I174" s="11">
        <f t="shared" si="10"/>
        <v>1330.4737462114961</v>
      </c>
    </row>
    <row r="175" spans="2:9" x14ac:dyDescent="0.25">
      <c r="B175" s="11">
        <v>36</v>
      </c>
      <c r="C175" s="11">
        <f t="shared" si="9"/>
        <v>325.49937339816273</v>
      </c>
      <c r="H175" s="11">
        <v>36</v>
      </c>
      <c r="I175" s="11">
        <f t="shared" si="10"/>
        <v>1330.8726131934443</v>
      </c>
    </row>
    <row r="176" spans="2:9" x14ac:dyDescent="0.25">
      <c r="B176" s="11">
        <v>37</v>
      </c>
      <c r="C176" s="11">
        <f t="shared" si="9"/>
        <v>325.49956852412021</v>
      </c>
      <c r="H176" s="11">
        <v>37</v>
      </c>
      <c r="I176" s="11">
        <f t="shared" si="10"/>
        <v>1331.226925234866</v>
      </c>
    </row>
    <row r="177" spans="2:9" x14ac:dyDescent="0.25">
      <c r="B177" s="11">
        <v>38</v>
      </c>
      <c r="C177" s="11">
        <f t="shared" si="9"/>
        <v>325.4997028872142</v>
      </c>
      <c r="H177" s="11">
        <v>38</v>
      </c>
      <c r="I177" s="11">
        <f t="shared" si="10"/>
        <v>1331.5426505324569</v>
      </c>
    </row>
    <row r="178" spans="2:9" x14ac:dyDescent="0.25">
      <c r="B178" s="11">
        <v>39</v>
      </c>
      <c r="C178" s="11">
        <f t="shared" si="9"/>
        <v>325.4997954091852</v>
      </c>
      <c r="H178" s="11">
        <v>39</v>
      </c>
      <c r="I178" s="11">
        <f t="shared" si="10"/>
        <v>1331.8248325107081</v>
      </c>
    </row>
    <row r="179" spans="2:9" x14ac:dyDescent="0.25">
      <c r="B179" s="11">
        <v>40</v>
      </c>
      <c r="C179" s="11">
        <f t="shared" si="9"/>
        <v>325.49985911949386</v>
      </c>
      <c r="H179" s="11">
        <v>40</v>
      </c>
      <c r="I179" s="11">
        <f t="shared" si="10"/>
        <v>1332.0777514505453</v>
      </c>
    </row>
    <row r="180" spans="2:9" x14ac:dyDescent="0.25">
      <c r="B180" s="11">
        <v>41</v>
      </c>
      <c r="C180" s="11">
        <f t="shared" si="9"/>
        <v>325.49990299018839</v>
      </c>
      <c r="H180" s="11">
        <v>41</v>
      </c>
      <c r="I180" s="11">
        <f t="shared" si="10"/>
        <v>1332.3050548425551</v>
      </c>
    </row>
    <row r="181" spans="2:9" x14ac:dyDescent="0.25">
      <c r="B181" s="11">
        <v>42</v>
      </c>
      <c r="C181" s="11">
        <f t="shared" si="9"/>
        <v>325.49993319939279</v>
      </c>
      <c r="H181" s="11">
        <v>42</v>
      </c>
      <c r="I181" s="11">
        <f t="shared" si="10"/>
        <v>1332.509863069801</v>
      </c>
    </row>
    <row r="182" spans="2:9" x14ac:dyDescent="0.25">
      <c r="B182" s="11">
        <v>43</v>
      </c>
      <c r="C182" s="11">
        <f t="shared" si="9"/>
        <v>325.49995400134293</v>
      </c>
      <c r="H182" s="11">
        <v>43</v>
      </c>
      <c r="I182" s="11">
        <f t="shared" si="10"/>
        <v>1332.6948555199949</v>
      </c>
    </row>
    <row r="183" spans="2:9" x14ac:dyDescent="0.25">
      <c r="B183" s="11">
        <v>44</v>
      </c>
      <c r="C183" s="11">
        <f t="shared" si="9"/>
        <v>325.49996832549107</v>
      </c>
      <c r="H183" s="11">
        <v>44</v>
      </c>
      <c r="I183" s="11">
        <f t="shared" si="10"/>
        <v>1332.862341088339</v>
      </c>
    </row>
    <row r="184" spans="2:9" x14ac:dyDescent="0.25">
      <c r="B184" s="11">
        <v>45</v>
      </c>
      <c r="C184" s="11">
        <f t="shared" si="9"/>
        <v>325.49997818904779</v>
      </c>
      <c r="H184" s="11">
        <v>45</v>
      </c>
      <c r="I184" s="11">
        <f t="shared" si="10"/>
        <v>1333.0143161658184</v>
      </c>
    </row>
    <row r="185" spans="2:9" x14ac:dyDescent="0.25">
      <c r="B185" s="11">
        <v>46</v>
      </c>
      <c r="C185" s="11">
        <f t="shared" si="9"/>
        <v>325.49998498105731</v>
      </c>
      <c r="H185" s="11">
        <v>46</v>
      </c>
      <c r="I185" s="11">
        <f t="shared" si="10"/>
        <v>1333.1525125441854</v>
      </c>
    </row>
    <row r="186" spans="2:9" x14ac:dyDescent="0.25">
      <c r="B186" s="11">
        <v>47</v>
      </c>
      <c r="C186" s="11">
        <f t="shared" si="9"/>
        <v>325.49998965801052</v>
      </c>
      <c r="H186" s="11">
        <v>47</v>
      </c>
      <c r="I186" s="11">
        <f t="shared" si="10"/>
        <v>1333.2784371577743</v>
      </c>
    </row>
    <row r="187" spans="2:9" x14ac:dyDescent="0.25">
      <c r="B187" s="11">
        <v>48</v>
      </c>
      <c r="C187" s="11">
        <f t="shared" si="9"/>
        <v>325.49999287854359</v>
      </c>
      <c r="H187" s="11">
        <v>48</v>
      </c>
      <c r="I187" s="11">
        <f t="shared" si="10"/>
        <v>1333.393405186373</v>
      </c>
    </row>
    <row r="188" spans="2:9" x14ac:dyDescent="0.25">
      <c r="B188" s="11">
        <v>49</v>
      </c>
      <c r="C188" s="11">
        <f t="shared" si="9"/>
        <v>325.49999509619096</v>
      </c>
      <c r="H188" s="11">
        <v>49</v>
      </c>
      <c r="I188" s="11">
        <f t="shared" si="10"/>
        <v>1333.4985677350523</v>
      </c>
    </row>
    <row r="189" spans="2:9" x14ac:dyDescent="0.25">
      <c r="B189" s="11">
        <v>50</v>
      </c>
      <c r="C189" s="11">
        <f t="shared" si="9"/>
        <v>325.4999966232549</v>
      </c>
      <c r="H189" s="11">
        <v>50</v>
      </c>
      <c r="I189" s="11">
        <f t="shared" si="10"/>
        <v>1333.594935065483</v>
      </c>
    </row>
    <row r="190" spans="2:9" x14ac:dyDescent="0.25">
      <c r="B190" s="11">
        <v>51</v>
      </c>
      <c r="C190" s="11">
        <f t="shared" si="9"/>
        <v>325.49999767478556</v>
      </c>
      <c r="H190" s="11">
        <v>51</v>
      </c>
      <c r="I190" s="11">
        <f t="shared" si="10"/>
        <v>1333.6833961633295</v>
      </c>
    </row>
    <row r="191" spans="2:9" x14ac:dyDescent="0.25">
      <c r="B191" s="11">
        <v>52</v>
      </c>
      <c r="C191" s="11">
        <f t="shared" si="9"/>
        <v>325.49999839886578</v>
      </c>
      <c r="H191" s="11">
        <v>52</v>
      </c>
      <c r="I191" s="11">
        <f t="shared" si="10"/>
        <v>1333.7647352761928</v>
      </c>
    </row>
    <row r="192" spans="2:9" x14ac:dyDescent="0.25">
      <c r="B192" s="11">
        <v>53</v>
      </c>
      <c r="C192" s="11">
        <f t="shared" si="9"/>
        <v>325.49999889746476</v>
      </c>
      <c r="H192" s="11">
        <v>53</v>
      </c>
      <c r="I192" s="11">
        <f t="shared" si="10"/>
        <v>1333.8396459372871</v>
      </c>
    </row>
    <row r="193" spans="2:9" x14ac:dyDescent="0.25">
      <c r="B193" s="11">
        <v>54</v>
      </c>
      <c r="C193" s="11">
        <f t="shared" si="9"/>
        <v>325.49999924079827</v>
      </c>
      <c r="H193" s="11">
        <v>54</v>
      </c>
      <c r="I193" s="11">
        <f t="shared" si="10"/>
        <v>1333.9087428949083</v>
      </c>
    </row>
    <row r="194" spans="2:9" x14ac:dyDescent="0.25">
      <c r="B194" s="11">
        <v>55</v>
      </c>
      <c r="C194" s="11">
        <f t="shared" si="9"/>
        <v>325.49999947721642</v>
      </c>
      <c r="H194" s="11">
        <v>55</v>
      </c>
      <c r="I194" s="11">
        <f t="shared" si="10"/>
        <v>1333.9725722915014</v>
      </c>
    </row>
    <row r="195" spans="2:9" x14ac:dyDescent="0.25">
      <c r="B195" s="11">
        <v>56</v>
      </c>
      <c r="C195" s="11">
        <f t="shared" si="9"/>
        <v>325.49999964001313</v>
      </c>
      <c r="H195" s="11">
        <v>56</v>
      </c>
      <c r="I195" s="11">
        <f t="shared" si="10"/>
        <v>1334.0316203747795</v>
      </c>
    </row>
    <row r="196" spans="2:9" x14ac:dyDescent="0.25">
      <c r="B196" s="11">
        <v>57</v>
      </c>
      <c r="C196" s="11">
        <f t="shared" si="9"/>
        <v>325.49999975211438</v>
      </c>
      <c r="H196" s="11">
        <v>57</v>
      </c>
      <c r="I196" s="11">
        <f t="shared" si="10"/>
        <v>1334.0863209738116</v>
      </c>
    </row>
    <row r="197" spans="2:9" x14ac:dyDescent="0.25">
      <c r="B197" s="11">
        <v>58</v>
      </c>
      <c r="C197" s="11">
        <f t="shared" si="9"/>
        <v>325.49999982930683</v>
      </c>
      <c r="H197" s="11">
        <v>58</v>
      </c>
      <c r="I197" s="11">
        <f t="shared" si="10"/>
        <v>1334.1370619327799</v>
      </c>
    </row>
    <row r="198" spans="2:9" x14ac:dyDescent="0.25">
      <c r="B198" s="11">
        <v>59</v>
      </c>
      <c r="C198" s="11">
        <f t="shared" si="9"/>
        <v>325.49999988246134</v>
      </c>
      <c r="H198" s="11">
        <v>59</v>
      </c>
      <c r="I198" s="11">
        <f t="shared" si="10"/>
        <v>1334.1841906624015</v>
      </c>
    </row>
    <row r="199" spans="2:9" x14ac:dyDescent="0.25">
      <c r="B199" s="11">
        <v>60</v>
      </c>
      <c r="C199" s="11">
        <f t="shared" si="9"/>
        <v>325.49999991906333</v>
      </c>
      <c r="H199" s="11">
        <v>60</v>
      </c>
      <c r="I199" s="11">
        <f t="shared" si="10"/>
        <v>1334.2280189422841</v>
      </c>
    </row>
  </sheetData>
  <mergeCells count="4">
    <mergeCell ref="C2:F2"/>
    <mergeCell ref="C12:F12"/>
    <mergeCell ref="C23:F23"/>
    <mergeCell ref="C33:F33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rism7.Document" shapeId="58374" r:id="rId4">
          <objectPr defaultSize="0" r:id="rId5">
            <anchor moveWithCells="1">
              <from>
                <xdr:col>9</xdr:col>
                <xdr:colOff>238125</xdr:colOff>
                <xdr:row>1</xdr:row>
                <xdr:rowOff>0</xdr:rowOff>
              </from>
              <to>
                <xdr:col>12</xdr:col>
                <xdr:colOff>638175</xdr:colOff>
                <xdr:row>12</xdr:row>
                <xdr:rowOff>57150</xdr:rowOff>
              </to>
            </anchor>
          </objectPr>
        </oleObject>
      </mc:Choice>
      <mc:Fallback>
        <oleObject progId="Prism7.Document" shapeId="58374" r:id="rId4"/>
      </mc:Fallback>
    </mc:AlternateContent>
    <mc:AlternateContent xmlns:mc="http://schemas.openxmlformats.org/markup-compatibility/2006">
      <mc:Choice Requires="x14">
        <oleObject progId="Prism7.Document" shapeId="58376" r:id="rId6">
          <objectPr defaultSize="0" r:id="rId7">
            <anchor moveWithCells="1">
              <from>
                <xdr:col>3</xdr:col>
                <xdr:colOff>238125</xdr:colOff>
                <xdr:row>69</xdr:row>
                <xdr:rowOff>95250</xdr:rowOff>
              </from>
              <to>
                <xdr:col>5</xdr:col>
                <xdr:colOff>914400</xdr:colOff>
                <xdr:row>83</xdr:row>
                <xdr:rowOff>180975</xdr:rowOff>
              </to>
            </anchor>
          </objectPr>
        </oleObject>
      </mc:Choice>
      <mc:Fallback>
        <oleObject progId="Prism7.Document" shapeId="58376" r:id="rId6"/>
      </mc:Fallback>
    </mc:AlternateContent>
    <mc:AlternateContent xmlns:mc="http://schemas.openxmlformats.org/markup-compatibility/2006">
      <mc:Choice Requires="x14">
        <oleObject progId="Prism7.Document" shapeId="58377" r:id="rId8">
          <objectPr defaultSize="0" r:id="rId9">
            <anchor moveWithCells="1">
              <from>
                <xdr:col>9</xdr:col>
                <xdr:colOff>352425</xdr:colOff>
                <xdr:row>69</xdr:row>
                <xdr:rowOff>38100</xdr:rowOff>
              </from>
              <to>
                <xdr:col>12</xdr:col>
                <xdr:colOff>685800</xdr:colOff>
                <xdr:row>83</xdr:row>
                <xdr:rowOff>123825</xdr:rowOff>
              </to>
            </anchor>
          </objectPr>
        </oleObject>
      </mc:Choice>
      <mc:Fallback>
        <oleObject progId="Prism7.Document" shapeId="58377" r:id="rId8"/>
      </mc:Fallback>
    </mc:AlternateContent>
    <mc:AlternateContent xmlns:mc="http://schemas.openxmlformats.org/markup-compatibility/2006">
      <mc:Choice Requires="x14">
        <oleObject progId="Prism7.Document" shapeId="58378" r:id="rId10">
          <objectPr defaultSize="0" r:id="rId11">
            <anchor moveWithCells="1">
              <from>
                <xdr:col>3</xdr:col>
                <xdr:colOff>381000</xdr:colOff>
                <xdr:row>136</xdr:row>
                <xdr:rowOff>104775</xdr:rowOff>
              </from>
              <to>
                <xdr:col>5</xdr:col>
                <xdr:colOff>1057275</xdr:colOff>
                <xdr:row>151</xdr:row>
                <xdr:rowOff>0</xdr:rowOff>
              </to>
            </anchor>
          </objectPr>
        </oleObject>
      </mc:Choice>
      <mc:Fallback>
        <oleObject progId="Prism7.Document" shapeId="58378" r:id="rId10"/>
      </mc:Fallback>
    </mc:AlternateContent>
    <mc:AlternateContent xmlns:mc="http://schemas.openxmlformats.org/markup-compatibility/2006">
      <mc:Choice Requires="x14">
        <oleObject progId="Prism7.Document" shapeId="58379" r:id="rId12">
          <objectPr defaultSize="0" r:id="rId13">
            <anchor moveWithCells="1">
              <from>
                <xdr:col>10</xdr:col>
                <xdr:colOff>0</xdr:colOff>
                <xdr:row>136</xdr:row>
                <xdr:rowOff>0</xdr:rowOff>
              </from>
              <to>
                <xdr:col>13</xdr:col>
                <xdr:colOff>66675</xdr:colOff>
                <xdr:row>150</xdr:row>
                <xdr:rowOff>85725</xdr:rowOff>
              </to>
            </anchor>
          </objectPr>
        </oleObject>
      </mc:Choice>
      <mc:Fallback>
        <oleObject progId="Prism7.Document" shapeId="58379" r:id="rId12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C18"/>
  <sheetViews>
    <sheetView workbookViewId="0">
      <selection activeCell="L15" sqref="L15"/>
    </sheetView>
  </sheetViews>
  <sheetFormatPr defaultRowHeight="15" x14ac:dyDescent="0.25"/>
  <cols>
    <col min="2" max="2" width="32.42578125" customWidth="1"/>
    <col min="3" max="3" width="20.5703125" customWidth="1"/>
    <col min="5" max="5" width="15.42578125" customWidth="1"/>
    <col min="6" max="6" width="18" customWidth="1"/>
  </cols>
  <sheetData>
    <row r="2" spans="2:3" x14ac:dyDescent="0.25">
      <c r="B2" s="21"/>
      <c r="C2" s="21"/>
    </row>
    <row r="3" spans="2:3" x14ac:dyDescent="0.25">
      <c r="B3" s="21"/>
      <c r="C3" s="21"/>
    </row>
    <row r="4" spans="2:3" x14ac:dyDescent="0.25">
      <c r="B4" s="241" t="s">
        <v>174</v>
      </c>
      <c r="C4" s="241"/>
    </row>
    <row r="5" spans="2:3" x14ac:dyDescent="0.25">
      <c r="B5" s="54" t="s">
        <v>15</v>
      </c>
      <c r="C5" s="53" t="s">
        <v>175</v>
      </c>
    </row>
    <row r="6" spans="2:3" x14ac:dyDescent="0.25">
      <c r="B6" s="11" t="s">
        <v>176</v>
      </c>
      <c r="C6" s="83">
        <v>0.48099999999999998</v>
      </c>
    </row>
    <row r="7" spans="2:3" x14ac:dyDescent="0.25">
      <c r="B7" s="11" t="s">
        <v>177</v>
      </c>
      <c r="C7" s="83">
        <v>0.66500000000000004</v>
      </c>
    </row>
    <row r="8" spans="2:3" x14ac:dyDescent="0.25">
      <c r="B8" s="11" t="s">
        <v>178</v>
      </c>
      <c r="C8" s="83">
        <v>0.66</v>
      </c>
    </row>
    <row r="9" spans="2:3" x14ac:dyDescent="0.25">
      <c r="B9" s="11" t="s">
        <v>179</v>
      </c>
      <c r="C9" s="83">
        <v>0.47699999999999998</v>
      </c>
    </row>
    <row r="10" spans="2:3" x14ac:dyDescent="0.25">
      <c r="B10" s="11" t="s">
        <v>180</v>
      </c>
      <c r="C10" s="83">
        <v>0.378</v>
      </c>
    </row>
    <row r="11" spans="2:3" x14ac:dyDescent="0.25">
      <c r="B11" s="11" t="s">
        <v>181</v>
      </c>
      <c r="C11" s="83">
        <v>0.441</v>
      </c>
    </row>
    <row r="12" spans="2:3" x14ac:dyDescent="0.25">
      <c r="B12" s="11" t="s">
        <v>182</v>
      </c>
      <c r="C12" s="83">
        <v>0.50600000000000001</v>
      </c>
    </row>
    <row r="13" spans="2:3" x14ac:dyDescent="0.25">
      <c r="B13" s="11" t="s">
        <v>183</v>
      </c>
      <c r="C13" s="83">
        <v>0.66600000000000004</v>
      </c>
    </row>
    <row r="14" spans="2:3" x14ac:dyDescent="0.25">
      <c r="B14" s="11" t="s">
        <v>184</v>
      </c>
      <c r="C14" s="83">
        <v>0.89800000000000002</v>
      </c>
    </row>
    <row r="15" spans="2:3" x14ac:dyDescent="0.25">
      <c r="B15" s="11" t="s">
        <v>185</v>
      </c>
      <c r="C15" s="83">
        <v>1.1379999999999999</v>
      </c>
    </row>
    <row r="16" spans="2:3" x14ac:dyDescent="0.25">
      <c r="B16" s="11" t="s">
        <v>186</v>
      </c>
      <c r="C16" s="83">
        <v>1.2769999999999999</v>
      </c>
    </row>
    <row r="17" spans="2:3" x14ac:dyDescent="0.25">
      <c r="B17" s="11" t="s">
        <v>187</v>
      </c>
      <c r="C17" s="83">
        <v>1.712</v>
      </c>
    </row>
    <row r="18" spans="2:3" x14ac:dyDescent="0.25">
      <c r="B18" s="11" t="s">
        <v>188</v>
      </c>
      <c r="C18" s="83">
        <v>1.5029999999999999</v>
      </c>
    </row>
  </sheetData>
  <mergeCells count="1">
    <mergeCell ref="B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2:J328"/>
  <sheetViews>
    <sheetView zoomScale="70" zoomScaleNormal="70" workbookViewId="0">
      <selection activeCell="D8" sqref="D8:D68"/>
    </sheetView>
  </sheetViews>
  <sheetFormatPr defaultColWidth="9.140625" defaultRowHeight="15.75" x14ac:dyDescent="0.25"/>
  <cols>
    <col min="1" max="1" width="9.140625" style="25"/>
    <col min="2" max="2" width="16.140625" style="25" bestFit="1" customWidth="1"/>
    <col min="3" max="3" width="13.140625" style="25" bestFit="1" customWidth="1"/>
    <col min="4" max="4" width="15" style="25" customWidth="1"/>
    <col min="5" max="5" width="19.42578125" style="25" customWidth="1"/>
    <col min="6" max="16384" width="9.140625" style="25"/>
  </cols>
  <sheetData>
    <row r="2" spans="2:5" ht="31.5" customHeight="1" x14ac:dyDescent="0.25">
      <c r="B2" s="243" t="s">
        <v>34</v>
      </c>
      <c r="C2" s="243"/>
      <c r="D2" s="243"/>
      <c r="E2" s="243"/>
    </row>
    <row r="3" spans="2:5" ht="63" customHeight="1" x14ac:dyDescent="0.25">
      <c r="B3" s="157" t="s">
        <v>37</v>
      </c>
      <c r="C3" s="158" t="s">
        <v>38</v>
      </c>
      <c r="D3" s="242" t="s">
        <v>262</v>
      </c>
      <c r="E3" s="242"/>
    </row>
    <row r="6" spans="2:5" ht="31.5" x14ac:dyDescent="0.25">
      <c r="B6" s="216" t="s">
        <v>336</v>
      </c>
      <c r="C6" s="208" t="s">
        <v>98</v>
      </c>
      <c r="D6" s="213" t="s">
        <v>99</v>
      </c>
      <c r="E6" s="214" t="s">
        <v>68</v>
      </c>
    </row>
    <row r="7" spans="2:5" x14ac:dyDescent="0.25">
      <c r="B7" s="29"/>
      <c r="C7" s="30"/>
      <c r="D7" s="27"/>
      <c r="E7" s="37"/>
    </row>
    <row r="8" spans="2:5" x14ac:dyDescent="0.25">
      <c r="B8" s="156">
        <v>0.5</v>
      </c>
      <c r="C8" s="88">
        <f t="shared" ref="C8:C39" si="0">10*(B8+0.315)/(9+6.92*B8)</f>
        <v>0.65409309791332249</v>
      </c>
      <c r="D8" s="90">
        <v>6.9154266062882783</v>
      </c>
      <c r="E8" s="103">
        <f t="shared" ref="E8:E39" si="1">C8/D8</f>
        <v>9.458463449218707E-2</v>
      </c>
    </row>
    <row r="9" spans="2:5" x14ac:dyDescent="0.25">
      <c r="B9" s="156">
        <v>1</v>
      </c>
      <c r="C9" s="88">
        <f t="shared" si="0"/>
        <v>0.82600502512562801</v>
      </c>
      <c r="D9" s="90">
        <v>9.363369181598614</v>
      </c>
      <c r="E9" s="103">
        <f t="shared" si="1"/>
        <v>8.8216646071046373E-2</v>
      </c>
    </row>
    <row r="10" spans="2:5" x14ac:dyDescent="0.25">
      <c r="B10" s="84">
        <v>2</v>
      </c>
      <c r="C10" s="61">
        <f t="shared" si="0"/>
        <v>1.0135726795096323</v>
      </c>
      <c r="D10" s="45">
        <v>12.915540478557535</v>
      </c>
      <c r="E10" s="38">
        <f t="shared" si="1"/>
        <v>7.8476985240561348E-2</v>
      </c>
    </row>
    <row r="11" spans="2:5" x14ac:dyDescent="0.25">
      <c r="B11" s="84">
        <v>3</v>
      </c>
      <c r="C11" s="61">
        <f t="shared" si="0"/>
        <v>1.1139112903225807</v>
      </c>
      <c r="D11" s="45">
        <v>15.501380951815555</v>
      </c>
      <c r="E11" s="38">
        <f t="shared" si="1"/>
        <v>7.1858842369274006E-2</v>
      </c>
    </row>
    <row r="12" spans="2:5" x14ac:dyDescent="0.25">
      <c r="B12" s="84">
        <v>4</v>
      </c>
      <c r="C12" s="61">
        <f t="shared" si="0"/>
        <v>1.1763904034896402</v>
      </c>
      <c r="D12" s="45">
        <v>17.658377304122929</v>
      </c>
      <c r="E12" s="38">
        <f t="shared" si="1"/>
        <v>6.6619394479410815E-2</v>
      </c>
    </row>
    <row r="13" spans="2:5" x14ac:dyDescent="0.25">
      <c r="B13" s="156">
        <v>5</v>
      </c>
      <c r="C13" s="88">
        <f t="shared" si="0"/>
        <v>1.2190366972477065</v>
      </c>
      <c r="D13" s="90">
        <v>19.714719765531608</v>
      </c>
      <c r="E13" s="103">
        <f t="shared" si="1"/>
        <v>6.1833833386717434E-2</v>
      </c>
    </row>
    <row r="14" spans="2:5" s="26" customFormat="1" x14ac:dyDescent="0.25">
      <c r="B14" s="84">
        <v>6</v>
      </c>
      <c r="C14" s="61">
        <f t="shared" si="0"/>
        <v>1.2500000000000002</v>
      </c>
      <c r="D14" s="61">
        <v>21.92310304640738</v>
      </c>
      <c r="E14" s="38">
        <f t="shared" si="1"/>
        <v>5.7017475918165805E-2</v>
      </c>
    </row>
    <row r="15" spans="2:5" x14ac:dyDescent="0.25">
      <c r="B15" s="84">
        <v>7</v>
      </c>
      <c r="C15" s="61">
        <f t="shared" si="0"/>
        <v>1.2735027855153205</v>
      </c>
      <c r="D15" s="45">
        <v>24.506576900677818</v>
      </c>
      <c r="E15" s="38">
        <f t="shared" si="1"/>
        <v>5.1965755587843734E-2</v>
      </c>
    </row>
    <row r="16" spans="2:5" s="35" customFormat="1" x14ac:dyDescent="0.25">
      <c r="B16" s="84">
        <v>8</v>
      </c>
      <c r="C16" s="61">
        <f t="shared" si="0"/>
        <v>1.2919515226848974</v>
      </c>
      <c r="D16" s="45">
        <v>27.656407916528913</v>
      </c>
      <c r="E16" s="38">
        <f t="shared" si="1"/>
        <v>4.6714364590810069E-2</v>
      </c>
    </row>
    <row r="17" spans="2:10" x14ac:dyDescent="0.25">
      <c r="B17" s="84">
        <v>9</v>
      </c>
      <c r="C17" s="61">
        <f t="shared" si="0"/>
        <v>1.3068181818181817</v>
      </c>
      <c r="D17" s="45">
        <v>31.490090721081462</v>
      </c>
      <c r="E17" s="38">
        <f t="shared" si="1"/>
        <v>4.1499346362419809E-2</v>
      </c>
    </row>
    <row r="18" spans="2:10" x14ac:dyDescent="0.25">
      <c r="B18" s="156">
        <v>10</v>
      </c>
      <c r="C18" s="88">
        <f t="shared" si="0"/>
        <v>1.3190537084398974</v>
      </c>
      <c r="D18" s="90">
        <v>35.983607211042894</v>
      </c>
      <c r="E18" s="103">
        <f t="shared" si="1"/>
        <v>3.6657072780493703E-2</v>
      </c>
    </row>
    <row r="19" spans="2:10" x14ac:dyDescent="0.25">
      <c r="B19" s="84">
        <v>11</v>
      </c>
      <c r="C19" s="61">
        <f t="shared" si="0"/>
        <v>1.329299812030075</v>
      </c>
      <c r="D19" s="45">
        <v>40.920968011983341</v>
      </c>
      <c r="E19" s="38">
        <f t="shared" si="1"/>
        <v>3.2484564188237225E-2</v>
      </c>
    </row>
    <row r="20" spans="2:10" x14ac:dyDescent="0.25">
      <c r="B20" s="84">
        <v>12</v>
      </c>
      <c r="C20" s="61">
        <f t="shared" si="0"/>
        <v>1.3380052151238593</v>
      </c>
      <c r="D20" s="45">
        <v>45.921621798727614</v>
      </c>
      <c r="E20" s="38">
        <f t="shared" si="1"/>
        <v>2.9136715183716192E-2</v>
      </c>
    </row>
    <row r="21" spans="2:10" x14ac:dyDescent="0.25">
      <c r="B21" s="84">
        <v>13</v>
      </c>
      <c r="C21" s="61">
        <f t="shared" si="0"/>
        <v>1.3454931285367826</v>
      </c>
      <c r="D21" s="45">
        <v>50.562974255063295</v>
      </c>
      <c r="E21" s="38">
        <f t="shared" si="1"/>
        <v>2.6610244914578914E-2</v>
      </c>
    </row>
    <row r="22" spans="2:10" x14ac:dyDescent="0.25">
      <c r="B22" s="84">
        <v>14</v>
      </c>
      <c r="C22" s="61">
        <f t="shared" si="0"/>
        <v>1.3520022667170382</v>
      </c>
      <c r="D22" s="45">
        <v>54.528713185550821</v>
      </c>
      <c r="E22" s="38">
        <f t="shared" si="1"/>
        <v>2.4794318217567907E-2</v>
      </c>
    </row>
    <row r="23" spans="2:10" x14ac:dyDescent="0.25">
      <c r="B23" s="84">
        <v>15</v>
      </c>
      <c r="C23" s="61">
        <f t="shared" si="0"/>
        <v>1.3577127659574468</v>
      </c>
      <c r="D23" s="45">
        <v>57.686468800180961</v>
      </c>
      <c r="E23" s="38">
        <f t="shared" si="1"/>
        <v>2.3536069969205459E-2</v>
      </c>
    </row>
    <row r="24" spans="2:10" s="26" customFormat="1" x14ac:dyDescent="0.25">
      <c r="B24" s="84">
        <v>16</v>
      </c>
      <c r="C24" s="61">
        <f t="shared" si="0"/>
        <v>1.3627631139325092</v>
      </c>
      <c r="D24" s="61">
        <v>60.067672365756145</v>
      </c>
      <c r="E24" s="38">
        <f t="shared" si="1"/>
        <v>2.268713036913686E-2</v>
      </c>
    </row>
    <row r="25" spans="2:10" s="26" customFormat="1" x14ac:dyDescent="0.25">
      <c r="B25" s="84">
        <v>17</v>
      </c>
      <c r="C25" s="61">
        <f t="shared" si="0"/>
        <v>1.3672615287428933</v>
      </c>
      <c r="D25" s="61">
        <v>61.796641311133001</v>
      </c>
      <c r="E25" s="38">
        <f t="shared" si="1"/>
        <v>2.2125175409760882E-2</v>
      </c>
    </row>
    <row r="26" spans="2:10" s="26" customFormat="1" x14ac:dyDescent="0.25">
      <c r="B26" s="84">
        <v>18</v>
      </c>
      <c r="C26" s="61">
        <f t="shared" si="0"/>
        <v>1.3712938005390836</v>
      </c>
      <c r="D26" s="61">
        <v>63.023876884237708</v>
      </c>
      <c r="E26" s="38">
        <f t="shared" si="1"/>
        <v>2.1758321898506447E-2</v>
      </c>
    </row>
    <row r="27" spans="2:10" s="26" customFormat="1" x14ac:dyDescent="0.25">
      <c r="B27" s="84">
        <v>19</v>
      </c>
      <c r="C27" s="61">
        <f t="shared" si="0"/>
        <v>1.3749288154897497</v>
      </c>
      <c r="D27" s="61">
        <v>63.886643111966308</v>
      </c>
      <c r="E27" s="38">
        <f t="shared" si="1"/>
        <v>2.1521381442441419E-2</v>
      </c>
      <c r="H27" s="244" t="s">
        <v>236</v>
      </c>
      <c r="I27" s="245"/>
      <c r="J27" s="246"/>
    </row>
    <row r="28" spans="2:10" s="26" customFormat="1" ht="30" x14ac:dyDescent="0.25">
      <c r="B28" s="84">
        <v>20</v>
      </c>
      <c r="C28" s="61">
        <f t="shared" si="0"/>
        <v>1.3782225237449117</v>
      </c>
      <c r="D28" s="61">
        <v>64.494109284869964</v>
      </c>
      <c r="E28" s="38">
        <f t="shared" si="1"/>
        <v>2.1369742741268259E-2</v>
      </c>
      <c r="H28" s="127" t="s">
        <v>15</v>
      </c>
      <c r="I28" s="128" t="s">
        <v>237</v>
      </c>
      <c r="J28" s="127" t="s">
        <v>238</v>
      </c>
    </row>
    <row r="29" spans="2:10" s="26" customFormat="1" x14ac:dyDescent="0.25">
      <c r="B29" s="84">
        <v>21</v>
      </c>
      <c r="C29" s="61">
        <f t="shared" si="0"/>
        <v>1.381220839813375</v>
      </c>
      <c r="D29" s="61">
        <v>64.926599621061627</v>
      </c>
      <c r="E29" s="38">
        <f t="shared" si="1"/>
        <v>2.1273574280414324E-2</v>
      </c>
      <c r="H29" s="127" t="s">
        <v>239</v>
      </c>
      <c r="I29" s="127">
        <f>380/1000</f>
        <v>0.38</v>
      </c>
      <c r="J29" s="127"/>
    </row>
    <row r="30" spans="2:10" s="26" customFormat="1" x14ac:dyDescent="0.25">
      <c r="B30" s="84">
        <v>22</v>
      </c>
      <c r="C30" s="61">
        <f t="shared" si="0"/>
        <v>1.3839617960803769</v>
      </c>
      <c r="D30" s="61">
        <v>65.325791514810419</v>
      </c>
      <c r="E30" s="38">
        <f t="shared" si="1"/>
        <v>2.1185534288805524E-2</v>
      </c>
      <c r="H30" s="127">
        <v>1</v>
      </c>
      <c r="I30" s="127">
        <f>950/1000</f>
        <v>0.95</v>
      </c>
      <c r="J30" s="127">
        <v>0.83</v>
      </c>
    </row>
    <row r="31" spans="2:10" s="26" customFormat="1" x14ac:dyDescent="0.25">
      <c r="B31" s="84">
        <v>23</v>
      </c>
      <c r="C31" s="61">
        <f t="shared" si="0"/>
        <v>1.3864771646051379</v>
      </c>
      <c r="D31" s="61">
        <v>65.780304330831555</v>
      </c>
      <c r="E31" s="38">
        <f t="shared" si="1"/>
        <v>2.1077390545839861E-2</v>
      </c>
      <c r="H31" s="127">
        <v>5</v>
      </c>
      <c r="I31" s="127">
        <f>1180/1000</f>
        <v>1.18</v>
      </c>
      <c r="J31" s="127">
        <v>1.22</v>
      </c>
    </row>
    <row r="32" spans="2:10" s="26" customFormat="1" x14ac:dyDescent="0.25">
      <c r="B32" s="84">
        <v>24</v>
      </c>
      <c r="C32" s="61">
        <f t="shared" si="0"/>
        <v>1.3887936943111723</v>
      </c>
      <c r="D32" s="61">
        <v>66.442278786561701</v>
      </c>
      <c r="E32" s="38">
        <f t="shared" si="1"/>
        <v>2.090225861717529E-2</v>
      </c>
      <c r="H32" s="127">
        <v>10</v>
      </c>
      <c r="I32" s="127">
        <f>1220/1000</f>
        <v>1.22</v>
      </c>
      <c r="J32" s="127">
        <v>1.32</v>
      </c>
    </row>
    <row r="33" spans="2:10" s="26" customFormat="1" x14ac:dyDescent="0.25">
      <c r="B33" s="156">
        <v>25</v>
      </c>
      <c r="C33" s="88">
        <f t="shared" si="0"/>
        <v>1.3909340659340659</v>
      </c>
      <c r="D33" s="88">
        <v>67.078246029899788</v>
      </c>
      <c r="E33" s="103">
        <f t="shared" si="1"/>
        <v>2.0735993384711701E-2</v>
      </c>
      <c r="H33" s="127">
        <v>15</v>
      </c>
      <c r="I33" s="127">
        <f>1300/1000</f>
        <v>1.3</v>
      </c>
      <c r="J33" s="127">
        <v>1.36</v>
      </c>
    </row>
    <row r="34" spans="2:10" s="26" customFormat="1" x14ac:dyDescent="0.25">
      <c r="B34" s="84">
        <v>26</v>
      </c>
      <c r="C34" s="61">
        <f t="shared" si="0"/>
        <v>1.3929176370950669</v>
      </c>
      <c r="D34" s="61">
        <v>67.688269215733612</v>
      </c>
      <c r="E34" s="38">
        <f t="shared" si="1"/>
        <v>2.0578420060581103E-2</v>
      </c>
      <c r="H34" s="127" t="s">
        <v>240</v>
      </c>
      <c r="I34" s="127">
        <f>1300/1000</f>
        <v>1.3</v>
      </c>
      <c r="J34" s="127">
        <v>1.39</v>
      </c>
    </row>
    <row r="35" spans="2:10" s="26" customFormat="1" x14ac:dyDescent="0.25">
      <c r="B35" s="84">
        <v>27</v>
      </c>
      <c r="C35" s="61">
        <f t="shared" si="0"/>
        <v>1.3947610294117649</v>
      </c>
      <c r="D35" s="61">
        <v>68.272411498951101</v>
      </c>
      <c r="E35" s="38">
        <f t="shared" si="1"/>
        <v>2.0429350579379977E-2</v>
      </c>
    </row>
    <row r="36" spans="2:10" s="26" customFormat="1" x14ac:dyDescent="0.25">
      <c r="B36" s="84">
        <v>28</v>
      </c>
      <c r="C36" s="61">
        <f t="shared" si="0"/>
        <v>1.3964785953837051</v>
      </c>
      <c r="D36" s="61">
        <v>68.830736034440065</v>
      </c>
      <c r="E36" s="38">
        <f t="shared" si="1"/>
        <v>2.0288590182806772E-2</v>
      </c>
    </row>
    <row r="37" spans="2:10" s="26" customFormat="1" x14ac:dyDescent="0.25">
      <c r="B37" s="84">
        <v>29</v>
      </c>
      <c r="C37" s="61">
        <f t="shared" si="0"/>
        <v>1.3980827928271653</v>
      </c>
      <c r="D37" s="61">
        <v>69.363305977088416</v>
      </c>
      <c r="E37" s="38">
        <f t="shared" si="1"/>
        <v>2.0155942297343351E-2</v>
      </c>
    </row>
    <row r="38" spans="2:10" s="26" customFormat="1" x14ac:dyDescent="0.25">
      <c r="B38" s="84">
        <v>30</v>
      </c>
      <c r="C38" s="61">
        <f t="shared" si="0"/>
        <v>1.3995844875346262</v>
      </c>
      <c r="D38" s="61">
        <v>69.87018448178398</v>
      </c>
      <c r="E38" s="38">
        <f t="shared" si="1"/>
        <v>2.0031212138841785E-2</v>
      </c>
    </row>
    <row r="39" spans="2:10" s="26" customFormat="1" x14ac:dyDescent="0.25">
      <c r="B39" s="84">
        <v>31</v>
      </c>
      <c r="C39" s="61">
        <f t="shared" si="0"/>
        <v>1.4009931997136722</v>
      </c>
      <c r="D39" s="61">
        <v>70.351434703414611</v>
      </c>
      <c r="E39" s="38">
        <f t="shared" si="1"/>
        <v>1.9914209363603396E-2</v>
      </c>
    </row>
    <row r="40" spans="2:10" s="26" customFormat="1" x14ac:dyDescent="0.25">
      <c r="B40" s="84">
        <v>32</v>
      </c>
      <c r="C40" s="61">
        <f t="shared" ref="C40:C68" si="2">10*(B40+0.315)/(9+6.92*B40)</f>
        <v>1.4023173060232597</v>
      </c>
      <c r="D40" s="61">
        <v>70.807119796868221</v>
      </c>
      <c r="E40" s="38">
        <f t="shared" ref="E40:E68" si="3">C40/D40</f>
        <v>1.9804750003195072E-2</v>
      </c>
    </row>
    <row r="41" spans="2:10" s="26" customFormat="1" x14ac:dyDescent="0.25">
      <c r="B41" s="84">
        <v>33</v>
      </c>
      <c r="C41" s="61">
        <f t="shared" si="2"/>
        <v>1.4035642062689586</v>
      </c>
      <c r="D41" s="61">
        <v>71.237302917032622</v>
      </c>
      <c r="E41" s="38">
        <f t="shared" si="3"/>
        <v>1.9702657860357745E-2</v>
      </c>
    </row>
    <row r="42" spans="2:10" s="26" customFormat="1" x14ac:dyDescent="0.25">
      <c r="B42" s="84">
        <v>34</v>
      </c>
      <c r="C42" s="61">
        <f t="shared" si="2"/>
        <v>1.4047404617651873</v>
      </c>
      <c r="D42" s="61">
        <v>71.64204721879571</v>
      </c>
      <c r="E42" s="38">
        <f t="shared" si="3"/>
        <v>1.9607765499429299E-2</v>
      </c>
    </row>
    <row r="43" spans="2:10" s="26" customFormat="1" x14ac:dyDescent="0.25">
      <c r="B43" s="84">
        <v>35</v>
      </c>
      <c r="C43" s="61">
        <f t="shared" si="2"/>
        <v>1.4058519108280254</v>
      </c>
      <c r="D43" s="61">
        <v>72.021415857045355</v>
      </c>
      <c r="E43" s="38">
        <f t="shared" si="3"/>
        <v>1.9519914932226379E-2</v>
      </c>
    </row>
    <row r="44" spans="2:10" s="26" customFormat="1" x14ac:dyDescent="0.25">
      <c r="B44" s="84">
        <v>36</v>
      </c>
      <c r="C44" s="61">
        <f t="shared" si="2"/>
        <v>1.4069037656903765</v>
      </c>
      <c r="D44" s="61">
        <v>72.375471986669368</v>
      </c>
      <c r="E44" s="38">
        <f t="shared" si="3"/>
        <v>1.9438958076149197E-2</v>
      </c>
    </row>
    <row r="45" spans="2:10" s="26" customFormat="1" x14ac:dyDescent="0.25">
      <c r="B45" s="84">
        <v>37</v>
      </c>
      <c r="C45" s="61">
        <f t="shared" si="2"/>
        <v>1.4079006942348322</v>
      </c>
      <c r="D45" s="61">
        <v>72.70427876255566</v>
      </c>
      <c r="E45" s="38">
        <f t="shared" si="3"/>
        <v>1.9364757043156759E-2</v>
      </c>
    </row>
    <row r="46" spans="2:10" s="26" customFormat="1" x14ac:dyDescent="0.25">
      <c r="B46" s="84">
        <v>38</v>
      </c>
      <c r="C46" s="61">
        <f t="shared" si="2"/>
        <v>1.4088468892484189</v>
      </c>
      <c r="D46" s="61">
        <v>73.0078993395921</v>
      </c>
      <c r="E46" s="38">
        <f t="shared" si="3"/>
        <v>1.9297184304608569E-2</v>
      </c>
    </row>
    <row r="47" spans="2:10" s="26" customFormat="1" x14ac:dyDescent="0.25">
      <c r="B47" s="84">
        <v>39</v>
      </c>
      <c r="C47" s="61">
        <f t="shared" si="2"/>
        <v>1.4097461273666092</v>
      </c>
      <c r="D47" s="61">
        <v>73.286396872666501</v>
      </c>
      <c r="E47" s="38">
        <f t="shared" si="3"/>
        <v>1.9236122766630375E-2</v>
      </c>
    </row>
    <row r="48" spans="2:10" s="26" customFormat="1" x14ac:dyDescent="0.25">
      <c r="B48" s="84">
        <v>40</v>
      </c>
      <c r="C48" s="61">
        <f t="shared" si="2"/>
        <v>1.4106018194541636</v>
      </c>
      <c r="D48" s="61">
        <v>73.539834516666772</v>
      </c>
      <c r="E48" s="38">
        <f t="shared" si="3"/>
        <v>1.9181465782799261E-2</v>
      </c>
    </row>
    <row r="49" spans="2:5" s="26" customFormat="1" x14ac:dyDescent="0.25">
      <c r="B49" s="84">
        <v>41</v>
      </c>
      <c r="C49" s="61">
        <f t="shared" si="2"/>
        <v>1.4114170538398469</v>
      </c>
      <c r="D49" s="61">
        <v>73.76827542648077</v>
      </c>
      <c r="E49" s="38">
        <f t="shared" si="3"/>
        <v>1.9133117124942131E-2</v>
      </c>
    </row>
    <row r="50" spans="2:5" s="26" customFormat="1" x14ac:dyDescent="0.25">
      <c r="B50" s="84">
        <v>42</v>
      </c>
      <c r="C50" s="61">
        <f t="shared" si="2"/>
        <v>1.4121946335602724</v>
      </c>
      <c r="D50" s="61">
        <v>73.971782756996333</v>
      </c>
      <c r="E50" s="38">
        <f t="shared" si="3"/>
        <v>1.909099092824967E-2</v>
      </c>
    </row>
    <row r="51" spans="2:5" s="26" customFormat="1" x14ac:dyDescent="0.25">
      <c r="B51" s="84">
        <v>43</v>
      </c>
      <c r="C51" s="61">
        <f t="shared" si="2"/>
        <v>1.4129371085594988</v>
      </c>
      <c r="D51" s="61">
        <v>74.15041966310136</v>
      </c>
      <c r="E51" s="38">
        <f t="shared" si="3"/>
        <v>1.9055011623388057E-2</v>
      </c>
    </row>
    <row r="52" spans="2:5" s="26" customFormat="1" x14ac:dyDescent="0.25">
      <c r="B52" s="84">
        <v>44</v>
      </c>
      <c r="C52" s="61">
        <f t="shared" si="2"/>
        <v>1.4136468036238354</v>
      </c>
      <c r="D52" s="61">
        <v>74.304249299683661</v>
      </c>
      <c r="E52" s="38">
        <f t="shared" si="3"/>
        <v>1.9025113865592257E-2</v>
      </c>
    </row>
    <row r="53" spans="2:5" s="26" customFormat="1" x14ac:dyDescent="0.25">
      <c r="B53" s="84">
        <v>45</v>
      </c>
      <c r="C53" s="61">
        <f t="shared" si="2"/>
        <v>1.4143258426966292</v>
      </c>
      <c r="D53" s="61">
        <v>74.433334821631163</v>
      </c>
      <c r="E53" s="38">
        <f t="shared" si="3"/>
        <v>1.9001242468658145E-2</v>
      </c>
    </row>
    <row r="54" spans="2:5" s="26" customFormat="1" x14ac:dyDescent="0.25">
      <c r="B54" s="84">
        <v>46</v>
      </c>
      <c r="C54" s="61">
        <f t="shared" si="2"/>
        <v>1.414976170108762</v>
      </c>
      <c r="D54" s="61">
        <v>74.537739383831678</v>
      </c>
      <c r="E54" s="38">
        <f t="shared" si="3"/>
        <v>1.8983352350174586E-2</v>
      </c>
    </row>
    <row r="55" spans="2:5" s="26" customFormat="1" x14ac:dyDescent="0.25">
      <c r="B55" s="84">
        <v>47</v>
      </c>
      <c r="C55" s="61">
        <f t="shared" si="2"/>
        <v>1.4155995691718524</v>
      </c>
      <c r="D55" s="61">
        <v>74.617526141173087</v>
      </c>
      <c r="E55" s="38">
        <f t="shared" si="3"/>
        <v>1.8971408493141412E-2</v>
      </c>
    </row>
    <row r="56" spans="2:5" s="26" customFormat="1" x14ac:dyDescent="0.25">
      <c r="B56" s="84">
        <v>48</v>
      </c>
      <c r="C56" s="61">
        <f t="shared" si="2"/>
        <v>1.4161976785086177</v>
      </c>
      <c r="D56" s="61">
        <v>74.672758248543275</v>
      </c>
      <c r="E56" s="38">
        <f t="shared" si="3"/>
        <v>1.8965385928224301E-2</v>
      </c>
    </row>
    <row r="57" spans="2:5" s="26" customFormat="1" x14ac:dyDescent="0.25">
      <c r="B57" s="84">
        <v>49</v>
      </c>
      <c r="C57" s="61">
        <f t="shared" si="2"/>
        <v>1.4167720064353022</v>
      </c>
      <c r="D57" s="61">
        <v>74.703498860830067</v>
      </c>
      <c r="E57" s="38">
        <f t="shared" si="3"/>
        <v>1.8965269740239311E-2</v>
      </c>
    </row>
    <row r="58" spans="2:5" s="26" customFormat="1" x14ac:dyDescent="0.25">
      <c r="B58" s="84">
        <v>50</v>
      </c>
      <c r="C58" s="61">
        <f t="shared" si="2"/>
        <v>1.4173239436619718</v>
      </c>
      <c r="D58" s="61">
        <v>74.709811132921374</v>
      </c>
      <c r="E58" s="38">
        <f t="shared" si="3"/>
        <v>1.8971055101990729E-2</v>
      </c>
    </row>
    <row r="59" spans="2:5" s="26" customFormat="1" x14ac:dyDescent="0.25">
      <c r="B59" s="84">
        <v>51</v>
      </c>
      <c r="C59" s="61">
        <f t="shared" si="2"/>
        <v>1.417854774535809</v>
      </c>
      <c r="D59" s="61">
        <v>74.69175821970498</v>
      </c>
      <c r="E59" s="38">
        <f t="shared" si="3"/>
        <v>1.8982747338269972E-2</v>
      </c>
    </row>
    <row r="60" spans="2:5" s="26" customFormat="1" x14ac:dyDescent="0.25">
      <c r="B60" s="84">
        <v>52</v>
      </c>
      <c r="C60" s="61">
        <f t="shared" si="2"/>
        <v>1.4183656870187615</v>
      </c>
      <c r="D60" s="61">
        <v>74.649403276068824</v>
      </c>
      <c r="E60" s="38">
        <f t="shared" si="3"/>
        <v>1.9000362022632035E-2</v>
      </c>
    </row>
    <row r="61" spans="2:5" s="26" customFormat="1" x14ac:dyDescent="0.25">
      <c r="B61" s="84">
        <v>53</v>
      </c>
      <c r="C61" s="61">
        <f t="shared" si="2"/>
        <v>1.4188577815626995</v>
      </c>
      <c r="D61" s="61">
        <v>74.582809456900748</v>
      </c>
      <c r="E61" s="38">
        <f t="shared" si="3"/>
        <v>1.902392510948004E-2</v>
      </c>
    </row>
    <row r="62" spans="2:5" s="26" customFormat="1" x14ac:dyDescent="0.25">
      <c r="B62" s="84">
        <v>54</v>
      </c>
      <c r="C62" s="61">
        <f t="shared" si="2"/>
        <v>1.4193320790216368</v>
      </c>
      <c r="D62" s="61">
        <v>74.492039917088604</v>
      </c>
      <c r="E62" s="38">
        <f t="shared" si="3"/>
        <v>1.9053473103990533E-2</v>
      </c>
    </row>
    <row r="63" spans="2:5" s="26" customFormat="1" x14ac:dyDescent="0.25">
      <c r="B63" s="84">
        <v>55</v>
      </c>
      <c r="C63" s="61">
        <f t="shared" si="2"/>
        <v>1.4197895277207391</v>
      </c>
      <c r="D63" s="61">
        <v>74.377157811520263</v>
      </c>
      <c r="E63" s="38">
        <f t="shared" si="3"/>
        <v>1.9089053272493134E-2</v>
      </c>
    </row>
    <row r="64" spans="2:5" s="26" customFormat="1" x14ac:dyDescent="0.25">
      <c r="B64" s="84">
        <v>56</v>
      </c>
      <c r="C64" s="61">
        <f t="shared" si="2"/>
        <v>1.4202310097851307</v>
      </c>
      <c r="D64" s="61">
        <v>74.238226295083564</v>
      </c>
      <c r="E64" s="38">
        <f t="shared" si="3"/>
        <v>1.9130723896068968E-2</v>
      </c>
    </row>
    <row r="65" spans="2:5" s="26" customFormat="1" x14ac:dyDescent="0.25">
      <c r="B65" s="84">
        <v>57</v>
      </c>
      <c r="C65" s="61">
        <f t="shared" si="2"/>
        <v>1.4206573468173707</v>
      </c>
      <c r="D65" s="61">
        <v>74.075308522666418</v>
      </c>
      <c r="E65" s="38">
        <f t="shared" si="3"/>
        <v>1.9178554570348654E-2</v>
      </c>
    </row>
    <row r="66" spans="2:5" s="26" customFormat="1" x14ac:dyDescent="0.25">
      <c r="B66" s="84">
        <v>58</v>
      </c>
      <c r="C66" s="61">
        <f t="shared" si="2"/>
        <v>1.4210693050004872</v>
      </c>
      <c r="D66" s="61">
        <v>73.888467649156638</v>
      </c>
      <c r="E66" s="38">
        <f t="shared" si="3"/>
        <v>1.9232626554770722E-2</v>
      </c>
    </row>
    <row r="67" spans="2:5" s="26" customFormat="1" x14ac:dyDescent="0.25">
      <c r="B67" s="84">
        <v>59</v>
      </c>
      <c r="C67" s="61">
        <f t="shared" si="2"/>
        <v>1.4214675996932515</v>
      </c>
      <c r="D67" s="61">
        <v>73.67776682944212</v>
      </c>
      <c r="E67" s="38">
        <f t="shared" si="3"/>
        <v>1.9293033174903773E-2</v>
      </c>
    </row>
    <row r="68" spans="2:5" s="26" customFormat="1" x14ac:dyDescent="0.25">
      <c r="B68" s="84">
        <v>60</v>
      </c>
      <c r="C68" s="61">
        <f t="shared" si="2"/>
        <v>1.4218528995756718</v>
      </c>
      <c r="D68" s="61">
        <v>73.443269218410734</v>
      </c>
      <c r="E68" s="38">
        <f t="shared" si="3"/>
        <v>1.935988028184402E-2</v>
      </c>
    </row>
    <row r="69" spans="2:5" s="26" customFormat="1" x14ac:dyDescent="0.25"/>
    <row r="70" spans="2:5" s="26" customFormat="1" x14ac:dyDescent="0.25"/>
    <row r="71" spans="2:5" s="26" customFormat="1" x14ac:dyDescent="0.25"/>
    <row r="72" spans="2:5" s="26" customFormat="1" x14ac:dyDescent="0.25"/>
    <row r="73" spans="2:5" s="26" customFormat="1" x14ac:dyDescent="0.25"/>
    <row r="74" spans="2:5" s="26" customFormat="1" x14ac:dyDescent="0.25"/>
    <row r="75" spans="2:5" s="26" customFormat="1" x14ac:dyDescent="0.25"/>
    <row r="76" spans="2:5" s="26" customFormat="1" x14ac:dyDescent="0.25"/>
    <row r="77" spans="2:5" s="26" customFormat="1" x14ac:dyDescent="0.25"/>
    <row r="78" spans="2:5" s="26" customFormat="1" x14ac:dyDescent="0.25"/>
    <row r="79" spans="2:5" s="26" customFormat="1" x14ac:dyDescent="0.25"/>
    <row r="80" spans="2:5" s="26" customFormat="1" x14ac:dyDescent="0.25"/>
    <row r="81" s="26" customFormat="1" x14ac:dyDescent="0.25"/>
    <row r="82" s="26" customFormat="1" x14ac:dyDescent="0.25"/>
    <row r="83" s="26" customFormat="1" x14ac:dyDescent="0.25"/>
    <row r="84" s="26" customFormat="1" x14ac:dyDescent="0.25"/>
    <row r="85" s="26" customFormat="1" x14ac:dyDescent="0.25"/>
    <row r="86" s="26" customFormat="1" x14ac:dyDescent="0.25"/>
    <row r="87" s="26" customFormat="1" x14ac:dyDescent="0.25"/>
    <row r="88" s="26" customFormat="1" x14ac:dyDescent="0.25"/>
    <row r="89" s="26" customFormat="1" x14ac:dyDescent="0.25"/>
    <row r="90" s="26" customFormat="1" x14ac:dyDescent="0.25"/>
    <row r="91" s="26" customFormat="1" x14ac:dyDescent="0.25"/>
    <row r="92" s="26" customFormat="1" x14ac:dyDescent="0.25"/>
    <row r="93" s="26" customFormat="1" x14ac:dyDescent="0.25"/>
    <row r="94" s="26" customFormat="1" x14ac:dyDescent="0.25"/>
    <row r="95" s="26" customFormat="1" x14ac:dyDescent="0.25"/>
    <row r="96" s="26" customFormat="1" x14ac:dyDescent="0.25"/>
    <row r="97" s="26" customFormat="1" x14ac:dyDescent="0.25"/>
    <row r="98" s="26" customFormat="1" x14ac:dyDescent="0.25"/>
    <row r="99" s="26" customFormat="1" x14ac:dyDescent="0.25"/>
    <row r="100" s="26" customFormat="1" x14ac:dyDescent="0.25"/>
    <row r="101" s="26" customFormat="1" x14ac:dyDescent="0.25"/>
    <row r="102" s="26" customFormat="1" x14ac:dyDescent="0.25"/>
    <row r="103" s="26" customFormat="1" x14ac:dyDescent="0.25"/>
    <row r="104" s="26" customFormat="1" x14ac:dyDescent="0.25"/>
    <row r="105" s="26" customFormat="1" x14ac:dyDescent="0.25"/>
    <row r="106" s="26" customFormat="1" x14ac:dyDescent="0.25"/>
    <row r="107" s="26" customFormat="1" x14ac:dyDescent="0.25"/>
    <row r="108" s="26" customFormat="1" x14ac:dyDescent="0.25"/>
    <row r="109" s="26" customFormat="1" x14ac:dyDescent="0.25"/>
    <row r="110" s="26" customFormat="1" x14ac:dyDescent="0.25"/>
    <row r="111" s="26" customFormat="1" x14ac:dyDescent="0.25"/>
    <row r="112" s="26" customFormat="1" x14ac:dyDescent="0.25"/>
    <row r="113" s="26" customFormat="1" x14ac:dyDescent="0.25"/>
    <row r="114" s="26" customFormat="1" x14ac:dyDescent="0.25"/>
    <row r="115" s="26" customFormat="1" x14ac:dyDescent="0.25"/>
    <row r="116" s="26" customFormat="1" x14ac:dyDescent="0.25"/>
    <row r="117" s="26" customFormat="1" x14ac:dyDescent="0.25"/>
    <row r="118" s="26" customFormat="1" x14ac:dyDescent="0.25"/>
    <row r="119" s="26" customFormat="1" x14ac:dyDescent="0.25"/>
    <row r="120" s="26" customFormat="1" x14ac:dyDescent="0.25"/>
    <row r="121" s="26" customFormat="1" x14ac:dyDescent="0.25"/>
    <row r="122" s="26" customFormat="1" x14ac:dyDescent="0.25"/>
    <row r="123" s="26" customFormat="1" x14ac:dyDescent="0.25"/>
    <row r="124" s="26" customFormat="1" x14ac:dyDescent="0.25"/>
    <row r="125" s="26" customFormat="1" x14ac:dyDescent="0.25"/>
    <row r="126" s="26" customFormat="1" x14ac:dyDescent="0.25"/>
    <row r="127" s="26" customFormat="1" x14ac:dyDescent="0.25"/>
    <row r="128" s="26" customFormat="1" x14ac:dyDescent="0.25"/>
    <row r="129" s="26" customFormat="1" x14ac:dyDescent="0.25"/>
    <row r="130" s="26" customFormat="1" x14ac:dyDescent="0.25"/>
    <row r="131" s="26" customFormat="1" x14ac:dyDescent="0.25"/>
    <row r="132" s="26" customFormat="1" x14ac:dyDescent="0.25"/>
    <row r="133" s="26" customFormat="1" x14ac:dyDescent="0.25"/>
    <row r="134" s="26" customFormat="1" x14ac:dyDescent="0.25"/>
    <row r="135" s="26" customFormat="1" x14ac:dyDescent="0.25"/>
    <row r="136" s="26" customFormat="1" x14ac:dyDescent="0.25"/>
    <row r="137" s="26" customFormat="1" x14ac:dyDescent="0.25"/>
    <row r="138" s="26" customFormat="1" x14ac:dyDescent="0.25"/>
    <row r="139" s="26" customFormat="1" x14ac:dyDescent="0.25"/>
    <row r="140" s="26" customFormat="1" x14ac:dyDescent="0.25"/>
    <row r="141" s="26" customFormat="1" x14ac:dyDescent="0.25"/>
    <row r="142" s="26" customFormat="1" x14ac:dyDescent="0.25"/>
    <row r="143" s="26" customFormat="1" x14ac:dyDescent="0.25"/>
    <row r="144" s="26" customFormat="1" x14ac:dyDescent="0.25"/>
    <row r="145" s="26" customFormat="1" x14ac:dyDescent="0.25"/>
    <row r="146" s="26" customFormat="1" x14ac:dyDescent="0.25"/>
    <row r="147" s="26" customFormat="1" x14ac:dyDescent="0.25"/>
    <row r="148" s="26" customFormat="1" x14ac:dyDescent="0.25"/>
    <row r="149" s="26" customFormat="1" x14ac:dyDescent="0.25"/>
    <row r="150" s="26" customFormat="1" x14ac:dyDescent="0.25"/>
    <row r="151" s="26" customFormat="1" x14ac:dyDescent="0.25"/>
    <row r="152" s="26" customFormat="1" x14ac:dyDescent="0.25"/>
    <row r="153" s="26" customFormat="1" x14ac:dyDescent="0.25"/>
    <row r="154" s="26" customFormat="1" x14ac:dyDescent="0.25"/>
    <row r="155" s="26" customFormat="1" x14ac:dyDescent="0.25"/>
    <row r="156" s="26" customFormat="1" x14ac:dyDescent="0.25"/>
    <row r="157" s="26" customFormat="1" x14ac:dyDescent="0.25"/>
    <row r="158" s="26" customFormat="1" x14ac:dyDescent="0.25"/>
    <row r="159" s="26" customFormat="1" x14ac:dyDescent="0.25"/>
    <row r="160" s="26" customFormat="1" x14ac:dyDescent="0.25"/>
    <row r="161" s="26" customFormat="1" x14ac:dyDescent="0.25"/>
    <row r="162" s="26" customFormat="1" x14ac:dyDescent="0.25"/>
    <row r="163" s="26" customFormat="1" x14ac:dyDescent="0.25"/>
    <row r="164" s="26" customFormat="1" x14ac:dyDescent="0.25"/>
    <row r="165" s="26" customFormat="1" x14ac:dyDescent="0.25"/>
    <row r="166" s="26" customFormat="1" x14ac:dyDescent="0.25"/>
    <row r="167" s="26" customFormat="1" x14ac:dyDescent="0.25"/>
    <row r="168" s="26" customFormat="1" x14ac:dyDescent="0.25"/>
    <row r="169" s="26" customFormat="1" x14ac:dyDescent="0.25"/>
    <row r="170" s="26" customFormat="1" x14ac:dyDescent="0.25"/>
    <row r="171" s="26" customFormat="1" x14ac:dyDescent="0.25"/>
    <row r="172" s="26" customFormat="1" x14ac:dyDescent="0.25"/>
    <row r="173" s="26" customFormat="1" x14ac:dyDescent="0.25"/>
    <row r="174" s="26" customFormat="1" x14ac:dyDescent="0.25"/>
    <row r="175" s="26" customFormat="1" x14ac:dyDescent="0.25"/>
    <row r="176" s="26" customFormat="1" x14ac:dyDescent="0.25"/>
    <row r="177" s="26" customFormat="1" x14ac:dyDescent="0.25"/>
    <row r="178" s="26" customFormat="1" x14ac:dyDescent="0.25"/>
    <row r="179" s="26" customFormat="1" x14ac:dyDescent="0.25"/>
    <row r="180" s="26" customFormat="1" x14ac:dyDescent="0.25"/>
    <row r="181" s="26" customFormat="1" x14ac:dyDescent="0.25"/>
    <row r="182" s="26" customFormat="1" x14ac:dyDescent="0.25"/>
    <row r="183" s="26" customFormat="1" x14ac:dyDescent="0.25"/>
    <row r="184" s="26" customFormat="1" x14ac:dyDescent="0.25"/>
    <row r="185" s="26" customFormat="1" x14ac:dyDescent="0.25"/>
    <row r="186" s="26" customFormat="1" x14ac:dyDescent="0.25"/>
    <row r="187" s="26" customFormat="1" x14ac:dyDescent="0.25"/>
    <row r="188" s="26" customFormat="1" x14ac:dyDescent="0.25"/>
    <row r="189" s="26" customFormat="1" x14ac:dyDescent="0.25"/>
    <row r="190" s="26" customFormat="1" x14ac:dyDescent="0.25"/>
    <row r="191" s="26" customFormat="1" x14ac:dyDescent="0.25"/>
    <row r="192" s="26" customFormat="1" x14ac:dyDescent="0.25"/>
    <row r="193" s="26" customFormat="1" x14ac:dyDescent="0.25"/>
    <row r="194" s="26" customFormat="1" x14ac:dyDescent="0.25"/>
    <row r="195" s="26" customFormat="1" x14ac:dyDescent="0.25"/>
    <row r="196" s="26" customFormat="1" x14ac:dyDescent="0.25"/>
    <row r="197" s="26" customFormat="1" x14ac:dyDescent="0.25"/>
    <row r="198" s="26" customFormat="1" x14ac:dyDescent="0.25"/>
    <row r="199" s="26" customFormat="1" x14ac:dyDescent="0.25"/>
    <row r="200" s="26" customFormat="1" x14ac:dyDescent="0.25"/>
    <row r="201" s="26" customFormat="1" x14ac:dyDescent="0.25"/>
    <row r="202" s="26" customFormat="1" x14ac:dyDescent="0.25"/>
    <row r="203" s="26" customFormat="1" x14ac:dyDescent="0.25"/>
    <row r="204" s="26" customFormat="1" x14ac:dyDescent="0.25"/>
    <row r="205" s="26" customFormat="1" x14ac:dyDescent="0.25"/>
    <row r="206" s="26" customFormat="1" x14ac:dyDescent="0.25"/>
    <row r="207" s="26" customFormat="1" x14ac:dyDescent="0.25"/>
    <row r="208" s="26" customFormat="1" x14ac:dyDescent="0.25"/>
    <row r="209" s="26" customFormat="1" x14ac:dyDescent="0.25"/>
    <row r="210" s="26" customFormat="1" x14ac:dyDescent="0.25"/>
    <row r="211" s="26" customFormat="1" x14ac:dyDescent="0.25"/>
    <row r="212" s="26" customFormat="1" x14ac:dyDescent="0.25"/>
    <row r="213" s="26" customFormat="1" x14ac:dyDescent="0.25"/>
    <row r="214" s="26" customFormat="1" x14ac:dyDescent="0.25"/>
    <row r="215" s="26" customFormat="1" x14ac:dyDescent="0.25"/>
    <row r="216" s="26" customFormat="1" x14ac:dyDescent="0.25"/>
    <row r="217" s="26" customFormat="1" x14ac:dyDescent="0.25"/>
    <row r="218" s="26" customFormat="1" x14ac:dyDescent="0.25"/>
    <row r="219" s="26" customFormat="1" x14ac:dyDescent="0.25"/>
    <row r="220" s="26" customFormat="1" x14ac:dyDescent="0.25"/>
    <row r="221" s="26" customFormat="1" x14ac:dyDescent="0.25"/>
    <row r="222" s="26" customFormat="1" x14ac:dyDescent="0.25"/>
    <row r="223" s="26" customFormat="1" x14ac:dyDescent="0.25"/>
    <row r="224" s="26" customFormat="1" x14ac:dyDescent="0.25"/>
    <row r="225" s="26" customFormat="1" x14ac:dyDescent="0.25"/>
    <row r="226" s="26" customFormat="1" x14ac:dyDescent="0.25"/>
    <row r="227" s="26" customFormat="1" x14ac:dyDescent="0.25"/>
    <row r="228" s="26" customFormat="1" x14ac:dyDescent="0.25"/>
    <row r="229" s="26" customFormat="1" x14ac:dyDescent="0.25"/>
    <row r="230" s="26" customFormat="1" x14ac:dyDescent="0.25"/>
    <row r="231" s="26" customFormat="1" x14ac:dyDescent="0.25"/>
    <row r="232" s="26" customFormat="1" x14ac:dyDescent="0.25"/>
    <row r="233" s="26" customFormat="1" x14ac:dyDescent="0.25"/>
    <row r="234" s="26" customFormat="1" x14ac:dyDescent="0.25"/>
    <row r="235" s="26" customFormat="1" x14ac:dyDescent="0.25"/>
    <row r="236" s="26" customFormat="1" x14ac:dyDescent="0.25"/>
    <row r="237" s="26" customFormat="1" x14ac:dyDescent="0.25"/>
    <row r="238" s="26" customFormat="1" x14ac:dyDescent="0.25"/>
    <row r="239" s="26" customFormat="1" x14ac:dyDescent="0.25"/>
    <row r="240" s="26" customFormat="1" x14ac:dyDescent="0.25"/>
    <row r="241" s="26" customFormat="1" x14ac:dyDescent="0.25"/>
    <row r="242" s="26" customFormat="1" x14ac:dyDescent="0.25"/>
    <row r="243" s="26" customFormat="1" x14ac:dyDescent="0.25"/>
    <row r="244" s="26" customFormat="1" x14ac:dyDescent="0.25"/>
    <row r="245" s="26" customFormat="1" x14ac:dyDescent="0.25"/>
    <row r="246" s="26" customFormat="1" x14ac:dyDescent="0.25"/>
    <row r="247" s="26" customFormat="1" x14ac:dyDescent="0.25"/>
    <row r="248" s="26" customFormat="1" x14ac:dyDescent="0.25"/>
    <row r="249" s="26" customFormat="1" x14ac:dyDescent="0.25"/>
    <row r="250" s="26" customFormat="1" x14ac:dyDescent="0.25"/>
    <row r="251" s="26" customFormat="1" x14ac:dyDescent="0.25"/>
    <row r="252" s="26" customFormat="1" x14ac:dyDescent="0.25"/>
    <row r="253" s="26" customFormat="1" x14ac:dyDescent="0.25"/>
    <row r="254" s="26" customFormat="1" x14ac:dyDescent="0.25"/>
    <row r="255" s="26" customFormat="1" x14ac:dyDescent="0.25"/>
    <row r="256" s="26" customFormat="1" x14ac:dyDescent="0.25"/>
    <row r="257" s="26" customFormat="1" x14ac:dyDescent="0.25"/>
    <row r="258" s="26" customFormat="1" x14ac:dyDescent="0.25"/>
    <row r="259" s="26" customFormat="1" x14ac:dyDescent="0.25"/>
    <row r="260" s="26" customFormat="1" x14ac:dyDescent="0.25"/>
    <row r="261" s="26" customFormat="1" x14ac:dyDescent="0.25"/>
    <row r="262" s="26" customFormat="1" x14ac:dyDescent="0.25"/>
    <row r="263" s="26" customFormat="1" x14ac:dyDescent="0.25"/>
    <row r="264" s="26" customFormat="1" x14ac:dyDescent="0.25"/>
    <row r="265" s="26" customFormat="1" x14ac:dyDescent="0.25"/>
    <row r="266" s="26" customFormat="1" x14ac:dyDescent="0.25"/>
    <row r="267" s="26" customFormat="1" x14ac:dyDescent="0.25"/>
    <row r="268" s="26" customFormat="1" x14ac:dyDescent="0.25"/>
    <row r="269" s="26" customFormat="1" x14ac:dyDescent="0.25"/>
    <row r="270" s="26" customFormat="1" x14ac:dyDescent="0.25"/>
    <row r="271" s="26" customFormat="1" x14ac:dyDescent="0.25"/>
    <row r="272" s="26" customFormat="1" x14ac:dyDescent="0.25"/>
    <row r="273" s="26" customFormat="1" x14ac:dyDescent="0.25"/>
    <row r="274" s="26" customFormat="1" x14ac:dyDescent="0.25"/>
    <row r="275" s="26" customFormat="1" x14ac:dyDescent="0.25"/>
    <row r="276" s="26" customFormat="1" x14ac:dyDescent="0.25"/>
    <row r="277" s="26" customFormat="1" x14ac:dyDescent="0.25"/>
    <row r="278" s="26" customFormat="1" x14ac:dyDescent="0.25"/>
    <row r="279" s="26" customFormat="1" x14ac:dyDescent="0.25"/>
    <row r="280" s="26" customFormat="1" x14ac:dyDescent="0.25"/>
    <row r="281" s="26" customFormat="1" x14ac:dyDescent="0.25"/>
    <row r="282" s="26" customFormat="1" x14ac:dyDescent="0.25"/>
    <row r="283" s="26" customFormat="1" x14ac:dyDescent="0.25"/>
    <row r="284" s="26" customFormat="1" x14ac:dyDescent="0.25"/>
    <row r="285" s="26" customFormat="1" x14ac:dyDescent="0.25"/>
    <row r="286" s="26" customFormat="1" x14ac:dyDescent="0.25"/>
    <row r="287" s="26" customFormat="1" x14ac:dyDescent="0.25"/>
    <row r="288" s="26" customFormat="1" x14ac:dyDescent="0.25"/>
    <row r="289" s="26" customFormat="1" x14ac:dyDescent="0.25"/>
    <row r="290" s="26" customFormat="1" x14ac:dyDescent="0.25"/>
    <row r="291" s="26" customFormat="1" x14ac:dyDescent="0.25"/>
    <row r="292" s="26" customFormat="1" x14ac:dyDescent="0.25"/>
    <row r="293" s="26" customFormat="1" x14ac:dyDescent="0.25"/>
    <row r="294" s="26" customFormat="1" x14ac:dyDescent="0.25"/>
    <row r="295" s="26" customFormat="1" x14ac:dyDescent="0.25"/>
    <row r="296" s="26" customFormat="1" x14ac:dyDescent="0.25"/>
    <row r="297" s="26" customFormat="1" x14ac:dyDescent="0.25"/>
    <row r="298" s="26" customFormat="1" x14ac:dyDescent="0.25"/>
    <row r="299" s="26" customFormat="1" x14ac:dyDescent="0.25"/>
    <row r="300" s="26" customFormat="1" x14ac:dyDescent="0.25"/>
    <row r="301" s="26" customFormat="1" x14ac:dyDescent="0.25"/>
    <row r="302" s="26" customFormat="1" x14ac:dyDescent="0.25"/>
    <row r="303" s="26" customFormat="1" x14ac:dyDescent="0.25"/>
    <row r="304" s="26" customFormat="1" x14ac:dyDescent="0.25"/>
    <row r="305" s="26" customFormat="1" x14ac:dyDescent="0.25"/>
    <row r="306" s="26" customFormat="1" x14ac:dyDescent="0.25"/>
    <row r="307" s="26" customFormat="1" x14ac:dyDescent="0.25"/>
    <row r="308" s="26" customFormat="1" x14ac:dyDescent="0.25"/>
    <row r="309" s="26" customFormat="1" x14ac:dyDescent="0.25"/>
    <row r="310" s="26" customFormat="1" x14ac:dyDescent="0.25"/>
    <row r="311" s="26" customFormat="1" x14ac:dyDescent="0.25"/>
    <row r="312" s="26" customFormat="1" x14ac:dyDescent="0.25"/>
    <row r="313" s="26" customFormat="1" x14ac:dyDescent="0.25"/>
    <row r="314" s="26" customFormat="1" x14ac:dyDescent="0.25"/>
    <row r="315" s="26" customFormat="1" x14ac:dyDescent="0.25"/>
    <row r="316" s="26" customFormat="1" x14ac:dyDescent="0.25"/>
    <row r="317" s="26" customFormat="1" x14ac:dyDescent="0.25"/>
    <row r="318" s="26" customFormat="1" x14ac:dyDescent="0.25"/>
    <row r="319" s="26" customFormat="1" x14ac:dyDescent="0.25"/>
    <row r="320" s="26" customFormat="1" x14ac:dyDescent="0.25"/>
    <row r="321" s="26" customFormat="1" x14ac:dyDescent="0.25"/>
    <row r="322" s="26" customFormat="1" x14ac:dyDescent="0.25"/>
    <row r="323" s="26" customFormat="1" x14ac:dyDescent="0.25"/>
    <row r="324" s="26" customFormat="1" x14ac:dyDescent="0.25"/>
    <row r="325" s="26" customFormat="1" x14ac:dyDescent="0.25"/>
    <row r="326" s="26" customFormat="1" x14ac:dyDescent="0.25"/>
    <row r="327" s="26" customFormat="1" x14ac:dyDescent="0.25"/>
    <row r="328" s="26" customFormat="1" x14ac:dyDescent="0.25"/>
  </sheetData>
  <mergeCells count="3">
    <mergeCell ref="D3:E3"/>
    <mergeCell ref="B2:E2"/>
    <mergeCell ref="H27:J27"/>
  </mergeCells>
  <pageMargins left="0.7" right="0.7" top="0.75" bottom="0.75" header="0.3" footer="0.3"/>
  <pageSetup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O326"/>
  <sheetViews>
    <sheetView zoomScale="60" zoomScaleNormal="60" workbookViewId="0">
      <selection activeCell="G10" sqref="G10:G70"/>
    </sheetView>
  </sheetViews>
  <sheetFormatPr defaultColWidth="9.140625" defaultRowHeight="15.75" x14ac:dyDescent="0.25"/>
  <cols>
    <col min="1" max="1" width="9.140625" style="3"/>
    <col min="2" max="2" width="20.85546875" style="2" customWidth="1"/>
    <col min="3" max="3" width="52.42578125" style="2" customWidth="1"/>
    <col min="4" max="4" width="37.85546875" style="2" customWidth="1"/>
    <col min="5" max="5" width="15.5703125" style="9" bestFit="1" customWidth="1"/>
    <col min="6" max="6" width="14.140625" style="3" bestFit="1" customWidth="1"/>
    <col min="7" max="8" width="13" style="3" customWidth="1"/>
    <col min="9" max="9" width="16" style="3" customWidth="1"/>
    <col min="10" max="10" width="13.42578125" style="3" customWidth="1"/>
    <col min="11" max="21" width="9.140625" style="3"/>
    <col min="22" max="22" width="15" style="3" customWidth="1"/>
    <col min="23" max="16384" width="9.140625" style="3"/>
  </cols>
  <sheetData>
    <row r="1" spans="2:10" x14ac:dyDescent="0.25">
      <c r="E1" s="2"/>
    </row>
    <row r="2" spans="2:10" x14ac:dyDescent="0.25">
      <c r="E2" s="2"/>
    </row>
    <row r="3" spans="2:10" ht="31.5" customHeight="1" x14ac:dyDescent="0.25">
      <c r="B3" s="243" t="s">
        <v>150</v>
      </c>
      <c r="C3" s="243"/>
      <c r="D3" s="243"/>
      <c r="E3" s="213" t="s">
        <v>1</v>
      </c>
      <c r="F3" s="208" t="s">
        <v>76</v>
      </c>
      <c r="G3" s="208" t="s">
        <v>35</v>
      </c>
    </row>
    <row r="4" spans="2:10" ht="73.5" customHeight="1" x14ac:dyDescent="0.25">
      <c r="B4" s="62" t="s">
        <v>24</v>
      </c>
      <c r="C4" s="62" t="s">
        <v>23</v>
      </c>
      <c r="D4" s="62" t="s">
        <v>25</v>
      </c>
      <c r="E4" s="62">
        <v>67.078246029899788</v>
      </c>
      <c r="F4" s="62">
        <v>25.512193206702584</v>
      </c>
      <c r="G4" s="63">
        <f>E4 * ((1.5334 * EXP(-0.103 * 25) + 0.67) * F4 + 0.6276 * 25 + 1.0301) / 100</f>
        <v>24.679721568386483</v>
      </c>
    </row>
    <row r="5" spans="2:10" ht="78.75" customHeight="1" x14ac:dyDescent="0.25">
      <c r="B5" s="62" t="s">
        <v>26</v>
      </c>
      <c r="C5" s="62" t="s">
        <v>29</v>
      </c>
      <c r="D5" s="62" t="s">
        <v>28</v>
      </c>
      <c r="E5" s="62"/>
      <c r="F5" s="137">
        <v>25.512193206702584</v>
      </c>
      <c r="G5" s="63">
        <f>(1.5334 * EXP(-0.103 * 25) + 0.67) * F5 + 0.6276 * 25 + 1.0301</f>
        <v>36.792437234249725</v>
      </c>
    </row>
    <row r="6" spans="2:10" ht="85.5" customHeight="1" x14ac:dyDescent="0.25">
      <c r="B6" s="62" t="s">
        <v>27</v>
      </c>
      <c r="C6" s="62" t="s">
        <v>30</v>
      </c>
      <c r="D6" s="62" t="s">
        <v>97</v>
      </c>
      <c r="E6" s="62"/>
      <c r="F6" s="137">
        <v>25.512193206702584</v>
      </c>
      <c r="G6" s="63">
        <f>1.9224 * F6 - 0.018517 * (F6^2) + 0.05537 * 25 - 0.794894</f>
        <v>37.581799355529135</v>
      </c>
    </row>
    <row r="7" spans="2:10" x14ac:dyDescent="0.25">
      <c r="E7" s="2"/>
    </row>
    <row r="8" spans="2:10" x14ac:dyDescent="0.25">
      <c r="E8" s="2"/>
    </row>
    <row r="9" spans="2:10" ht="31.5" x14ac:dyDescent="0.25">
      <c r="B9" s="217" t="s">
        <v>15</v>
      </c>
      <c r="C9" s="217" t="s">
        <v>78</v>
      </c>
      <c r="D9" s="218" t="s">
        <v>21</v>
      </c>
      <c r="E9" s="218" t="s">
        <v>33</v>
      </c>
      <c r="F9" s="209" t="s">
        <v>152</v>
      </c>
      <c r="G9" s="219" t="s">
        <v>69</v>
      </c>
      <c r="H9" s="219" t="s">
        <v>256</v>
      </c>
      <c r="I9" s="218" t="s">
        <v>255</v>
      </c>
      <c r="J9" s="218"/>
    </row>
    <row r="10" spans="2:10" s="25" customFormat="1" ht="31.5" x14ac:dyDescent="0.25">
      <c r="B10" s="104">
        <v>0.5</v>
      </c>
      <c r="C10" s="155" t="s">
        <v>75</v>
      </c>
      <c r="D10" s="90">
        <v>6.9154266062882783</v>
      </c>
      <c r="E10" s="90">
        <v>16.964168662850781</v>
      </c>
      <c r="F10" s="88">
        <f t="shared" ref="F10:F35" si="0">D10 * ((1.5334 * EXP(-0.103 * B10) + 0.67) * E10 + 0.6276 * B10 + 1.0301) / 100</f>
        <v>2.5875450899468335</v>
      </c>
      <c r="G10" s="91">
        <f>F10/D10</f>
        <v>0.37416998795041051</v>
      </c>
      <c r="H10" s="91">
        <f>G10*100</f>
        <v>37.416998795041053</v>
      </c>
      <c r="I10" s="89"/>
      <c r="J10" s="89"/>
    </row>
    <row r="11" spans="2:10" s="25" customFormat="1" x14ac:dyDescent="0.25">
      <c r="B11" s="104">
        <v>1</v>
      </c>
      <c r="C11" s="160"/>
      <c r="D11" s="90">
        <v>9.363369181598614</v>
      </c>
      <c r="E11" s="90">
        <v>17.506167762644072</v>
      </c>
      <c r="F11" s="88">
        <f t="shared" si="0"/>
        <v>3.5209536565570874</v>
      </c>
      <c r="G11" s="91">
        <f>F11/D11</f>
        <v>0.37603490669540734</v>
      </c>
      <c r="H11" s="91">
        <f t="shared" ref="H11:H35" si="1">G11*100</f>
        <v>37.603490669540733</v>
      </c>
      <c r="I11" s="89"/>
      <c r="J11" s="89"/>
    </row>
    <row r="12" spans="2:10" s="25" customFormat="1" x14ac:dyDescent="0.25">
      <c r="B12" s="159">
        <v>2</v>
      </c>
      <c r="C12" s="161"/>
      <c r="D12" s="45">
        <v>12.915540478557535</v>
      </c>
      <c r="E12" s="45">
        <v>17.506342167803354</v>
      </c>
      <c r="F12" s="61">
        <f t="shared" si="0"/>
        <v>4.631676523935778</v>
      </c>
      <c r="G12" s="34">
        <f t="shared" ref="G12:G35" si="2">F12/D12</f>
        <v>0.35861267529805024</v>
      </c>
      <c r="H12" s="34">
        <f t="shared" si="1"/>
        <v>35.861267529805026</v>
      </c>
      <c r="I12" s="27"/>
      <c r="J12" s="27"/>
    </row>
    <row r="13" spans="2:10" s="25" customFormat="1" x14ac:dyDescent="0.25">
      <c r="B13" s="159">
        <v>3</v>
      </c>
      <c r="C13" s="161"/>
      <c r="D13" s="45">
        <v>15.501380951815555</v>
      </c>
      <c r="E13" s="45">
        <v>17.342773088008471</v>
      </c>
      <c r="F13" s="61">
        <f t="shared" si="0"/>
        <v>5.2792939820231934</v>
      </c>
      <c r="G13" s="34">
        <f t="shared" si="2"/>
        <v>0.34056926917887731</v>
      </c>
      <c r="H13" s="34">
        <f t="shared" si="1"/>
        <v>34.056926917887729</v>
      </c>
      <c r="I13" s="27"/>
      <c r="J13" s="27"/>
    </row>
    <row r="14" spans="2:10" s="25" customFormat="1" x14ac:dyDescent="0.25">
      <c r="B14" s="159">
        <v>4</v>
      </c>
      <c r="C14" s="161"/>
      <c r="D14" s="45">
        <v>17.658377304122929</v>
      </c>
      <c r="E14" s="45">
        <v>16.711565151873849</v>
      </c>
      <c r="F14" s="61">
        <f t="shared" si="0"/>
        <v>5.599409402696244</v>
      </c>
      <c r="G14" s="34">
        <f t="shared" si="2"/>
        <v>0.3170964866284105</v>
      </c>
      <c r="H14" s="34">
        <f t="shared" si="1"/>
        <v>31.709648662841051</v>
      </c>
      <c r="I14" s="27"/>
      <c r="J14" s="27"/>
    </row>
    <row r="15" spans="2:10" s="25" customFormat="1" x14ac:dyDescent="0.25">
      <c r="B15" s="104">
        <v>5</v>
      </c>
      <c r="C15" s="162"/>
      <c r="D15" s="90">
        <v>19.714719765531608</v>
      </c>
      <c r="E15" s="90">
        <v>16.199183250167831</v>
      </c>
      <c r="F15" s="88">
        <f t="shared" si="0"/>
        <v>5.887478630895</v>
      </c>
      <c r="G15" s="91">
        <f t="shared" si="2"/>
        <v>0.29863364536321846</v>
      </c>
      <c r="H15" s="91">
        <f t="shared" si="1"/>
        <v>29.863364536321846</v>
      </c>
      <c r="I15" s="89"/>
      <c r="J15" s="89"/>
    </row>
    <row r="16" spans="2:10" s="25" customFormat="1" x14ac:dyDescent="0.25">
      <c r="B16" s="159">
        <v>6</v>
      </c>
      <c r="C16" s="161"/>
      <c r="D16" s="45">
        <v>21.92310304640738</v>
      </c>
      <c r="E16" s="45">
        <v>16.030757521199039</v>
      </c>
      <c r="F16" s="61">
        <f t="shared" si="0"/>
        <v>6.3108494299277922</v>
      </c>
      <c r="G16" s="34">
        <f t="shared" si="2"/>
        <v>0.28786296431526259</v>
      </c>
      <c r="H16" s="34">
        <f t="shared" si="1"/>
        <v>28.78629643152626</v>
      </c>
      <c r="I16" s="27"/>
      <c r="J16" s="27"/>
    </row>
    <row r="17" spans="2:15" s="25" customFormat="1" x14ac:dyDescent="0.25">
      <c r="B17" s="159">
        <v>7</v>
      </c>
      <c r="C17" s="161"/>
      <c r="D17" s="45">
        <v>24.506576900677818</v>
      </c>
      <c r="E17" s="45">
        <v>16.234110238204511</v>
      </c>
      <c r="F17" s="61">
        <f t="shared" si="0"/>
        <v>6.9610819290740382</v>
      </c>
      <c r="G17" s="34">
        <f t="shared" si="2"/>
        <v>0.28404954136542443</v>
      </c>
      <c r="H17" s="34">
        <f t="shared" si="1"/>
        <v>28.404954136542443</v>
      </c>
      <c r="I17" s="27"/>
      <c r="J17" s="27"/>
    </row>
    <row r="18" spans="2:15" s="25" customFormat="1" x14ac:dyDescent="0.25">
      <c r="B18" s="159">
        <v>8</v>
      </c>
      <c r="C18" s="161"/>
      <c r="D18" s="45">
        <v>27.656407916528913</v>
      </c>
      <c r="E18" s="45">
        <v>16.777293000360807</v>
      </c>
      <c r="F18" s="61">
        <f t="shared" si="0"/>
        <v>7.9034080522522094</v>
      </c>
      <c r="G18" s="34">
        <f t="shared" si="2"/>
        <v>0.28577131477471157</v>
      </c>
      <c r="H18" s="34">
        <f t="shared" si="1"/>
        <v>28.577131477471156</v>
      </c>
      <c r="I18" s="27">
        <v>29.8139</v>
      </c>
      <c r="J18" s="27">
        <f>I18/100*D18</f>
        <v>8.2454537998260129</v>
      </c>
    </row>
    <row r="19" spans="2:15" s="25" customFormat="1" x14ac:dyDescent="0.25">
      <c r="B19" s="159">
        <v>9</v>
      </c>
      <c r="C19" s="161"/>
      <c r="D19" s="45">
        <v>31.490090721081462</v>
      </c>
      <c r="E19" s="45">
        <v>17.512802860963603</v>
      </c>
      <c r="F19" s="61">
        <f t="shared" si="0"/>
        <v>9.144504817748075</v>
      </c>
      <c r="G19" s="34">
        <f t="shared" si="2"/>
        <v>0.29039309218712933</v>
      </c>
      <c r="H19" s="34">
        <f t="shared" si="1"/>
        <v>29.039309218712933</v>
      </c>
      <c r="I19" s="27">
        <v>32.092219999999998</v>
      </c>
      <c r="J19" s="27">
        <f t="shared" ref="J19:J35" si="3">I19/100*D19</f>
        <v>10.105869192409049</v>
      </c>
    </row>
    <row r="20" spans="2:15" s="25" customFormat="1" x14ac:dyDescent="0.25">
      <c r="B20" s="104">
        <v>10</v>
      </c>
      <c r="C20" s="162"/>
      <c r="D20" s="90">
        <v>35.983607211042894</v>
      </c>
      <c r="E20" s="90">
        <v>18.133539975038094</v>
      </c>
      <c r="F20" s="88">
        <f t="shared" si="0"/>
        <v>10.572882197454184</v>
      </c>
      <c r="G20" s="91">
        <f t="shared" si="2"/>
        <v>0.29382496689241056</v>
      </c>
      <c r="H20" s="91">
        <f t="shared" si="1"/>
        <v>29.382496689241055</v>
      </c>
      <c r="I20" s="89">
        <v>32.562559999999998</v>
      </c>
      <c r="J20" s="89">
        <f t="shared" si="3"/>
        <v>11.717183688260167</v>
      </c>
    </row>
    <row r="21" spans="2:15" s="25" customFormat="1" x14ac:dyDescent="0.25">
      <c r="B21" s="159">
        <v>11</v>
      </c>
      <c r="C21" s="161"/>
      <c r="D21" s="45">
        <v>40.920968011983341</v>
      </c>
      <c r="E21" s="45">
        <v>18.441330826878712</v>
      </c>
      <c r="F21" s="61">
        <f t="shared" si="0"/>
        <v>12.029431615891291</v>
      </c>
      <c r="G21" s="34">
        <f t="shared" si="2"/>
        <v>0.29396742551076943</v>
      </c>
      <c r="H21" s="34">
        <f t="shared" si="1"/>
        <v>29.396742551076944</v>
      </c>
      <c r="I21" s="27">
        <v>32.439700000000002</v>
      </c>
      <c r="J21" s="27">
        <f t="shared" si="3"/>
        <v>13.274639260183362</v>
      </c>
    </row>
    <row r="22" spans="2:15" s="25" customFormat="1" x14ac:dyDescent="0.25">
      <c r="B22" s="159">
        <v>12</v>
      </c>
      <c r="C22" s="161"/>
      <c r="D22" s="45">
        <v>45.921621798727614</v>
      </c>
      <c r="E22" s="45">
        <v>18.845495052169746</v>
      </c>
      <c r="F22" s="61">
        <f t="shared" si="0"/>
        <v>13.585375419622018</v>
      </c>
      <c r="G22" s="34">
        <f t="shared" si="2"/>
        <v>0.29583831945583505</v>
      </c>
      <c r="H22" s="34">
        <f t="shared" si="1"/>
        <v>29.583831945583505</v>
      </c>
      <c r="I22" s="27">
        <v>31.640899999999998</v>
      </c>
      <c r="J22" s="27">
        <f t="shared" si="3"/>
        <v>14.530014431713605</v>
      </c>
    </row>
    <row r="23" spans="2:15" s="25" customFormat="1" x14ac:dyDescent="0.25">
      <c r="B23" s="159">
        <v>13</v>
      </c>
      <c r="C23" s="161"/>
      <c r="D23" s="45">
        <v>50.562974255063295</v>
      </c>
      <c r="E23" s="45">
        <v>19.746996083623863</v>
      </c>
      <c r="F23" s="61">
        <f t="shared" si="0"/>
        <v>15.348905744212924</v>
      </c>
      <c r="G23" s="34">
        <f t="shared" si="2"/>
        <v>0.30356018352057107</v>
      </c>
      <c r="H23" s="34">
        <f t="shared" si="1"/>
        <v>30.356018352057106</v>
      </c>
      <c r="I23" s="27">
        <v>30.855129999999999</v>
      </c>
      <c r="J23" s="27">
        <f t="shared" si="3"/>
        <v>15.601271438266311</v>
      </c>
    </row>
    <row r="24" spans="2:15" s="25" customFormat="1" x14ac:dyDescent="0.25">
      <c r="B24" s="159">
        <v>14</v>
      </c>
      <c r="C24" s="161"/>
      <c r="D24" s="45">
        <v>54.528713185550821</v>
      </c>
      <c r="E24" s="45">
        <v>20.907138609080363</v>
      </c>
      <c r="F24" s="61">
        <f t="shared" si="0"/>
        <v>17.124619812127957</v>
      </c>
      <c r="G24" s="34">
        <f t="shared" si="2"/>
        <v>0.31404775230723198</v>
      </c>
      <c r="H24" s="34">
        <f t="shared" si="1"/>
        <v>31.404775230723196</v>
      </c>
      <c r="I24" s="27">
        <v>32.956980000000001</v>
      </c>
      <c r="J24" s="27">
        <f t="shared" si="3"/>
        <v>17.971017098819349</v>
      </c>
    </row>
    <row r="25" spans="2:15" s="25" customFormat="1" x14ac:dyDescent="0.25">
      <c r="B25" s="159">
        <v>15</v>
      </c>
      <c r="C25" s="161"/>
      <c r="D25" s="45">
        <v>57.686468800180961</v>
      </c>
      <c r="E25" s="45">
        <v>21.991333813781456</v>
      </c>
      <c r="F25" s="61">
        <f t="shared" si="0"/>
        <v>18.673970820048595</v>
      </c>
      <c r="G25" s="34">
        <f t="shared" si="2"/>
        <v>0.32371492324713097</v>
      </c>
      <c r="H25" s="34">
        <f t="shared" si="1"/>
        <v>32.371492324713095</v>
      </c>
      <c r="I25" s="27">
        <v>32.789589999999997</v>
      </c>
      <c r="J25" s="27">
        <f t="shared" si="3"/>
        <v>18.915156605057255</v>
      </c>
    </row>
    <row r="26" spans="2:15" s="25" customFormat="1" x14ac:dyDescent="0.25">
      <c r="B26" s="159">
        <v>16</v>
      </c>
      <c r="C26" s="161"/>
      <c r="D26" s="45">
        <v>60.067672365756145</v>
      </c>
      <c r="E26" s="45">
        <v>22.860913275373928</v>
      </c>
      <c r="F26" s="61">
        <f t="shared" si="0"/>
        <v>19.902993747941373</v>
      </c>
      <c r="G26" s="34">
        <f t="shared" si="2"/>
        <v>0.33134284989021534</v>
      </c>
      <c r="H26" s="34">
        <f t="shared" si="1"/>
        <v>33.134284989021538</v>
      </c>
      <c r="I26" s="27">
        <v>34.283659999999998</v>
      </c>
      <c r="J26" s="27">
        <f t="shared" si="3"/>
        <v>20.593396563789792</v>
      </c>
    </row>
    <row r="27" spans="2:15" s="25" customFormat="1" x14ac:dyDescent="0.25">
      <c r="B27" s="159">
        <v>17</v>
      </c>
      <c r="C27" s="161"/>
      <c r="D27" s="45">
        <v>61.796641311133001</v>
      </c>
      <c r="E27" s="45">
        <v>23.507785214278012</v>
      </c>
      <c r="F27" s="61">
        <f t="shared" si="0"/>
        <v>20.829952324095235</v>
      </c>
      <c r="G27" s="34">
        <f t="shared" si="2"/>
        <v>0.33707256385053092</v>
      </c>
      <c r="H27" s="34">
        <f t="shared" si="1"/>
        <v>33.707256385053093</v>
      </c>
      <c r="I27" s="27">
        <v>34.605870000000003</v>
      </c>
      <c r="J27" s="27">
        <f t="shared" si="3"/>
        <v>21.385265356496983</v>
      </c>
    </row>
    <row r="28" spans="2:15" s="25" customFormat="1" ht="30" x14ac:dyDescent="0.25">
      <c r="B28" s="159">
        <v>18</v>
      </c>
      <c r="C28" s="161"/>
      <c r="D28" s="45">
        <v>63.023876884237708</v>
      </c>
      <c r="E28" s="45">
        <v>23.971428084135376</v>
      </c>
      <c r="F28" s="61">
        <f t="shared" si="0"/>
        <v>21.519108628539762</v>
      </c>
      <c r="G28" s="34">
        <f t="shared" si="2"/>
        <v>0.34144374628152552</v>
      </c>
      <c r="H28" s="34">
        <f t="shared" si="1"/>
        <v>34.144374628152555</v>
      </c>
      <c r="I28" s="27">
        <v>35.539960000000001</v>
      </c>
      <c r="J28" s="27">
        <f t="shared" si="3"/>
        <v>22.398660635107326</v>
      </c>
      <c r="M28" s="138" t="s">
        <v>236</v>
      </c>
      <c r="N28" s="139"/>
      <c r="O28" s="140"/>
    </row>
    <row r="29" spans="2:15" s="25" customFormat="1" ht="15.75" customHeight="1" x14ac:dyDescent="0.25">
      <c r="B29" s="159">
        <v>19</v>
      </c>
      <c r="C29" s="161"/>
      <c r="D29" s="45">
        <v>63.886643111966308</v>
      </c>
      <c r="E29" s="45">
        <v>24.298672041994461</v>
      </c>
      <c r="F29" s="61">
        <f t="shared" si="0"/>
        <v>22.040064549948784</v>
      </c>
      <c r="G29" s="34">
        <f t="shared" si="2"/>
        <v>0.34498705013068004</v>
      </c>
      <c r="H29" s="34">
        <f t="shared" si="1"/>
        <v>34.498705013068005</v>
      </c>
      <c r="I29" s="27">
        <v>35.143120000000003</v>
      </c>
      <c r="J29" s="27">
        <f t="shared" si="3"/>
        <v>22.451759652810058</v>
      </c>
      <c r="M29" s="127" t="s">
        <v>15</v>
      </c>
      <c r="N29" s="128" t="s">
        <v>237</v>
      </c>
      <c r="O29" s="127" t="s">
        <v>238</v>
      </c>
    </row>
    <row r="30" spans="2:15" s="25" customFormat="1" x14ac:dyDescent="0.25">
      <c r="B30" s="159">
        <v>20</v>
      </c>
      <c r="C30" s="161"/>
      <c r="D30" s="45">
        <v>64.494109284869964</v>
      </c>
      <c r="E30" s="45">
        <v>24.529456975508758</v>
      </c>
      <c r="F30" s="61">
        <f t="shared" si="0"/>
        <v>22.450929687308015</v>
      </c>
      <c r="G30" s="34">
        <f t="shared" si="2"/>
        <v>0.3481082216073787</v>
      </c>
      <c r="H30" s="34">
        <f t="shared" si="1"/>
        <v>34.810822160737871</v>
      </c>
      <c r="I30" s="27">
        <v>35.404409999999999</v>
      </c>
      <c r="J30" s="27">
        <f t="shared" si="3"/>
        <v>22.833758877063428</v>
      </c>
      <c r="M30" s="127" t="s">
        <v>239</v>
      </c>
      <c r="N30" s="127">
        <v>930</v>
      </c>
      <c r="O30" s="127"/>
    </row>
    <row r="31" spans="2:15" s="25" customFormat="1" x14ac:dyDescent="0.25">
      <c r="B31" s="159">
        <v>21</v>
      </c>
      <c r="C31" s="161"/>
      <c r="D31" s="45">
        <v>64.926599621061627</v>
      </c>
      <c r="E31" s="45">
        <v>24.69387555862237</v>
      </c>
      <c r="F31" s="61">
        <f t="shared" si="0"/>
        <v>22.79467037153621</v>
      </c>
      <c r="G31" s="34">
        <f t="shared" si="2"/>
        <v>0.35108369304068432</v>
      </c>
      <c r="H31" s="34">
        <f t="shared" si="1"/>
        <v>35.108369304068432</v>
      </c>
      <c r="I31" s="27">
        <v>37.69746</v>
      </c>
      <c r="J31" s="27">
        <f t="shared" si="3"/>
        <v>24.475678921509857</v>
      </c>
      <c r="M31" s="127">
        <v>1</v>
      </c>
      <c r="N31" s="127">
        <v>3800</v>
      </c>
      <c r="O31" s="127">
        <f>3.52*1000</f>
        <v>3520</v>
      </c>
    </row>
    <row r="32" spans="2:15" s="25" customFormat="1" x14ac:dyDescent="0.25">
      <c r="B32" s="159">
        <v>22</v>
      </c>
      <c r="C32" s="161"/>
      <c r="D32" s="45">
        <v>65.325791514810419</v>
      </c>
      <c r="E32" s="45">
        <v>24.845681620759532</v>
      </c>
      <c r="F32" s="61">
        <f t="shared" si="0"/>
        <v>23.148656595379133</v>
      </c>
      <c r="G32" s="34">
        <f t="shared" si="2"/>
        <v>0.35435707794112159</v>
      </c>
      <c r="H32" s="34">
        <f t="shared" si="1"/>
        <v>35.435707794112162</v>
      </c>
      <c r="I32" s="27">
        <v>34.021729999999998</v>
      </c>
      <c r="J32" s="27">
        <f t="shared" si="3"/>
        <v>22.224964409531712</v>
      </c>
      <c r="M32" s="127">
        <v>5</v>
      </c>
      <c r="N32" s="127">
        <v>5500</v>
      </c>
      <c r="O32" s="127">
        <f>5.89*1000</f>
        <v>5890</v>
      </c>
    </row>
    <row r="33" spans="2:15" s="25" customFormat="1" x14ac:dyDescent="0.25">
      <c r="B33" s="159">
        <v>23</v>
      </c>
      <c r="C33" s="161"/>
      <c r="D33" s="45">
        <v>65.780304330831555</v>
      </c>
      <c r="E33" s="45">
        <v>25.01854287793514</v>
      </c>
      <c r="F33" s="61">
        <f t="shared" si="0"/>
        <v>23.560632511533008</v>
      </c>
      <c r="G33" s="34">
        <f t="shared" si="2"/>
        <v>0.35817153403606289</v>
      </c>
      <c r="H33" s="34">
        <f t="shared" si="1"/>
        <v>35.817153403606291</v>
      </c>
      <c r="I33" s="27">
        <v>39.830179999999999</v>
      </c>
      <c r="J33" s="27">
        <f t="shared" si="3"/>
        <v>26.200413619518002</v>
      </c>
      <c r="M33" s="127">
        <v>10</v>
      </c>
      <c r="N33" s="127">
        <v>8600</v>
      </c>
      <c r="O33" s="127">
        <f>10.57*1000</f>
        <v>10570</v>
      </c>
    </row>
    <row r="34" spans="2:15" s="25" customFormat="1" x14ac:dyDescent="0.25">
      <c r="B34" s="159">
        <v>24</v>
      </c>
      <c r="C34" s="161"/>
      <c r="D34" s="45">
        <v>66.442278786561701</v>
      </c>
      <c r="E34" s="45">
        <v>25.270313180366859</v>
      </c>
      <c r="F34" s="61">
        <f t="shared" si="0"/>
        <v>24.115013788679665</v>
      </c>
      <c r="G34" s="34">
        <f t="shared" si="2"/>
        <v>0.36294681984262483</v>
      </c>
      <c r="H34" s="34">
        <f t="shared" si="1"/>
        <v>36.294681984262482</v>
      </c>
      <c r="I34" s="27">
        <v>40.644829999999999</v>
      </c>
      <c r="J34" s="27">
        <f t="shared" si="3"/>
        <v>27.005351260924066</v>
      </c>
      <c r="M34" s="127">
        <v>15</v>
      </c>
      <c r="N34" s="127">
        <v>18700</v>
      </c>
      <c r="O34" s="127">
        <f>18.67*1000</f>
        <v>18670</v>
      </c>
    </row>
    <row r="35" spans="2:15" s="25" customFormat="1" x14ac:dyDescent="0.25">
      <c r="B35" s="104">
        <v>25</v>
      </c>
      <c r="C35" s="162"/>
      <c r="D35" s="90">
        <v>67.078246029899788</v>
      </c>
      <c r="E35" s="90">
        <v>25.512193206702584</v>
      </c>
      <c r="F35" s="88">
        <f t="shared" si="0"/>
        <v>24.679721568386483</v>
      </c>
      <c r="G35" s="91">
        <f t="shared" si="2"/>
        <v>0.3679243723424972</v>
      </c>
      <c r="H35" s="91">
        <f t="shared" si="1"/>
        <v>36.792437234249718</v>
      </c>
      <c r="I35" s="89">
        <v>36.968580000000003</v>
      </c>
      <c r="J35" s="89">
        <f t="shared" si="3"/>
        <v>24.797875046160328</v>
      </c>
      <c r="M35" s="127" t="s">
        <v>240</v>
      </c>
      <c r="N35" s="127">
        <v>22500</v>
      </c>
      <c r="O35" s="127">
        <f>24.15*1000</f>
        <v>24150</v>
      </c>
    </row>
    <row r="36" spans="2:15" ht="69" customHeight="1" x14ac:dyDescent="0.25">
      <c r="B36" s="159">
        <v>26</v>
      </c>
      <c r="C36" s="30" t="s">
        <v>77</v>
      </c>
      <c r="D36" s="163">
        <v>67.688269215733612</v>
      </c>
      <c r="E36" s="163">
        <v>25.744206137163623</v>
      </c>
      <c r="F36" s="163">
        <f t="shared" ref="F36:F70" si="4">D36 * (1.9224 * E36 - 0.018517 * (E36^2) + 0.05537 * B36 - 0.794894) * ($G$5 / $G$6) / 100</f>
        <v>25.09049542399929</v>
      </c>
      <c r="G36" s="164">
        <f>F36/D36</f>
        <v>0.37067716038109599</v>
      </c>
      <c r="H36" s="164">
        <f>G36*100</f>
        <v>37.067716038109602</v>
      </c>
      <c r="I36" s="165">
        <v>32.826729999999998</v>
      </c>
      <c r="J36" s="166">
        <f>I36/100*D36</f>
        <v>22.219845377121988</v>
      </c>
    </row>
    <row r="37" spans="2:15" x14ac:dyDescent="0.25">
      <c r="B37" s="159">
        <v>27</v>
      </c>
      <c r="C37" s="161"/>
      <c r="D37" s="45">
        <v>68.272411498951101</v>
      </c>
      <c r="E37" s="45">
        <v>25.966375753402669</v>
      </c>
      <c r="F37" s="45">
        <f t="shared" si="4"/>
        <v>25.487310892572715</v>
      </c>
      <c r="G37" s="34">
        <f t="shared" ref="G37:G70" si="5">F37/D37</f>
        <v>0.37331786490307711</v>
      </c>
      <c r="H37" s="34">
        <f t="shared" ref="H37:H70" si="6">G37*100</f>
        <v>37.331786490307714</v>
      </c>
      <c r="I37" s="7">
        <v>38.35568</v>
      </c>
      <c r="J37" s="7">
        <f t="shared" ref="J37:J70" si="7">I37/100*D37</f>
        <v>26.186347682820887</v>
      </c>
    </row>
    <row r="38" spans="2:15" x14ac:dyDescent="0.25">
      <c r="B38" s="159">
        <v>28</v>
      </c>
      <c r="C38" s="161"/>
      <c r="D38" s="45">
        <v>68.830736034440065</v>
      </c>
      <c r="E38" s="45">
        <v>26.178726007807487</v>
      </c>
      <c r="F38" s="45">
        <f t="shared" si="4"/>
        <v>25.869969364711764</v>
      </c>
      <c r="G38" s="34">
        <f t="shared" si="5"/>
        <v>0.37584908799707584</v>
      </c>
      <c r="H38" s="34">
        <f t="shared" si="6"/>
        <v>37.584908799707584</v>
      </c>
      <c r="I38" s="7">
        <v>43.311619999999998</v>
      </c>
      <c r="J38" s="7">
        <f t="shared" si="7"/>
        <v>29.811706834439747</v>
      </c>
    </row>
    <row r="39" spans="2:15" x14ac:dyDescent="0.25">
      <c r="B39" s="159">
        <v>29</v>
      </c>
      <c r="C39" s="161"/>
      <c r="D39" s="45">
        <v>69.363305977088416</v>
      </c>
      <c r="E39" s="45">
        <v>26.381280901209532</v>
      </c>
      <c r="F39" s="45">
        <f t="shared" si="4"/>
        <v>26.238288022770821</v>
      </c>
      <c r="G39" s="34">
        <f t="shared" si="5"/>
        <v>0.37827331977858236</v>
      </c>
      <c r="H39" s="34">
        <f t="shared" si="6"/>
        <v>37.827331977858236</v>
      </c>
      <c r="I39" s="7">
        <v>37.782969999999999</v>
      </c>
      <c r="J39" s="7">
        <f t="shared" si="7"/>
        <v>26.207517088331521</v>
      </c>
    </row>
    <row r="40" spans="2:15" x14ac:dyDescent="0.25">
      <c r="B40" s="159">
        <v>30</v>
      </c>
      <c r="C40" s="161"/>
      <c r="D40" s="45">
        <v>69.87018448178398</v>
      </c>
      <c r="E40" s="45">
        <v>26.574064448178611</v>
      </c>
      <c r="F40" s="45">
        <f t="shared" si="4"/>
        <v>26.592098853820989</v>
      </c>
      <c r="G40" s="34">
        <f t="shared" si="5"/>
        <v>0.38059293890592027</v>
      </c>
      <c r="H40" s="34">
        <f t="shared" si="6"/>
        <v>38.059293890592031</v>
      </c>
      <c r="I40" s="7">
        <v>38.997120000000002</v>
      </c>
      <c r="J40" s="7">
        <f t="shared" si="7"/>
        <v>27.247359686582676</v>
      </c>
    </row>
    <row r="41" spans="2:15" x14ac:dyDescent="0.25">
      <c r="B41" s="159">
        <v>31</v>
      </c>
      <c r="C41" s="161"/>
      <c r="D41" s="45">
        <v>70.351434703414611</v>
      </c>
      <c r="E41" s="45">
        <v>26.757100667178864</v>
      </c>
      <c r="F41" s="45">
        <f t="shared" si="4"/>
        <v>26.931247727395462</v>
      </c>
      <c r="G41" s="34">
        <f t="shared" si="5"/>
        <v>0.38281021333724574</v>
      </c>
      <c r="H41" s="34">
        <f t="shared" si="6"/>
        <v>38.281021333724574</v>
      </c>
      <c r="I41" s="7">
        <v>40.482700000000001</v>
      </c>
      <c r="J41" s="7">
        <f t="shared" si="7"/>
        <v>28.480160256679227</v>
      </c>
    </row>
    <row r="42" spans="2:15" x14ac:dyDescent="0.25">
      <c r="B42" s="159">
        <v>32</v>
      </c>
      <c r="C42" s="161"/>
      <c r="D42" s="45">
        <v>70.807119796868221</v>
      </c>
      <c r="E42" s="45">
        <v>26.930413577777752</v>
      </c>
      <c r="F42" s="45">
        <f t="shared" si="4"/>
        <v>27.255593525880105</v>
      </c>
      <c r="G42" s="34">
        <f t="shared" si="5"/>
        <v>0.38492730115376916</v>
      </c>
      <c r="H42" s="34">
        <f t="shared" si="6"/>
        <v>38.492730115376915</v>
      </c>
      <c r="I42" s="7">
        <v>39.209499999999998</v>
      </c>
      <c r="J42" s="7">
        <f t="shared" si="7"/>
        <v>27.763117636753044</v>
      </c>
    </row>
    <row r="43" spans="2:15" x14ac:dyDescent="0.25">
      <c r="B43" s="159">
        <v>33</v>
      </c>
      <c r="C43" s="161"/>
      <c r="D43" s="45">
        <v>71.237302917032622</v>
      </c>
      <c r="E43" s="45">
        <v>27.094027199855198</v>
      </c>
      <c r="F43" s="45">
        <f t="shared" si="4"/>
        <v>27.565007323597818</v>
      </c>
      <c r="G43" s="34">
        <f t="shared" si="5"/>
        <v>0.38694625140008088</v>
      </c>
      <c r="H43" s="34">
        <f t="shared" si="6"/>
        <v>38.694625140008085</v>
      </c>
      <c r="I43" s="7">
        <v>39.624139999999997</v>
      </c>
      <c r="J43" s="7">
        <f t="shared" si="7"/>
        <v>28.227168640069088</v>
      </c>
    </row>
    <row r="44" spans="2:15" x14ac:dyDescent="0.25">
      <c r="B44" s="159">
        <v>34</v>
      </c>
      <c r="C44" s="161"/>
      <c r="D44" s="45">
        <v>71.64204721879571</v>
      </c>
      <c r="E44" s="45">
        <v>27.24796555337959</v>
      </c>
      <c r="F44" s="45">
        <f t="shared" si="4"/>
        <v>27.85937161296183</v>
      </c>
      <c r="G44" s="34">
        <f t="shared" si="5"/>
        <v>0.38886900492777599</v>
      </c>
      <c r="H44" s="34">
        <f t="shared" si="6"/>
        <v>38.886900492777599</v>
      </c>
      <c r="I44" s="7">
        <v>38.714199999999998</v>
      </c>
      <c r="J44" s="7">
        <f t="shared" si="7"/>
        <v>27.735645444379006</v>
      </c>
    </row>
    <row r="45" spans="2:15" x14ac:dyDescent="0.25">
      <c r="B45" s="159">
        <v>35</v>
      </c>
      <c r="C45" s="161"/>
      <c r="D45" s="45">
        <v>72.021415857045355</v>
      </c>
      <c r="E45" s="45">
        <v>27.392252658344347</v>
      </c>
      <c r="F45" s="45">
        <f t="shared" si="4"/>
        <v>28.138579576736596</v>
      </c>
      <c r="G45" s="34">
        <f t="shared" si="5"/>
        <v>0.39069739523850244</v>
      </c>
      <c r="H45" s="34">
        <f t="shared" si="6"/>
        <v>39.069739523850245</v>
      </c>
      <c r="I45" s="7">
        <v>39.49877</v>
      </c>
      <c r="J45" s="7">
        <f t="shared" si="7"/>
        <v>28.447573400117875</v>
      </c>
    </row>
    <row r="46" spans="2:15" x14ac:dyDescent="0.25">
      <c r="B46" s="159">
        <v>36</v>
      </c>
      <c r="C46" s="161"/>
      <c r="D46" s="45">
        <v>72.375471986669368</v>
      </c>
      <c r="E46" s="45">
        <v>27.52691253474994</v>
      </c>
      <c r="F46" s="45">
        <f t="shared" si="4"/>
        <v>28.402534405636608</v>
      </c>
      <c r="G46" s="34">
        <f t="shared" si="5"/>
        <v>0.39243314932534035</v>
      </c>
      <c r="H46" s="34">
        <f t="shared" si="6"/>
        <v>39.243314932534034</v>
      </c>
      <c r="I46" s="7">
        <v>40.857080000000003</v>
      </c>
      <c r="J46" s="7">
        <f t="shared" si="7"/>
        <v>29.570504489971093</v>
      </c>
    </row>
    <row r="47" spans="2:15" x14ac:dyDescent="0.25">
      <c r="B47" s="159">
        <v>37</v>
      </c>
      <c r="C47" s="161"/>
      <c r="D47" s="45">
        <v>72.70427876255566</v>
      </c>
      <c r="E47" s="45">
        <v>27.65196920259886</v>
      </c>
      <c r="F47" s="45">
        <f t="shared" si="4"/>
        <v>28.651148660551193</v>
      </c>
      <c r="G47" s="34">
        <f t="shared" si="5"/>
        <v>0.39407788851221204</v>
      </c>
      <c r="H47" s="34">
        <f t="shared" si="6"/>
        <v>39.407788851221206</v>
      </c>
      <c r="I47" s="7">
        <v>40.86589</v>
      </c>
      <c r="J47" s="7">
        <f t="shared" si="7"/>
        <v>29.711250584399355</v>
      </c>
    </row>
    <row r="48" spans="2:15" x14ac:dyDescent="0.25">
      <c r="B48" s="159">
        <v>38</v>
      </c>
      <c r="C48" s="161"/>
      <c r="D48" s="45">
        <v>73.0078993395921</v>
      </c>
      <c r="E48" s="45">
        <v>27.767446681894178</v>
      </c>
      <c r="F48" s="45">
        <f t="shared" si="4"/>
        <v>28.884343678702006</v>
      </c>
      <c r="G48" s="34">
        <f t="shared" si="5"/>
        <v>0.39563312929123079</v>
      </c>
      <c r="H48" s="34">
        <f t="shared" si="6"/>
        <v>39.563312929123079</v>
      </c>
      <c r="I48" s="7">
        <v>38.62482</v>
      </c>
      <c r="J48" s="7">
        <f t="shared" si="7"/>
        <v>28.199169705698637</v>
      </c>
    </row>
    <row r="49" spans="2:10" x14ac:dyDescent="0.25">
      <c r="B49" s="159">
        <v>39</v>
      </c>
      <c r="C49" s="161"/>
      <c r="D49" s="45">
        <v>73.286396872666501</v>
      </c>
      <c r="E49" s="45">
        <v>27.87336899263909</v>
      </c>
      <c r="F49" s="45">
        <f t="shared" si="4"/>
        <v>29.102049023049599</v>
      </c>
      <c r="G49" s="34">
        <f t="shared" si="5"/>
        <v>0.39710028415796955</v>
      </c>
      <c r="H49" s="34">
        <f t="shared" si="6"/>
        <v>39.710028415796955</v>
      </c>
      <c r="I49" s="7">
        <v>39.144539999999999</v>
      </c>
      <c r="J49" s="7">
        <f t="shared" si="7"/>
        <v>28.687622938379686</v>
      </c>
    </row>
    <row r="50" spans="2:10" x14ac:dyDescent="0.25">
      <c r="B50" s="159">
        <v>40</v>
      </c>
      <c r="C50" s="161"/>
      <c r="D50" s="45">
        <v>73.539834516666772</v>
      </c>
      <c r="E50" s="45">
        <v>27.96976015483688</v>
      </c>
      <c r="F50" s="45">
        <f t="shared" si="4"/>
        <v>29.304201974270459</v>
      </c>
      <c r="G50" s="34">
        <f t="shared" si="5"/>
        <v>0.39848066244463837</v>
      </c>
      <c r="H50" s="34">
        <f t="shared" si="6"/>
        <v>39.848066244463837</v>
      </c>
      <c r="I50" s="7">
        <v>40.36956</v>
      </c>
      <c r="J50" s="7">
        <f t="shared" si="7"/>
        <v>29.687707619106501</v>
      </c>
    </row>
    <row r="51" spans="2:10" x14ac:dyDescent="0.25">
      <c r="B51" s="159">
        <v>41</v>
      </c>
      <c r="C51" s="161"/>
      <c r="D51" s="45">
        <v>73.76827542648077</v>
      </c>
      <c r="E51" s="45">
        <v>28.056644188490804</v>
      </c>
      <c r="F51" s="45">
        <f t="shared" si="4"/>
        <v>29.490747064630785</v>
      </c>
      <c r="G51" s="34">
        <f t="shared" si="5"/>
        <v>0.39977547115117218</v>
      </c>
      <c r="H51" s="34">
        <f t="shared" si="6"/>
        <v>39.977547115117218</v>
      </c>
      <c r="I51" s="7">
        <v>41.15457</v>
      </c>
      <c r="J51" s="7">
        <f t="shared" si="7"/>
        <v>30.359016548183828</v>
      </c>
    </row>
    <row r="52" spans="2:10" x14ac:dyDescent="0.25">
      <c r="B52" s="159">
        <v>42</v>
      </c>
      <c r="C52" s="161"/>
      <c r="D52" s="45">
        <v>73.971782756996333</v>
      </c>
      <c r="E52" s="45">
        <v>28.134045113604138</v>
      </c>
      <c r="F52" s="45">
        <f t="shared" si="4"/>
        <v>29.661635653088052</v>
      </c>
      <c r="G52" s="34">
        <f t="shared" si="5"/>
        <v>0.40098581577422671</v>
      </c>
      <c r="H52" s="34">
        <f t="shared" si="6"/>
        <v>40.098581577422671</v>
      </c>
      <c r="I52" s="7">
        <v>40.477989999999998</v>
      </c>
      <c r="J52" s="7">
        <f t="shared" si="7"/>
        <v>29.942290827198697</v>
      </c>
    </row>
    <row r="53" spans="2:10" x14ac:dyDescent="0.25">
      <c r="B53" s="159">
        <v>43</v>
      </c>
      <c r="C53" s="161"/>
      <c r="D53" s="45">
        <v>74.15041966310136</v>
      </c>
      <c r="E53" s="45">
        <v>28.201986950180167</v>
      </c>
      <c r="F53" s="45">
        <f t="shared" si="4"/>
        <v>29.816825540955406</v>
      </c>
      <c r="G53" s="34">
        <f t="shared" si="5"/>
        <v>0.4021127011340816</v>
      </c>
      <c r="H53" s="34">
        <f t="shared" si="6"/>
        <v>40.211270113408162</v>
      </c>
      <c r="I53" s="7">
        <v>41.418590000000002</v>
      </c>
      <c r="J53" s="7">
        <f t="shared" si="7"/>
        <v>30.712058303539333</v>
      </c>
    </row>
    <row r="54" spans="2:10" x14ac:dyDescent="0.25">
      <c r="B54" s="159">
        <v>44</v>
      </c>
      <c r="C54" s="161"/>
      <c r="D54" s="45">
        <v>74.304249299683661</v>
      </c>
      <c r="E54" s="45">
        <v>28.260493718222154</v>
      </c>
      <c r="F54" s="45">
        <f t="shared" si="4"/>
        <v>29.956280627468811</v>
      </c>
      <c r="G54" s="34">
        <f t="shared" si="5"/>
        <v>0.40315703219945381</v>
      </c>
      <c r="H54" s="34">
        <f t="shared" si="6"/>
        <v>40.315703219945384</v>
      </c>
      <c r="I54" s="7">
        <v>39.056959999999997</v>
      </c>
      <c r="J54" s="7">
        <f t="shared" si="7"/>
        <v>29.020980927277726</v>
      </c>
    </row>
    <row r="55" spans="2:10" x14ac:dyDescent="0.25">
      <c r="B55" s="159">
        <v>45</v>
      </c>
      <c r="C55" s="161"/>
      <c r="D55" s="45">
        <v>74.433334821631163</v>
      </c>
      <c r="E55" s="45">
        <v>28.309589437733397</v>
      </c>
      <c r="F55" s="45">
        <f t="shared" si="4"/>
        <v>30.079970604600835</v>
      </c>
      <c r="G55" s="34">
        <f t="shared" si="5"/>
        <v>0.40411961491021703</v>
      </c>
      <c r="H55" s="34">
        <f t="shared" si="6"/>
        <v>40.4119614910217</v>
      </c>
      <c r="I55" s="7">
        <v>41.49635</v>
      </c>
      <c r="J55" s="7">
        <f t="shared" si="7"/>
        <v>30.887117134255941</v>
      </c>
    </row>
    <row r="56" spans="2:10" x14ac:dyDescent="0.25">
      <c r="B56" s="159">
        <v>46</v>
      </c>
      <c r="C56" s="161"/>
      <c r="D56" s="45">
        <v>74.537739383831678</v>
      </c>
      <c r="E56" s="45">
        <v>28.349298128717159</v>
      </c>
      <c r="F56" s="45">
        <f t="shared" si="4"/>
        <v>30.187870690469428</v>
      </c>
      <c r="G56" s="34">
        <f t="shared" si="5"/>
        <v>0.40500115699802958</v>
      </c>
      <c r="H56" s="34">
        <f t="shared" si="6"/>
        <v>40.500115699802954</v>
      </c>
      <c r="I56" s="7">
        <v>43.82358</v>
      </c>
      <c r="J56" s="7">
        <f t="shared" si="7"/>
        <v>32.665105849064986</v>
      </c>
    </row>
    <row r="57" spans="2:10" x14ac:dyDescent="0.25">
      <c r="B57" s="159">
        <v>47</v>
      </c>
      <c r="C57" s="161"/>
      <c r="D57" s="45">
        <v>74.617526141173087</v>
      </c>
      <c r="E57" s="45">
        <v>28.37964381117672</v>
      </c>
      <c r="F57" s="45">
        <f t="shared" si="4"/>
        <v>30.279961400694901</v>
      </c>
      <c r="G57" s="34">
        <f t="shared" si="5"/>
        <v>0.40580226880487225</v>
      </c>
      <c r="H57" s="34">
        <f t="shared" si="6"/>
        <v>40.580226880487224</v>
      </c>
      <c r="I57" s="7">
        <v>43.26643</v>
      </c>
      <c r="J57" s="7">
        <f t="shared" si="7"/>
        <v>32.284339715602357</v>
      </c>
    </row>
    <row r="58" spans="2:10" x14ac:dyDescent="0.25">
      <c r="B58" s="159">
        <v>48</v>
      </c>
      <c r="C58" s="161"/>
      <c r="D58" s="45">
        <v>74.672758248543275</v>
      </c>
      <c r="E58" s="45">
        <v>28.400650505115365</v>
      </c>
      <c r="F58" s="45">
        <f t="shared" si="4"/>
        <v>30.356228357061759</v>
      </c>
      <c r="G58" s="34">
        <f t="shared" si="5"/>
        <v>0.40652346409949242</v>
      </c>
      <c r="H58" s="34">
        <f t="shared" si="6"/>
        <v>40.652346409949239</v>
      </c>
      <c r="I58" s="7">
        <v>41.606229999999996</v>
      </c>
      <c r="J58" s="7">
        <f t="shared" si="7"/>
        <v>31.068519544232881</v>
      </c>
    </row>
    <row r="59" spans="2:10" x14ac:dyDescent="0.25">
      <c r="B59" s="159">
        <v>49</v>
      </c>
      <c r="C59" s="161"/>
      <c r="D59" s="45">
        <v>74.703498860830067</v>
      </c>
      <c r="E59" s="45">
        <v>28.41234223053636</v>
      </c>
      <c r="F59" s="45">
        <f t="shared" si="4"/>
        <v>30.416662132847051</v>
      </c>
      <c r="G59" s="34">
        <f t="shared" si="5"/>
        <v>0.40716516089175686</v>
      </c>
      <c r="H59" s="34">
        <f t="shared" si="6"/>
        <v>40.716516089175684</v>
      </c>
      <c r="I59" s="7">
        <v>42.264319999999998</v>
      </c>
      <c r="J59" s="7">
        <f t="shared" si="7"/>
        <v>31.572925809737573</v>
      </c>
    </row>
    <row r="60" spans="2:10" x14ac:dyDescent="0.25">
      <c r="B60" s="159">
        <v>50</v>
      </c>
      <c r="C60" s="161"/>
      <c r="D60" s="45">
        <v>74.709811132921374</v>
      </c>
      <c r="E60" s="45">
        <v>28.414743007443004</v>
      </c>
      <c r="F60" s="45">
        <f t="shared" si="4"/>
        <v>30.46125813418125</v>
      </c>
      <c r="G60" s="34">
        <f t="shared" si="5"/>
        <v>0.40772768224491329</v>
      </c>
      <c r="H60" s="34">
        <f t="shared" si="6"/>
        <v>40.77276822449133</v>
      </c>
      <c r="I60" s="7">
        <v>42.413029999999999</v>
      </c>
      <c r="J60" s="7">
        <f t="shared" si="7"/>
        <v>31.686694608749285</v>
      </c>
    </row>
    <row r="61" spans="2:10" x14ac:dyDescent="0.25">
      <c r="B61" s="159">
        <v>51</v>
      </c>
      <c r="C61" s="161"/>
      <c r="D61" s="45">
        <v>74.69175821970498</v>
      </c>
      <c r="E61" s="45">
        <v>28.407876855838541</v>
      </c>
      <c r="F61" s="45">
        <f t="shared" si="4"/>
        <v>30.490016516811316</v>
      </c>
      <c r="G61" s="34">
        <f t="shared" si="5"/>
        <v>0.40821125708575867</v>
      </c>
      <c r="H61" s="34">
        <f t="shared" si="6"/>
        <v>40.82112570857587</v>
      </c>
      <c r="I61" s="7">
        <v>42.445520000000002</v>
      </c>
      <c r="J61" s="7">
        <f t="shared" si="7"/>
        <v>31.703305173496524</v>
      </c>
    </row>
    <row r="62" spans="2:10" x14ac:dyDescent="0.25">
      <c r="B62" s="159">
        <v>52</v>
      </c>
      <c r="C62" s="161"/>
      <c r="D62" s="45">
        <v>74.649403276068824</v>
      </c>
      <c r="E62" s="45">
        <v>28.391767795726278</v>
      </c>
      <c r="F62" s="45">
        <f t="shared" si="4"/>
        <v>30.502942137641011</v>
      </c>
      <c r="G62" s="34">
        <f t="shared" si="5"/>
        <v>0.40861602101271816</v>
      </c>
      <c r="H62" s="34">
        <f t="shared" si="6"/>
        <v>40.861602101271814</v>
      </c>
      <c r="I62" s="7">
        <v>42.270159999999997</v>
      </c>
      <c r="J62" s="7">
        <f t="shared" si="7"/>
        <v>31.554422203839529</v>
      </c>
    </row>
    <row r="63" spans="2:10" x14ac:dyDescent="0.25">
      <c r="B63" s="159">
        <v>53</v>
      </c>
      <c r="C63" s="161"/>
      <c r="D63" s="45">
        <v>74.582809456900748</v>
      </c>
      <c r="E63" s="45">
        <v>28.366439847109483</v>
      </c>
      <c r="F63" s="45">
        <f t="shared" si="4"/>
        <v>30.50004454042638</v>
      </c>
      <c r="G63" s="34">
        <f t="shared" si="5"/>
        <v>0.40894201710182926</v>
      </c>
      <c r="H63" s="34">
        <f t="shared" si="6"/>
        <v>40.894201710182926</v>
      </c>
      <c r="I63" s="7">
        <v>41.859920000000002</v>
      </c>
      <c r="J63" s="7">
        <f t="shared" si="7"/>
        <v>31.220304372411089</v>
      </c>
    </row>
    <row r="64" spans="2:10" x14ac:dyDescent="0.25">
      <c r="B64" s="159">
        <v>54</v>
      </c>
      <c r="C64" s="161"/>
      <c r="D64" s="45">
        <v>74.492039917088604</v>
      </c>
      <c r="E64" s="45">
        <v>28.331917029991434</v>
      </c>
      <c r="F64" s="45">
        <f t="shared" si="4"/>
        <v>30.481337975010153</v>
      </c>
      <c r="G64" s="34">
        <f t="shared" si="5"/>
        <v>0.40918919671063647</v>
      </c>
      <c r="H64" s="34">
        <f t="shared" si="6"/>
        <v>40.918919671063648</v>
      </c>
      <c r="I64" s="7">
        <v>42.618540000000003</v>
      </c>
      <c r="J64" s="7">
        <f t="shared" si="7"/>
        <v>31.747419828880378</v>
      </c>
    </row>
    <row r="65" spans="2:10" x14ac:dyDescent="0.25">
      <c r="B65" s="159">
        <v>55</v>
      </c>
      <c r="C65" s="161"/>
      <c r="D65" s="45">
        <v>74.377157811520263</v>
      </c>
      <c r="E65" s="45">
        <v>28.288223364375405</v>
      </c>
      <c r="F65" s="45">
        <f t="shared" si="4"/>
        <v>30.446841449481823</v>
      </c>
      <c r="G65" s="34">
        <f t="shared" si="5"/>
        <v>0.40935742027999245</v>
      </c>
      <c r="H65" s="34">
        <f t="shared" si="6"/>
        <v>40.935742027999247</v>
      </c>
      <c r="I65" s="7">
        <v>43.872889999999998</v>
      </c>
      <c r="J65" s="7">
        <f t="shared" si="7"/>
        <v>32.63140863177469</v>
      </c>
    </row>
    <row r="66" spans="2:10" x14ac:dyDescent="0.25">
      <c r="B66" s="159">
        <v>56</v>
      </c>
      <c r="C66" s="161"/>
      <c r="D66" s="45">
        <v>74.238226295083564</v>
      </c>
      <c r="E66" s="45">
        <v>28.235382870264672</v>
      </c>
      <c r="F66" s="45">
        <f t="shared" si="4"/>
        <v>30.396578814655186</v>
      </c>
      <c r="G66" s="34">
        <f t="shared" si="5"/>
        <v>0.40944645813376879</v>
      </c>
      <c r="H66" s="34">
        <f t="shared" si="6"/>
        <v>40.94464581337688</v>
      </c>
      <c r="I66" s="7">
        <v>42.027749999999997</v>
      </c>
      <c r="J66" s="7">
        <f t="shared" si="7"/>
        <v>31.20065615173198</v>
      </c>
    </row>
    <row r="67" spans="2:10" x14ac:dyDescent="0.25">
      <c r="B67" s="159">
        <v>57</v>
      </c>
      <c r="C67" s="161"/>
      <c r="D67" s="45">
        <v>74.075308522666418</v>
      </c>
      <c r="E67" s="45">
        <v>28.173419567662528</v>
      </c>
      <c r="F67" s="45">
        <f t="shared" si="4"/>
        <v>30.330578880259022</v>
      </c>
      <c r="G67" s="34">
        <f t="shared" si="5"/>
        <v>0.40945599127647403</v>
      </c>
      <c r="H67" s="34">
        <f t="shared" si="6"/>
        <v>40.945599127647405</v>
      </c>
      <c r="I67" s="7">
        <v>43.418199999999999</v>
      </c>
      <c r="J67" s="7">
        <f t="shared" si="7"/>
        <v>32.162165604988353</v>
      </c>
    </row>
    <row r="68" spans="2:10" x14ac:dyDescent="0.25">
      <c r="B68" s="159">
        <v>58</v>
      </c>
      <c r="C68" s="161"/>
      <c r="D68" s="45">
        <v>73.888467649156638</v>
      </c>
      <c r="E68" s="45">
        <v>28.10235747657223</v>
      </c>
      <c r="F68" s="45">
        <f t="shared" si="4"/>
        <v>30.248875562240826</v>
      </c>
      <c r="G68" s="34">
        <f t="shared" si="5"/>
        <v>0.40938561218877961</v>
      </c>
      <c r="H68" s="34">
        <f t="shared" si="6"/>
        <v>40.938561218877965</v>
      </c>
      <c r="I68" s="7">
        <v>44.618679999999998</v>
      </c>
      <c r="J68" s="7">
        <f t="shared" si="7"/>
        <v>32.968058937280723</v>
      </c>
    </row>
    <row r="69" spans="2:10" x14ac:dyDescent="0.25">
      <c r="B69" s="159">
        <v>59</v>
      </c>
      <c r="C69" s="161"/>
      <c r="D69" s="45">
        <v>73.67776682944212</v>
      </c>
      <c r="E69" s="45">
        <v>28.022220616997071</v>
      </c>
      <c r="F69" s="45">
        <f t="shared" si="4"/>
        <v>30.151508060588124</v>
      </c>
      <c r="G69" s="34">
        <f t="shared" si="5"/>
        <v>0.40923482562095492</v>
      </c>
      <c r="H69" s="34">
        <f t="shared" si="6"/>
        <v>40.923482562095494</v>
      </c>
      <c r="I69" s="7">
        <v>46.183570000000003</v>
      </c>
      <c r="J69" s="7">
        <f t="shared" si="7"/>
        <v>34.027023018112182</v>
      </c>
    </row>
    <row r="70" spans="2:10" s="25" customFormat="1" x14ac:dyDescent="0.25">
      <c r="B70" s="159">
        <v>60</v>
      </c>
      <c r="C70" s="161"/>
      <c r="D70" s="45">
        <v>73.443269218410734</v>
      </c>
      <c r="E70" s="45">
        <v>27.933033008940331</v>
      </c>
      <c r="F70" s="45">
        <f t="shared" si="4"/>
        <v>30.0385210670755</v>
      </c>
      <c r="G70" s="34">
        <f t="shared" si="5"/>
        <v>0.40900304938421034</v>
      </c>
      <c r="H70" s="34">
        <f t="shared" si="6"/>
        <v>40.900304938421037</v>
      </c>
      <c r="I70" s="7">
        <v>42.829740000000001</v>
      </c>
      <c r="J70" s="7">
        <f t="shared" si="7"/>
        <v>31.455561253745348</v>
      </c>
    </row>
    <row r="71" spans="2:10" s="2" customFormat="1" x14ac:dyDescent="0.25"/>
    <row r="72" spans="2:10" s="2" customFormat="1" x14ac:dyDescent="0.25"/>
    <row r="73" spans="2:10" s="2" customFormat="1" x14ac:dyDescent="0.25"/>
    <row r="74" spans="2:10" s="2" customFormat="1" x14ac:dyDescent="0.25"/>
    <row r="75" spans="2:10" s="2" customFormat="1" x14ac:dyDescent="0.25"/>
    <row r="76" spans="2:10" s="2" customFormat="1" x14ac:dyDescent="0.25"/>
    <row r="77" spans="2:10" s="2" customFormat="1" x14ac:dyDescent="0.25"/>
    <row r="78" spans="2:10" s="2" customFormat="1" x14ac:dyDescent="0.25"/>
    <row r="79" spans="2:10" s="2" customFormat="1" x14ac:dyDescent="0.25"/>
    <row r="80" spans="2:1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</sheetData>
  <mergeCells count="1">
    <mergeCell ref="B3:D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95326BAEF13489E46B5D57A1537E0" ma:contentTypeVersion="4" ma:contentTypeDescription="Create a new document." ma:contentTypeScope="" ma:versionID="893e936f232ea56af5237727ce13769d">
  <xsd:schema xmlns:xsd="http://www.w3.org/2001/XMLSchema" xmlns:xs="http://www.w3.org/2001/XMLSchema" xmlns:p="http://schemas.microsoft.com/office/2006/metadata/properties" xmlns:ns2="c4715ecd-bd88-4d1d-a8be-982733e2a50d" targetNamespace="http://schemas.microsoft.com/office/2006/metadata/properties" ma:root="true" ma:fieldsID="de962ebd360b46dfd741093f5507c41f" ns2:_="">
    <xsd:import namespace="c4715ecd-bd88-4d1d-a8be-982733e2a50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15ecd-bd88-4d1d-a8be-982733e2a50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06D7F7-9D87-4456-970E-CED420D63E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DFF0F1-F953-408D-9C25-A82BCB443E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715ecd-bd88-4d1d-a8be-982733e2a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EF8573-FB2F-4F48-97F5-423C504F36B7}">
  <ds:schemaRefs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c4715ecd-bd88-4d1d-a8be-982733e2a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BW</vt:lpstr>
      <vt:lpstr>BH</vt:lpstr>
      <vt:lpstr>BSA</vt:lpstr>
      <vt:lpstr>BMI </vt:lpstr>
      <vt:lpstr>HCT</vt:lpstr>
      <vt:lpstr>Pulmonary parameters</vt:lpstr>
      <vt:lpstr>Drinking Water</vt:lpstr>
      <vt:lpstr>Brain Vol</vt:lpstr>
      <vt:lpstr>Fat Vol</vt:lpstr>
      <vt:lpstr>Liver Vol</vt:lpstr>
      <vt:lpstr>Gut vol</vt:lpstr>
      <vt:lpstr>Rap perf tissue Vol</vt:lpstr>
      <vt:lpstr>Plasma Vol</vt:lpstr>
      <vt:lpstr>QC</vt:lpstr>
      <vt:lpstr>Brain flow</vt:lpstr>
      <vt:lpstr>Fat flow</vt:lpstr>
      <vt:lpstr>GUT flow </vt:lpstr>
      <vt:lpstr>Rap perf tissues flow</vt:lpstr>
      <vt:lpstr>Liver flow</vt:lpstr>
      <vt:lpstr>Mean liver weight</vt:lpstr>
      <vt:lpstr>'Brain Vol'!Print_Area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Marjory Moreau</cp:lastModifiedBy>
  <cp:lastPrinted>2017-01-19T15:34:14Z</cp:lastPrinted>
  <dcterms:created xsi:type="dcterms:W3CDTF">2016-10-17T13:29:27Z</dcterms:created>
  <dcterms:modified xsi:type="dcterms:W3CDTF">2017-06-16T18:03:29Z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0x010100B3095326BAEF13489E46B5D57A1537E0</vt:lpwstr>
  </property>
</Properties>
</file>