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hidePivotFieldList="1" autoCompressPictures="0"/>
  <mc:AlternateContent xmlns:mc="http://schemas.openxmlformats.org/markup-compatibility/2006">
    <mc:Choice Requires="x15">
      <x15ac:absPath xmlns:x15ac="http://schemas.microsoft.com/office/spreadsheetml/2010/11/ac" url="H:\DOD\OUTREACH\Publications\DRAFTS\shore-power\"/>
    </mc:Choice>
  </mc:AlternateContent>
  <xr:revisionPtr revIDLastSave="0" documentId="13_ncr:1_{67ECE4A9-6727-43DE-9EB6-13BE1A4252E7}" xr6:coauthVersionLast="47" xr6:coauthVersionMax="47" xr10:uidLastSave="{00000000-0000-0000-0000-000000000000}"/>
  <bookViews>
    <workbookView xWindow="-108" yWindow="-108" windowWidth="23256" windowHeight="12576" tabRatio="756" xr2:uid="{562DCFA1-E09A-0240-8579-753378806841}"/>
  </bookViews>
  <sheets>
    <sheet name="User Guide" sheetId="31" r:id="rId1"/>
    <sheet name="General Calculator" sheetId="8" r:id="rId2"/>
    <sheet name="User Entry Calculator" sheetId="22" r:id="rId3"/>
    <sheet name="eGRID2018 Region" sheetId="1" r:id="rId4"/>
    <sheet name="Vessel Fuel Emission Factors" sheetId="3" r:id="rId5"/>
    <sheet name="General Calculator - Example" sheetId="35" r:id="rId6"/>
    <sheet name="Vessel Type" sheetId="4" r:id="rId7"/>
    <sheet name="Engine Tier" sheetId="27" r:id="rId8"/>
    <sheet name="References" sheetId="20" r:id="rId9"/>
  </sheets>
  <definedNames>
    <definedName name="_Ref54877151" localSheetId="0">'User Guide'!$D$50</definedName>
    <definedName name="Abbr">'User Guide'!$B$140</definedName>
    <definedName name="Additional_Resources">'User Guide'!$B$134</definedName>
    <definedName name="AKGD">#REF!</definedName>
    <definedName name="AKMS">#REF!</definedName>
    <definedName name="AZNM">#REF!</definedName>
    <definedName name="CAMX">#REF!</definedName>
    <definedName name="EGRID_REGION">'eGRID2018 Region'!$A$2</definedName>
    <definedName name="EGRID18">'eGRID2018 Region'!$A$4:$A$32</definedName>
    <definedName name="ERCT">#REF!</definedName>
    <definedName name="Footnotes">'User Guide'!$B$128</definedName>
    <definedName name="FRCC">#REF!</definedName>
    <definedName name="Gen_calc">'User Guide'!$B$29</definedName>
    <definedName name="HIMS">#REF!</definedName>
    <definedName name="HIOA">#REF!</definedName>
    <definedName name="MROE">#REF!</definedName>
    <definedName name="MROW">#REF!</definedName>
    <definedName name="NEWE">#REF!</definedName>
    <definedName name="NWPP">#REF!</definedName>
    <definedName name="NYCW">#REF!</definedName>
    <definedName name="NYLI">#REF!</definedName>
    <definedName name="NYUP">#REF!</definedName>
    <definedName name="Plant">#REF!</definedName>
    <definedName name="PlantName">#REF!</definedName>
    <definedName name="RFCE">#REF!</definedName>
    <definedName name="RFCM">#REF!</definedName>
    <definedName name="RFCW">#REF!</definedName>
    <definedName name="RMPA">#REF!</definedName>
    <definedName name="SPNO">#REF!</definedName>
    <definedName name="SPSO">#REF!</definedName>
    <definedName name="SRMV">#REF!</definedName>
    <definedName name="SRMW">#REF!</definedName>
    <definedName name="SRSO">#REF!</definedName>
    <definedName name="SRTV">#REF!</definedName>
    <definedName name="SRVC">#REF!</definedName>
    <definedName name="Subregion">'eGRID2018 Region'!$A$5:$A$30</definedName>
    <definedName name="Title">'User Guide'!$B$2</definedName>
    <definedName name="user_defined">'User Guide'!$B$81</definedName>
    <definedName name="VesselType">'Vessel Type'!$A$6:$A$14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8" l="1"/>
  <c r="D9" i="3"/>
  <c r="D10" i="3"/>
  <c r="D11" i="3"/>
  <c r="D12" i="3"/>
  <c r="D13" i="3"/>
  <c r="D14" i="3"/>
  <c r="D15" i="3"/>
  <c r="D16" i="3"/>
  <c r="D17" i="3"/>
  <c r="D18" i="3"/>
  <c r="D19" i="3"/>
  <c r="D20" i="3"/>
  <c r="D8" i="3"/>
  <c r="I22" i="20"/>
  <c r="I19" i="20"/>
  <c r="I20" i="20"/>
  <c r="I21" i="20"/>
  <c r="I18" i="20"/>
  <c r="I11" i="20"/>
  <c r="I12" i="20"/>
  <c r="I13" i="20"/>
  <c r="I14" i="20"/>
  <c r="I15" i="20"/>
  <c r="I16" i="20"/>
  <c r="I17" i="20"/>
  <c r="I10" i="20"/>
  <c r="H22" i="20"/>
  <c r="F22" i="20"/>
  <c r="F19" i="20"/>
  <c r="F20" i="20"/>
  <c r="F21" i="20"/>
  <c r="F18" i="20"/>
  <c r="F11" i="20"/>
  <c r="F12" i="20"/>
  <c r="F13" i="20"/>
  <c r="F14" i="20"/>
  <c r="F15" i="20"/>
  <c r="F16" i="20"/>
  <c r="F17" i="20"/>
  <c r="F10" i="20"/>
  <c r="F5" i="22"/>
  <c r="F6" i="22"/>
  <c r="F7" i="22"/>
  <c r="AF24" i="35"/>
  <c r="AE24" i="35"/>
  <c r="AD24" i="35"/>
  <c r="AC24" i="35"/>
  <c r="AB24" i="35"/>
  <c r="Z24" i="35"/>
  <c r="Y24" i="35"/>
  <c r="X24" i="35"/>
  <c r="W24" i="35"/>
  <c r="V24" i="35"/>
  <c r="T24" i="35"/>
  <c r="S24" i="35"/>
  <c r="R24" i="35"/>
  <c r="Q24" i="35"/>
  <c r="P24" i="35"/>
  <c r="N24" i="35"/>
  <c r="M24" i="35"/>
  <c r="L24" i="35"/>
  <c r="K24" i="35"/>
  <c r="J24" i="35"/>
  <c r="H24" i="35"/>
  <c r="G24" i="35"/>
  <c r="F24" i="35"/>
  <c r="AF23" i="35"/>
  <c r="AE23" i="35"/>
  <c r="AD23" i="35"/>
  <c r="AC23" i="35"/>
  <c r="AB23" i="35"/>
  <c r="Z23" i="35"/>
  <c r="Y23" i="35"/>
  <c r="X23" i="35"/>
  <c r="W23" i="35"/>
  <c r="V23" i="35"/>
  <c r="T23" i="35"/>
  <c r="S23" i="35"/>
  <c r="R23" i="35"/>
  <c r="Q23" i="35"/>
  <c r="P23" i="35"/>
  <c r="N23" i="35"/>
  <c r="M23" i="35"/>
  <c r="L23" i="35"/>
  <c r="K23" i="35"/>
  <c r="J23" i="35"/>
  <c r="H23" i="35"/>
  <c r="G23" i="35"/>
  <c r="F23" i="35"/>
  <c r="AF22" i="35"/>
  <c r="AE22" i="35"/>
  <c r="AD22" i="35"/>
  <c r="AC22" i="35"/>
  <c r="AB22" i="35"/>
  <c r="Z22" i="35"/>
  <c r="Y22" i="35"/>
  <c r="X22" i="35"/>
  <c r="W22" i="35"/>
  <c r="V22" i="35"/>
  <c r="T22" i="35"/>
  <c r="S22" i="35"/>
  <c r="R22" i="35"/>
  <c r="Q22" i="35"/>
  <c r="P22" i="35"/>
  <c r="N22" i="35"/>
  <c r="M22" i="35"/>
  <c r="L22" i="35"/>
  <c r="K22" i="35"/>
  <c r="J22" i="35"/>
  <c r="H22" i="35"/>
  <c r="G22" i="35"/>
  <c r="F22" i="35"/>
  <c r="AF21" i="35"/>
  <c r="AE21" i="35"/>
  <c r="AD21" i="35"/>
  <c r="AC21" i="35"/>
  <c r="AB21" i="35"/>
  <c r="Z21" i="35"/>
  <c r="Y21" i="35"/>
  <c r="X21" i="35"/>
  <c r="W21" i="35"/>
  <c r="V21" i="35"/>
  <c r="T21" i="35"/>
  <c r="S21" i="35"/>
  <c r="R21" i="35"/>
  <c r="Q21" i="35"/>
  <c r="P21" i="35"/>
  <c r="N21" i="35"/>
  <c r="M21" i="35"/>
  <c r="L21" i="35"/>
  <c r="K21" i="35"/>
  <c r="J21" i="35"/>
  <c r="H21" i="35"/>
  <c r="G21" i="35"/>
  <c r="F21" i="35"/>
  <c r="AF20" i="35"/>
  <c r="AE20" i="35"/>
  <c r="AD20" i="35"/>
  <c r="AC20" i="35"/>
  <c r="AB20" i="35"/>
  <c r="Z20" i="35"/>
  <c r="Y20" i="35"/>
  <c r="X20" i="35"/>
  <c r="W20" i="35"/>
  <c r="V20" i="35"/>
  <c r="T20" i="35"/>
  <c r="S20" i="35"/>
  <c r="R20" i="35"/>
  <c r="Q20" i="35"/>
  <c r="P20" i="35"/>
  <c r="N20" i="35"/>
  <c r="M20" i="35"/>
  <c r="L20" i="35"/>
  <c r="K20" i="35"/>
  <c r="J20" i="35"/>
  <c r="H20" i="35"/>
  <c r="G20" i="35"/>
  <c r="F20" i="35"/>
  <c r="AF19" i="35"/>
  <c r="AE19" i="35"/>
  <c r="AD19" i="35"/>
  <c r="AC19" i="35"/>
  <c r="AB19" i="35"/>
  <c r="Z19" i="35"/>
  <c r="Y19" i="35"/>
  <c r="X19" i="35"/>
  <c r="W19" i="35"/>
  <c r="V19" i="35"/>
  <c r="T19" i="35"/>
  <c r="S19" i="35"/>
  <c r="R19" i="35"/>
  <c r="Q19" i="35"/>
  <c r="P19" i="35"/>
  <c r="N19" i="35"/>
  <c r="M19" i="35"/>
  <c r="L19" i="35"/>
  <c r="K19" i="35"/>
  <c r="J19" i="35"/>
  <c r="H19" i="35"/>
  <c r="G19" i="35"/>
  <c r="F19" i="35"/>
  <c r="AF18" i="35"/>
  <c r="AE18" i="35"/>
  <c r="AD18" i="35"/>
  <c r="AC18" i="35"/>
  <c r="AB18" i="35"/>
  <c r="Z18" i="35"/>
  <c r="Y18" i="35"/>
  <c r="X18" i="35"/>
  <c r="W18" i="35"/>
  <c r="V18" i="35"/>
  <c r="T18" i="35"/>
  <c r="S18" i="35"/>
  <c r="R18" i="35"/>
  <c r="Q18" i="35"/>
  <c r="P18" i="35"/>
  <c r="N18" i="35"/>
  <c r="M18" i="35"/>
  <c r="L18" i="35"/>
  <c r="K18" i="35"/>
  <c r="J18" i="35"/>
  <c r="H18" i="35"/>
  <c r="G18" i="35"/>
  <c r="F18" i="35"/>
  <c r="AF17" i="35"/>
  <c r="AE17" i="35"/>
  <c r="AD17" i="35"/>
  <c r="AC17" i="35"/>
  <c r="AB17" i="35"/>
  <c r="Z17" i="35"/>
  <c r="Y17" i="35"/>
  <c r="X17" i="35"/>
  <c r="W17" i="35"/>
  <c r="V17" i="35"/>
  <c r="T17" i="35"/>
  <c r="S17" i="35"/>
  <c r="R17" i="35"/>
  <c r="Q17" i="35"/>
  <c r="P17" i="35"/>
  <c r="N17" i="35"/>
  <c r="M17" i="35"/>
  <c r="L17" i="35"/>
  <c r="K17" i="35"/>
  <c r="J17" i="35"/>
  <c r="H17" i="35"/>
  <c r="G17" i="35"/>
  <c r="F17" i="35"/>
  <c r="AF16" i="35"/>
  <c r="AE16" i="35"/>
  <c r="AD16" i="35"/>
  <c r="AC16" i="35"/>
  <c r="AB16" i="35"/>
  <c r="Z16" i="35"/>
  <c r="Y16" i="35"/>
  <c r="X16" i="35"/>
  <c r="W16" i="35"/>
  <c r="V16" i="35"/>
  <c r="T16" i="35"/>
  <c r="S16" i="35"/>
  <c r="R16" i="35"/>
  <c r="Q16" i="35"/>
  <c r="P16" i="35"/>
  <c r="N16" i="35"/>
  <c r="M16" i="35"/>
  <c r="L16" i="35"/>
  <c r="K16" i="35"/>
  <c r="J16" i="35"/>
  <c r="H16" i="35"/>
  <c r="G16" i="35"/>
  <c r="F16" i="35"/>
  <c r="AF15" i="35"/>
  <c r="AE15" i="35"/>
  <c r="AD15" i="35"/>
  <c r="AC15" i="35"/>
  <c r="AB15" i="35"/>
  <c r="Z15" i="35"/>
  <c r="Y15" i="35"/>
  <c r="X15" i="35"/>
  <c r="W15" i="35"/>
  <c r="V15" i="35"/>
  <c r="T15" i="35"/>
  <c r="S15" i="35"/>
  <c r="R15" i="35"/>
  <c r="Q15" i="35"/>
  <c r="P15" i="35"/>
  <c r="N15" i="35"/>
  <c r="M15" i="35"/>
  <c r="L15" i="35"/>
  <c r="K15" i="35"/>
  <c r="J15" i="35"/>
  <c r="H15" i="35"/>
  <c r="G15" i="35"/>
  <c r="F15" i="35"/>
  <c r="AF14" i="35"/>
  <c r="AE14" i="35"/>
  <c r="AD14" i="35"/>
  <c r="AC14" i="35"/>
  <c r="AB14" i="35"/>
  <c r="Z14" i="35"/>
  <c r="Y14" i="35"/>
  <c r="X14" i="35"/>
  <c r="W14" i="35"/>
  <c r="V14" i="35"/>
  <c r="T14" i="35"/>
  <c r="S14" i="35"/>
  <c r="R14" i="35"/>
  <c r="Q14" i="35"/>
  <c r="P14" i="35"/>
  <c r="N14" i="35"/>
  <c r="M14" i="35"/>
  <c r="L14" i="35"/>
  <c r="K14" i="35"/>
  <c r="J14" i="35"/>
  <c r="H14" i="35"/>
  <c r="G14" i="35"/>
  <c r="F14" i="35"/>
  <c r="AF13" i="35"/>
  <c r="AE13" i="35"/>
  <c r="AD13" i="35"/>
  <c r="AC13" i="35"/>
  <c r="AB13" i="35"/>
  <c r="Z13" i="35"/>
  <c r="Y13" i="35"/>
  <c r="X13" i="35"/>
  <c r="W13" i="35"/>
  <c r="V13" i="35"/>
  <c r="T13" i="35"/>
  <c r="S13" i="35"/>
  <c r="R13" i="35"/>
  <c r="Q13" i="35"/>
  <c r="P13" i="35"/>
  <c r="N13" i="35"/>
  <c r="M13" i="35"/>
  <c r="L13" i="35"/>
  <c r="K13" i="35"/>
  <c r="J13" i="35"/>
  <c r="H13" i="35"/>
  <c r="G13" i="35"/>
  <c r="F13" i="35"/>
  <c r="AF12" i="35"/>
  <c r="AE12" i="35"/>
  <c r="AD12" i="35"/>
  <c r="AC12" i="35"/>
  <c r="AB12" i="35"/>
  <c r="Z12" i="35"/>
  <c r="Y12" i="35"/>
  <c r="X12" i="35"/>
  <c r="W12" i="35"/>
  <c r="V12" i="35"/>
  <c r="T12" i="35"/>
  <c r="S12" i="35"/>
  <c r="R12" i="35"/>
  <c r="Q12" i="35"/>
  <c r="P12" i="35"/>
  <c r="N12" i="35"/>
  <c r="M12" i="35"/>
  <c r="L12" i="35"/>
  <c r="K12" i="35"/>
  <c r="J12" i="35"/>
  <c r="H12" i="35"/>
  <c r="G12" i="35"/>
  <c r="F12" i="35"/>
  <c r="AF11" i="35"/>
  <c r="AE11" i="35"/>
  <c r="AD11" i="35"/>
  <c r="AC11" i="35"/>
  <c r="AB11" i="35"/>
  <c r="Z11" i="35"/>
  <c r="Y11" i="35"/>
  <c r="X11" i="35"/>
  <c r="W11" i="35"/>
  <c r="V11" i="35"/>
  <c r="T11" i="35"/>
  <c r="S11" i="35"/>
  <c r="R11" i="35"/>
  <c r="Q11" i="35"/>
  <c r="P11" i="35"/>
  <c r="N11" i="35"/>
  <c r="M11" i="35"/>
  <c r="L11" i="35"/>
  <c r="K11" i="35"/>
  <c r="J11" i="35"/>
  <c r="H11" i="35"/>
  <c r="G11" i="35"/>
  <c r="F11" i="35"/>
  <c r="AF10" i="35"/>
  <c r="AE10" i="35"/>
  <c r="AD10" i="35"/>
  <c r="AC10" i="35"/>
  <c r="AB10" i="35"/>
  <c r="Z10" i="35"/>
  <c r="Y10" i="35"/>
  <c r="X10" i="35"/>
  <c r="W10" i="35"/>
  <c r="V10" i="35"/>
  <c r="T10" i="35"/>
  <c r="S10" i="35"/>
  <c r="R10" i="35"/>
  <c r="Q10" i="35"/>
  <c r="P10" i="35"/>
  <c r="N10" i="35"/>
  <c r="M10" i="35"/>
  <c r="L10" i="35"/>
  <c r="K10" i="35"/>
  <c r="J10" i="35"/>
  <c r="H10" i="35"/>
  <c r="G10" i="35"/>
  <c r="F10" i="35"/>
  <c r="AF9" i="35"/>
  <c r="AE9" i="35"/>
  <c r="AD9" i="35"/>
  <c r="AC9" i="35"/>
  <c r="AB9" i="35"/>
  <c r="Z9" i="35"/>
  <c r="Y9" i="35"/>
  <c r="X9" i="35"/>
  <c r="W9" i="35"/>
  <c r="V9" i="35"/>
  <c r="T9" i="35"/>
  <c r="S9" i="35"/>
  <c r="R9" i="35"/>
  <c r="Q9" i="35"/>
  <c r="P9" i="35"/>
  <c r="N9" i="35"/>
  <c r="M9" i="35"/>
  <c r="L9" i="35"/>
  <c r="K9" i="35"/>
  <c r="J9" i="35"/>
  <c r="H9" i="35"/>
  <c r="G9" i="35"/>
  <c r="F9" i="35"/>
  <c r="AF8" i="35"/>
  <c r="AE8" i="35"/>
  <c r="AD8" i="35"/>
  <c r="AC8" i="35"/>
  <c r="AB8" i="35"/>
  <c r="Z8" i="35"/>
  <c r="Y8" i="35"/>
  <c r="X8" i="35"/>
  <c r="W8" i="35"/>
  <c r="V8" i="35"/>
  <c r="T8" i="35"/>
  <c r="S8" i="35"/>
  <c r="R8" i="35"/>
  <c r="Q8" i="35"/>
  <c r="P8" i="35"/>
  <c r="N8" i="35"/>
  <c r="M8" i="35"/>
  <c r="L8" i="35"/>
  <c r="K8" i="35"/>
  <c r="J8" i="35"/>
  <c r="H8" i="35"/>
  <c r="G8" i="35"/>
  <c r="F8" i="35"/>
  <c r="H7" i="35"/>
  <c r="F7" i="35"/>
  <c r="G7" i="35" s="1"/>
  <c r="H6" i="35"/>
  <c r="F6" i="35"/>
  <c r="G6" i="35" s="1"/>
  <c r="H5" i="35"/>
  <c r="F5" i="35"/>
  <c r="G5" i="35" s="1"/>
  <c r="Z24" i="8"/>
  <c r="Y24" i="8"/>
  <c r="X24" i="8"/>
  <c r="W24" i="8"/>
  <c r="V24" i="8"/>
  <c r="T24" i="8"/>
  <c r="S24" i="8"/>
  <c r="R24" i="8"/>
  <c r="Q24" i="8"/>
  <c r="P24" i="8"/>
  <c r="N24" i="8"/>
  <c r="M24" i="8"/>
  <c r="L24" i="8"/>
  <c r="K24" i="8"/>
  <c r="J24" i="8"/>
  <c r="Z20" i="8"/>
  <c r="Y20" i="8"/>
  <c r="X20" i="8"/>
  <c r="W20" i="8"/>
  <c r="V20" i="8"/>
  <c r="T20" i="8"/>
  <c r="S20" i="8"/>
  <c r="R20" i="8"/>
  <c r="Q20" i="8"/>
  <c r="P20" i="8"/>
  <c r="N20" i="8"/>
  <c r="M20" i="8"/>
  <c r="L20" i="8"/>
  <c r="K20" i="8"/>
  <c r="J20" i="8"/>
  <c r="Z19" i="8"/>
  <c r="Y19" i="8"/>
  <c r="X19" i="8"/>
  <c r="W19" i="8"/>
  <c r="V19" i="8"/>
  <c r="T19" i="8"/>
  <c r="S19" i="8"/>
  <c r="R19" i="8"/>
  <c r="Q19" i="8"/>
  <c r="P19" i="8"/>
  <c r="N19" i="8"/>
  <c r="M19" i="8"/>
  <c r="L19" i="8"/>
  <c r="K19" i="8"/>
  <c r="J19" i="8"/>
  <c r="Z18" i="8"/>
  <c r="Y18" i="8"/>
  <c r="X18" i="8"/>
  <c r="W18" i="8"/>
  <c r="V18" i="8"/>
  <c r="T18" i="8"/>
  <c r="S18" i="8"/>
  <c r="R18" i="8"/>
  <c r="Q18" i="8"/>
  <c r="P18" i="8"/>
  <c r="N18" i="8"/>
  <c r="M18" i="8"/>
  <c r="L18" i="8"/>
  <c r="K18" i="8"/>
  <c r="J18" i="8"/>
  <c r="Z17" i="8"/>
  <c r="Y17" i="8"/>
  <c r="X17" i="8"/>
  <c r="W17" i="8"/>
  <c r="V17" i="8"/>
  <c r="T17" i="8"/>
  <c r="S17" i="8"/>
  <c r="R17" i="8"/>
  <c r="Q17" i="8"/>
  <c r="P17" i="8"/>
  <c r="N17" i="8"/>
  <c r="M17" i="8"/>
  <c r="L17" i="8"/>
  <c r="K17" i="8"/>
  <c r="J17" i="8"/>
  <c r="Z16" i="8"/>
  <c r="Y16" i="8"/>
  <c r="X16" i="8"/>
  <c r="W16" i="8"/>
  <c r="V16" i="8"/>
  <c r="T16" i="8"/>
  <c r="S16" i="8"/>
  <c r="R16" i="8"/>
  <c r="Q16" i="8"/>
  <c r="P16" i="8"/>
  <c r="N16" i="8"/>
  <c r="M16" i="8"/>
  <c r="L16" i="8"/>
  <c r="K16" i="8"/>
  <c r="J16" i="8"/>
  <c r="Z15" i="8"/>
  <c r="Y15" i="8"/>
  <c r="X15" i="8"/>
  <c r="W15" i="8"/>
  <c r="V15" i="8"/>
  <c r="T15" i="8"/>
  <c r="S15" i="8"/>
  <c r="R15" i="8"/>
  <c r="Q15" i="8"/>
  <c r="P15" i="8"/>
  <c r="N15" i="8"/>
  <c r="M15" i="8"/>
  <c r="L15" i="8"/>
  <c r="K15" i="8"/>
  <c r="J15" i="8"/>
  <c r="Z14" i="8"/>
  <c r="Y14" i="8"/>
  <c r="X14" i="8"/>
  <c r="W14" i="8"/>
  <c r="V14" i="8"/>
  <c r="T14" i="8"/>
  <c r="S14" i="8"/>
  <c r="R14" i="8"/>
  <c r="Q14" i="8"/>
  <c r="P14" i="8"/>
  <c r="N14" i="8"/>
  <c r="M14" i="8"/>
  <c r="L14" i="8"/>
  <c r="K14" i="8"/>
  <c r="J14" i="8"/>
  <c r="Z13" i="8"/>
  <c r="Y13" i="8"/>
  <c r="X13" i="8"/>
  <c r="W13" i="8"/>
  <c r="V13" i="8"/>
  <c r="T13" i="8"/>
  <c r="S13" i="8"/>
  <c r="R13" i="8"/>
  <c r="Q13" i="8"/>
  <c r="P13" i="8"/>
  <c r="N13" i="8"/>
  <c r="M13" i="8"/>
  <c r="L13" i="8"/>
  <c r="K13" i="8"/>
  <c r="J13" i="8"/>
  <c r="Z12" i="8"/>
  <c r="Y12" i="8"/>
  <c r="X12" i="8"/>
  <c r="W12" i="8"/>
  <c r="V12" i="8"/>
  <c r="T12" i="8"/>
  <c r="S12" i="8"/>
  <c r="R12" i="8"/>
  <c r="Q12" i="8"/>
  <c r="P12" i="8"/>
  <c r="N12" i="8"/>
  <c r="M12" i="8"/>
  <c r="L12" i="8"/>
  <c r="K12" i="8"/>
  <c r="J12" i="8"/>
  <c r="Z11" i="8"/>
  <c r="Y11" i="8"/>
  <c r="X11" i="8"/>
  <c r="W11" i="8"/>
  <c r="V11" i="8"/>
  <c r="T11" i="8"/>
  <c r="S11" i="8"/>
  <c r="R11" i="8"/>
  <c r="Q11" i="8"/>
  <c r="P11" i="8"/>
  <c r="N11" i="8"/>
  <c r="M11" i="8"/>
  <c r="L11" i="8"/>
  <c r="K11" i="8"/>
  <c r="J11" i="8"/>
  <c r="Z10" i="8"/>
  <c r="Y10" i="8"/>
  <c r="X10" i="8"/>
  <c r="W10" i="8"/>
  <c r="V10" i="8"/>
  <c r="T10" i="8"/>
  <c r="S10" i="8"/>
  <c r="R10" i="8"/>
  <c r="Q10" i="8"/>
  <c r="P10" i="8"/>
  <c r="N10" i="8"/>
  <c r="M10" i="8"/>
  <c r="L10" i="8"/>
  <c r="K10" i="8"/>
  <c r="J10" i="8"/>
  <c r="Z9" i="8"/>
  <c r="Y9" i="8"/>
  <c r="X9" i="8"/>
  <c r="W9" i="8"/>
  <c r="V9" i="8"/>
  <c r="T9" i="8"/>
  <c r="S9" i="8"/>
  <c r="R9" i="8"/>
  <c r="Q9" i="8"/>
  <c r="P9" i="8"/>
  <c r="N9" i="8"/>
  <c r="M9" i="8"/>
  <c r="L9" i="8"/>
  <c r="K9" i="8"/>
  <c r="J9" i="8"/>
  <c r="Z8" i="8"/>
  <c r="Y8" i="8"/>
  <c r="X8" i="8"/>
  <c r="W8" i="8"/>
  <c r="V8" i="8"/>
  <c r="T8" i="8"/>
  <c r="S8" i="8"/>
  <c r="R8" i="8"/>
  <c r="Q8" i="8"/>
  <c r="P8" i="8"/>
  <c r="N8" i="8"/>
  <c r="M8" i="8"/>
  <c r="L8" i="8"/>
  <c r="K8" i="8"/>
  <c r="J8" i="8"/>
  <c r="Y24" i="22"/>
  <c r="Y20" i="22"/>
  <c r="Y19" i="22"/>
  <c r="Y18" i="22"/>
  <c r="Y17" i="22"/>
  <c r="Y16" i="22"/>
  <c r="Y15" i="22"/>
  <c r="Y13" i="22"/>
  <c r="Y12" i="22"/>
  <c r="Y11" i="22"/>
  <c r="Y10" i="22"/>
  <c r="Y9" i="22"/>
  <c r="Y8" i="22"/>
  <c r="W24" i="22"/>
  <c r="W20" i="22"/>
  <c r="W19" i="22"/>
  <c r="W18" i="22"/>
  <c r="W17" i="22"/>
  <c r="W16" i="22"/>
  <c r="W15" i="22"/>
  <c r="W13" i="22"/>
  <c r="W12" i="22"/>
  <c r="W11" i="22"/>
  <c r="W10" i="22"/>
  <c r="W9" i="22"/>
  <c r="W8" i="22"/>
  <c r="S24" i="22"/>
  <c r="S20" i="22"/>
  <c r="S19" i="22"/>
  <c r="S18" i="22"/>
  <c r="S17" i="22"/>
  <c r="S16" i="22"/>
  <c r="S15" i="22"/>
  <c r="S14" i="22"/>
  <c r="S13" i="22"/>
  <c r="S12" i="22"/>
  <c r="S11" i="22"/>
  <c r="S10" i="22"/>
  <c r="S9" i="22"/>
  <c r="S8" i="22"/>
  <c r="Q24" i="22"/>
  <c r="Q20" i="22"/>
  <c r="Q19" i="22"/>
  <c r="Q18" i="22"/>
  <c r="Q17" i="22"/>
  <c r="Q16" i="22"/>
  <c r="Q15" i="22"/>
  <c r="Q14" i="22"/>
  <c r="Q13" i="22"/>
  <c r="Q12" i="22"/>
  <c r="Q11" i="22"/>
  <c r="Q10" i="22"/>
  <c r="Q9" i="22"/>
  <c r="Q8" i="22"/>
  <c r="M24" i="22"/>
  <c r="M20" i="22"/>
  <c r="M19" i="22"/>
  <c r="M18" i="22"/>
  <c r="M17" i="22"/>
  <c r="M16" i="22"/>
  <c r="M15" i="22"/>
  <c r="M13" i="22"/>
  <c r="M12" i="22"/>
  <c r="M11" i="22"/>
  <c r="M10" i="22"/>
  <c r="M9" i="22"/>
  <c r="M8" i="22"/>
  <c r="K24" i="22"/>
  <c r="K20" i="22"/>
  <c r="K19" i="22"/>
  <c r="K18" i="22"/>
  <c r="K17" i="22"/>
  <c r="K16" i="22"/>
  <c r="K15" i="22"/>
  <c r="K13" i="22"/>
  <c r="K12" i="22"/>
  <c r="K11" i="22"/>
  <c r="K10" i="22"/>
  <c r="K9" i="22"/>
  <c r="K8" i="22"/>
  <c r="Q7" i="35" l="1"/>
  <c r="T7" i="35"/>
  <c r="P7" i="35"/>
  <c r="S7" i="35"/>
  <c r="J7" i="35"/>
  <c r="R7" i="35"/>
  <c r="T6" i="35"/>
  <c r="P6" i="35"/>
  <c r="S6" i="35"/>
  <c r="J6" i="35"/>
  <c r="Q6" i="35"/>
  <c r="R6" i="35"/>
  <c r="G25" i="35"/>
  <c r="S5" i="35"/>
  <c r="J5" i="35"/>
  <c r="R5" i="35"/>
  <c r="Q5" i="35"/>
  <c r="T5" i="35"/>
  <c r="P5" i="35"/>
  <c r="H24" i="22"/>
  <c r="H23" i="22"/>
  <c r="H22" i="22"/>
  <c r="H21" i="22"/>
  <c r="H20" i="22"/>
  <c r="H19" i="22"/>
  <c r="H18" i="22"/>
  <c r="H17" i="22"/>
  <c r="H16" i="22"/>
  <c r="H15" i="22"/>
  <c r="H14" i="22"/>
  <c r="H13" i="22"/>
  <c r="H12" i="22"/>
  <c r="H11" i="22"/>
  <c r="H10" i="22"/>
  <c r="H9" i="22"/>
  <c r="H8" i="22"/>
  <c r="H7" i="22"/>
  <c r="H6" i="22"/>
  <c r="H5" i="22"/>
  <c r="AB6" i="35" l="1"/>
  <c r="J25" i="35"/>
  <c r="V7" i="35"/>
  <c r="S25" i="35"/>
  <c r="AB7" i="35"/>
  <c r="P25" i="35"/>
  <c r="V5" i="35"/>
  <c r="T25" i="35"/>
  <c r="R25" i="35"/>
  <c r="AB5" i="35"/>
  <c r="V6" i="35"/>
  <c r="Q25" i="35"/>
  <c r="H20" i="20"/>
  <c r="H18" i="3" s="1"/>
  <c r="H19" i="20"/>
  <c r="H17" i="3" s="1"/>
  <c r="J16" i="20"/>
  <c r="J14" i="3" s="1"/>
  <c r="N5" i="35" s="1"/>
  <c r="F14" i="3"/>
  <c r="M5" i="35" s="1"/>
  <c r="Y5" i="35" s="1"/>
  <c r="F9" i="3"/>
  <c r="M6" i="35" s="1"/>
  <c r="Y6" i="35" s="1"/>
  <c r="L10" i="22"/>
  <c r="L13" i="22"/>
  <c r="J10" i="22"/>
  <c r="J15" i="22"/>
  <c r="N15" i="22"/>
  <c r="N13" i="22"/>
  <c r="C58" i="4"/>
  <c r="AF24" i="8"/>
  <c r="AB24" i="8"/>
  <c r="G5" i="8"/>
  <c r="H5" i="8"/>
  <c r="AE24" i="8"/>
  <c r="AD24" i="8"/>
  <c r="AC24" i="8"/>
  <c r="F23" i="8"/>
  <c r="G23" i="8" s="1"/>
  <c r="H23" i="8"/>
  <c r="AF20" i="8"/>
  <c r="AE20" i="8"/>
  <c r="AD20" i="8"/>
  <c r="AC20" i="8"/>
  <c r="AB20" i="8"/>
  <c r="AF19" i="8"/>
  <c r="AE19" i="8"/>
  <c r="AD19" i="8"/>
  <c r="AC19" i="8"/>
  <c r="AB19" i="8"/>
  <c r="AF18" i="8"/>
  <c r="AE18" i="8"/>
  <c r="AD18" i="8"/>
  <c r="AC18" i="8"/>
  <c r="AB18" i="8"/>
  <c r="AF17" i="8"/>
  <c r="AE17" i="8"/>
  <c r="AD17" i="8"/>
  <c r="AC17" i="8"/>
  <c r="AB17" i="8"/>
  <c r="AF16" i="8"/>
  <c r="AE16" i="8"/>
  <c r="AD16" i="8"/>
  <c r="AC16" i="8"/>
  <c r="AB16" i="8"/>
  <c r="F15" i="8"/>
  <c r="G15" i="8"/>
  <c r="H15" i="8"/>
  <c r="AF15" i="8"/>
  <c r="AE15" i="8"/>
  <c r="AD15" i="8"/>
  <c r="AC15" i="8"/>
  <c r="AB15" i="8"/>
  <c r="AF14" i="8"/>
  <c r="AE14" i="8"/>
  <c r="AD14" i="8"/>
  <c r="AC14" i="8"/>
  <c r="AB14" i="8"/>
  <c r="AF13" i="8"/>
  <c r="AE13" i="8"/>
  <c r="AD13" i="8"/>
  <c r="AC13" i="8"/>
  <c r="AB13" i="8"/>
  <c r="AF12" i="8"/>
  <c r="AE12" i="8"/>
  <c r="AD12" i="8"/>
  <c r="AC12" i="8"/>
  <c r="AB12" i="8"/>
  <c r="AF11" i="8"/>
  <c r="AE11" i="8"/>
  <c r="AD11" i="8"/>
  <c r="AC11" i="8"/>
  <c r="AB11" i="8"/>
  <c r="AF10" i="8"/>
  <c r="AE10" i="8"/>
  <c r="AD10" i="8"/>
  <c r="AC10" i="8"/>
  <c r="AB10" i="8"/>
  <c r="AF9" i="8"/>
  <c r="AE9" i="8"/>
  <c r="AD9" i="8"/>
  <c r="AC9" i="8"/>
  <c r="AB9" i="8"/>
  <c r="AF8" i="8"/>
  <c r="AE8" i="8"/>
  <c r="AD8" i="8"/>
  <c r="AC8" i="8"/>
  <c r="AB8" i="8"/>
  <c r="F6" i="8"/>
  <c r="G6" i="8" s="1"/>
  <c r="H6" i="8"/>
  <c r="F24" i="22"/>
  <c r="G24" i="22"/>
  <c r="F13" i="22"/>
  <c r="G13" i="22"/>
  <c r="G5" i="22"/>
  <c r="E22" i="20"/>
  <c r="E20" i="3" s="1"/>
  <c r="H16" i="20"/>
  <c r="H14" i="3" s="1"/>
  <c r="L5" i="35" s="1"/>
  <c r="H17" i="20"/>
  <c r="H11" i="20"/>
  <c r="H9" i="3" s="1"/>
  <c r="L6" i="35" s="1"/>
  <c r="F23" i="22"/>
  <c r="G23" i="22"/>
  <c r="F7" i="8"/>
  <c r="G7" i="8" s="1"/>
  <c r="F8" i="8"/>
  <c r="F9" i="8"/>
  <c r="F10" i="8"/>
  <c r="F11" i="8"/>
  <c r="F12" i="8"/>
  <c r="F13" i="8"/>
  <c r="F14" i="8"/>
  <c r="F16" i="8"/>
  <c r="F17" i="8"/>
  <c r="F18" i="8"/>
  <c r="F19" i="8"/>
  <c r="F20" i="8"/>
  <c r="F21" i="8"/>
  <c r="F22" i="8"/>
  <c r="F24" i="8"/>
  <c r="G8" i="8"/>
  <c r="G9" i="8"/>
  <c r="G10" i="8"/>
  <c r="G11" i="8"/>
  <c r="G12" i="8"/>
  <c r="G13" i="8"/>
  <c r="G14" i="8"/>
  <c r="G16" i="8"/>
  <c r="G17" i="8"/>
  <c r="G18" i="8"/>
  <c r="G19" i="8"/>
  <c r="G20" i="8"/>
  <c r="G21" i="8"/>
  <c r="G22" i="8"/>
  <c r="G24" i="8"/>
  <c r="F14" i="22"/>
  <c r="G14" i="22" s="1"/>
  <c r="H21" i="8"/>
  <c r="H7" i="8"/>
  <c r="H8" i="8"/>
  <c r="H9" i="8"/>
  <c r="H10" i="8"/>
  <c r="H11" i="8"/>
  <c r="H12" i="8"/>
  <c r="H13" i="8"/>
  <c r="H14" i="8"/>
  <c r="H16" i="8"/>
  <c r="H17" i="8"/>
  <c r="H18" i="8"/>
  <c r="H19" i="8"/>
  <c r="H20" i="8"/>
  <c r="H22" i="8"/>
  <c r="H24" i="8"/>
  <c r="H20" i="3"/>
  <c r="I20" i="3"/>
  <c r="J22" i="20"/>
  <c r="J20" i="3" s="1"/>
  <c r="G20" i="3"/>
  <c r="F20" i="3"/>
  <c r="G9" i="3"/>
  <c r="I9" i="3"/>
  <c r="F10" i="3"/>
  <c r="M7" i="35" s="1"/>
  <c r="AE7" i="35" s="1"/>
  <c r="I10" i="3"/>
  <c r="J12" i="20"/>
  <c r="J10" i="3" s="1"/>
  <c r="N7" i="35" s="1"/>
  <c r="Z7" i="35" s="1"/>
  <c r="F11" i="3"/>
  <c r="I11" i="3"/>
  <c r="F12" i="3"/>
  <c r="I12" i="3"/>
  <c r="J14" i="20"/>
  <c r="J12" i="3" s="1"/>
  <c r="F13" i="3"/>
  <c r="I13" i="3"/>
  <c r="G14" i="3"/>
  <c r="I14" i="3"/>
  <c r="F15" i="3"/>
  <c r="H15" i="3"/>
  <c r="I15" i="3"/>
  <c r="F16" i="3"/>
  <c r="I16" i="3"/>
  <c r="J18" i="20"/>
  <c r="J16" i="3" s="1"/>
  <c r="F17" i="3"/>
  <c r="I17" i="3"/>
  <c r="F18" i="3"/>
  <c r="G18" i="3"/>
  <c r="I18" i="3"/>
  <c r="J20" i="20"/>
  <c r="J18" i="3" s="1"/>
  <c r="F19" i="3"/>
  <c r="G19" i="3"/>
  <c r="I19" i="3"/>
  <c r="F8" i="3"/>
  <c r="I8" i="3"/>
  <c r="J10" i="20"/>
  <c r="J8" i="3" s="1"/>
  <c r="G21" i="20"/>
  <c r="J21" i="20" s="1"/>
  <c r="J19" i="3" s="1"/>
  <c r="G20" i="20"/>
  <c r="G19" i="20"/>
  <c r="J19" i="20" s="1"/>
  <c r="J17" i="3" s="1"/>
  <c r="G18" i="20"/>
  <c r="G16" i="3" s="1"/>
  <c r="G17" i="20"/>
  <c r="G15" i="3" s="1"/>
  <c r="G16" i="20"/>
  <c r="G15" i="20"/>
  <c r="J15" i="20" s="1"/>
  <c r="J13" i="3" s="1"/>
  <c r="G14" i="20"/>
  <c r="G12" i="3" s="1"/>
  <c r="G13" i="20"/>
  <c r="G11" i="3" s="1"/>
  <c r="G12" i="20"/>
  <c r="G10" i="3" s="1"/>
  <c r="G11" i="20"/>
  <c r="J11" i="20" s="1"/>
  <c r="J9" i="3" s="1"/>
  <c r="G10" i="20"/>
  <c r="G8" i="3" s="1"/>
  <c r="J22" i="3"/>
  <c r="J21" i="3"/>
  <c r="C21" i="3"/>
  <c r="C22" i="3"/>
  <c r="O27" i="20"/>
  <c r="H18" i="20" s="1"/>
  <c r="H16" i="3" s="1"/>
  <c r="O18" i="20"/>
  <c r="C22" i="20"/>
  <c r="C21" i="20"/>
  <c r="C20" i="20"/>
  <c r="C19" i="20"/>
  <c r="C18" i="20"/>
  <c r="C17" i="20"/>
  <c r="C16" i="20"/>
  <c r="C15" i="20"/>
  <c r="C14" i="20"/>
  <c r="C13" i="20"/>
  <c r="C12" i="20"/>
  <c r="C11" i="20"/>
  <c r="C10" i="20"/>
  <c r="G6" i="22"/>
  <c r="G7" i="22"/>
  <c r="F8" i="22"/>
  <c r="G8" i="22"/>
  <c r="F9" i="22"/>
  <c r="G9" i="22"/>
  <c r="F10" i="22"/>
  <c r="G10" i="22"/>
  <c r="F11" i="22"/>
  <c r="G11" i="22"/>
  <c r="F12" i="22"/>
  <c r="F15" i="22"/>
  <c r="G15" i="22"/>
  <c r="F16" i="22"/>
  <c r="G16" i="22" s="1"/>
  <c r="F17" i="22"/>
  <c r="F18" i="22"/>
  <c r="G18" i="22" s="1"/>
  <c r="F19" i="22"/>
  <c r="G19" i="22" s="1"/>
  <c r="F20" i="22"/>
  <c r="G20" i="22"/>
  <c r="F21" i="22"/>
  <c r="G21" i="22" s="1"/>
  <c r="F22" i="22"/>
  <c r="G22" i="22"/>
  <c r="G17" i="22"/>
  <c r="O7" i="3"/>
  <c r="G12" i="22"/>
  <c r="C59" i="4"/>
  <c r="C60" i="4"/>
  <c r="C61" i="4"/>
  <c r="C62" i="4"/>
  <c r="C63" i="4"/>
  <c r="C64" i="4"/>
  <c r="C65" i="4"/>
  <c r="C66" i="4"/>
  <c r="C67" i="4"/>
  <c r="C9" i="3"/>
  <c r="C10" i="3"/>
  <c r="C11" i="3"/>
  <c r="C12" i="3"/>
  <c r="C13" i="3"/>
  <c r="C14" i="3"/>
  <c r="C15" i="3"/>
  <c r="C16" i="3"/>
  <c r="C17" i="3"/>
  <c r="C18" i="3"/>
  <c r="C19" i="3"/>
  <c r="C20" i="3"/>
  <c r="C8" i="3"/>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 i="4"/>
  <c r="AD5" i="35" l="1"/>
  <c r="X5" i="35"/>
  <c r="X6" i="35"/>
  <c r="AD6" i="35"/>
  <c r="G13" i="3"/>
  <c r="G17" i="3"/>
  <c r="J13" i="20"/>
  <c r="J11" i="3" s="1"/>
  <c r="H15" i="20"/>
  <c r="H13" i="3" s="1"/>
  <c r="H21" i="20"/>
  <c r="H19" i="3" s="1"/>
  <c r="E17" i="20"/>
  <c r="E15" i="3" s="1"/>
  <c r="E10" i="20"/>
  <c r="E8" i="3" s="1"/>
  <c r="E14" i="20"/>
  <c r="E12" i="3" s="1"/>
  <c r="E19" i="20"/>
  <c r="E17" i="3" s="1"/>
  <c r="E20" i="20"/>
  <c r="E18" i="3" s="1"/>
  <c r="E21" i="20"/>
  <c r="E19" i="3" s="1"/>
  <c r="E18" i="20"/>
  <c r="E16" i="3" s="1"/>
  <c r="E15" i="20"/>
  <c r="E13" i="3" s="1"/>
  <c r="E16" i="20"/>
  <c r="E14" i="3" s="1"/>
  <c r="K5" i="35" s="1"/>
  <c r="W5" i="35" s="1"/>
  <c r="H10" i="20"/>
  <c r="H8" i="3" s="1"/>
  <c r="E13" i="20"/>
  <c r="E11" i="3" s="1"/>
  <c r="J17" i="20"/>
  <c r="J15" i="3" s="1"/>
  <c r="H13" i="20"/>
  <c r="H11" i="3" s="1"/>
  <c r="E12" i="20"/>
  <c r="E10" i="3" s="1"/>
  <c r="K7" i="35" s="1"/>
  <c r="H12" i="20"/>
  <c r="H10" i="3" s="1"/>
  <c r="L7" i="35" s="1"/>
  <c r="E11" i="20"/>
  <c r="E9" i="3" s="1"/>
  <c r="K6" i="35" s="1"/>
  <c r="H14" i="20"/>
  <c r="H12" i="3" s="1"/>
  <c r="K14" i="22"/>
  <c r="W14" i="22" s="1"/>
  <c r="M14" i="22"/>
  <c r="Y14" i="22" s="1"/>
  <c r="L14" i="22"/>
  <c r="AB25" i="35"/>
  <c r="S23" i="8"/>
  <c r="N23" i="8"/>
  <c r="J23" i="8"/>
  <c r="L23" i="8"/>
  <c r="AD23" i="8" s="1"/>
  <c r="T23" i="8"/>
  <c r="Z23" i="8" s="1"/>
  <c r="K23" i="8"/>
  <c r="R23" i="8"/>
  <c r="M23" i="8"/>
  <c r="AE23" i="8" s="1"/>
  <c r="Q23" i="8"/>
  <c r="W23" i="8" s="1"/>
  <c r="P23" i="8"/>
  <c r="R22" i="8"/>
  <c r="M22" i="8"/>
  <c r="AE22" i="8" s="1"/>
  <c r="P22" i="8"/>
  <c r="N22" i="8"/>
  <c r="Q22" i="8"/>
  <c r="W22" i="8" s="1"/>
  <c r="L22" i="8"/>
  <c r="AD22" i="8" s="1"/>
  <c r="T22" i="8"/>
  <c r="Z22" i="8" s="1"/>
  <c r="K22" i="8"/>
  <c r="S22" i="8"/>
  <c r="J22" i="8"/>
  <c r="AB22" i="8" s="1"/>
  <c r="Q21" i="8"/>
  <c r="L21" i="8"/>
  <c r="N21" i="8"/>
  <c r="R21" i="8"/>
  <c r="X21" i="8" s="1"/>
  <c r="T21" i="8"/>
  <c r="P21" i="8"/>
  <c r="K21" i="8"/>
  <c r="AC21" i="8" s="1"/>
  <c r="S21" i="8"/>
  <c r="Y21" i="8" s="1"/>
  <c r="J21" i="8"/>
  <c r="AB21" i="8" s="1"/>
  <c r="M21" i="8"/>
  <c r="S21" i="22"/>
  <c r="Y21" i="22" s="1"/>
  <c r="Q21" i="22"/>
  <c r="K21" i="22"/>
  <c r="M21" i="22"/>
  <c r="Q22" i="22"/>
  <c r="W22" i="22" s="1"/>
  <c r="M22" i="22"/>
  <c r="AE22" i="22" s="1"/>
  <c r="S22" i="22"/>
  <c r="Y22" i="22" s="1"/>
  <c r="K22" i="22"/>
  <c r="M23" i="22"/>
  <c r="K23" i="22"/>
  <c r="AC23" i="22" s="1"/>
  <c r="S23" i="22"/>
  <c r="Y23" i="22" s="1"/>
  <c r="Q23" i="22"/>
  <c r="L22" i="22"/>
  <c r="AE5" i="35"/>
  <c r="AF7" i="35"/>
  <c r="N6" i="35"/>
  <c r="N25" i="35" s="1"/>
  <c r="AF25" i="35" s="1"/>
  <c r="Z5" i="35"/>
  <c r="M25" i="35"/>
  <c r="AE25" i="35" s="1"/>
  <c r="Y7" i="35"/>
  <c r="Y25" i="35" s="1"/>
  <c r="AE6" i="35"/>
  <c r="AF5" i="35"/>
  <c r="AC5" i="35"/>
  <c r="V25" i="35"/>
  <c r="J6" i="22"/>
  <c r="Q6" i="22"/>
  <c r="S6" i="22"/>
  <c r="S5" i="22"/>
  <c r="Q5" i="22"/>
  <c r="Q7" i="22"/>
  <c r="S7" i="22"/>
  <c r="AE7" i="22" s="1"/>
  <c r="P5" i="22"/>
  <c r="K7" i="22"/>
  <c r="M7" i="22"/>
  <c r="M5" i="22"/>
  <c r="K5" i="22"/>
  <c r="K6" i="22"/>
  <c r="M6" i="22"/>
  <c r="AE6" i="22" s="1"/>
  <c r="L6" i="22"/>
  <c r="T6" i="8"/>
  <c r="P6" i="8"/>
  <c r="K6" i="8"/>
  <c r="R6" i="8"/>
  <c r="Q6" i="8"/>
  <c r="S6" i="8"/>
  <c r="Y6" i="8" s="1"/>
  <c r="N6" i="8"/>
  <c r="J6" i="8"/>
  <c r="M6" i="8"/>
  <c r="L6" i="8"/>
  <c r="G25" i="8"/>
  <c r="Q7" i="8"/>
  <c r="L7" i="8"/>
  <c r="S7" i="8"/>
  <c r="Y7" i="8" s="1"/>
  <c r="J7" i="8"/>
  <c r="R7" i="8"/>
  <c r="T7" i="8"/>
  <c r="P7" i="8"/>
  <c r="K7" i="8"/>
  <c r="N7" i="8"/>
  <c r="M7" i="8"/>
  <c r="J5" i="8"/>
  <c r="S5" i="8"/>
  <c r="M5" i="8"/>
  <c r="Q5" i="8"/>
  <c r="K5" i="8"/>
  <c r="AC5" i="8" s="1"/>
  <c r="L5" i="8"/>
  <c r="R16" i="22"/>
  <c r="T16" i="22"/>
  <c r="Z16" i="22" s="1"/>
  <c r="P16" i="22"/>
  <c r="J16" i="22"/>
  <c r="L16" i="22"/>
  <c r="AD16" i="22" s="1"/>
  <c r="N16" i="22"/>
  <c r="R19" i="22"/>
  <c r="P19" i="22"/>
  <c r="T19" i="22"/>
  <c r="Z19" i="22" s="1"/>
  <c r="L19" i="22"/>
  <c r="J19" i="22"/>
  <c r="AB19" i="22" s="1"/>
  <c r="N19" i="22"/>
  <c r="T21" i="22"/>
  <c r="R21" i="22"/>
  <c r="X21" i="22" s="1"/>
  <c r="P21" i="22"/>
  <c r="J21" i="22"/>
  <c r="AB21" i="22" s="1"/>
  <c r="L21" i="22"/>
  <c r="AE21" i="22"/>
  <c r="N21" i="22"/>
  <c r="AF21" i="22" s="1"/>
  <c r="T18" i="22"/>
  <c r="Z18" i="22" s="1"/>
  <c r="P18" i="22"/>
  <c r="R18" i="22"/>
  <c r="X18" i="22" s="1"/>
  <c r="N18" i="22"/>
  <c r="J18" i="22"/>
  <c r="AC18" i="22"/>
  <c r="L18" i="22"/>
  <c r="P17" i="22"/>
  <c r="V17" i="22" s="1"/>
  <c r="T17" i="22"/>
  <c r="Z17" i="22" s="1"/>
  <c r="R17" i="22"/>
  <c r="T11" i="22"/>
  <c r="Z11" i="22" s="1"/>
  <c r="R11" i="22"/>
  <c r="P11" i="22"/>
  <c r="V11" i="22" s="1"/>
  <c r="R9" i="22"/>
  <c r="P9" i="22"/>
  <c r="T9" i="22"/>
  <c r="Z9" i="22" s="1"/>
  <c r="P7" i="22"/>
  <c r="T7" i="22"/>
  <c r="R7" i="22"/>
  <c r="T23" i="22"/>
  <c r="Z23" i="22" s="1"/>
  <c r="P23" i="22"/>
  <c r="V23" i="22" s="1"/>
  <c r="R23" i="22"/>
  <c r="R24" i="22"/>
  <c r="X24" i="22" s="1"/>
  <c r="T24" i="22"/>
  <c r="P24" i="22"/>
  <c r="N7" i="22"/>
  <c r="AF7" i="22" s="1"/>
  <c r="N9" i="22"/>
  <c r="N11" i="22"/>
  <c r="N17" i="22"/>
  <c r="N23" i="22"/>
  <c r="J23" i="22"/>
  <c r="J11" i="22"/>
  <c r="J7" i="22"/>
  <c r="AB7" i="22" s="1"/>
  <c r="AE17" i="22"/>
  <c r="R12" i="22"/>
  <c r="P12" i="22"/>
  <c r="V12" i="22" s="1"/>
  <c r="T12" i="22"/>
  <c r="Z12" i="22" s="1"/>
  <c r="T22" i="22"/>
  <c r="P22" i="22"/>
  <c r="R22" i="22"/>
  <c r="X22" i="22" s="1"/>
  <c r="R20" i="22"/>
  <c r="X20" i="22" s="1"/>
  <c r="P20" i="22"/>
  <c r="V20" i="22" s="1"/>
  <c r="T20" i="22"/>
  <c r="Z20" i="22" s="1"/>
  <c r="R15" i="22"/>
  <c r="X15" i="22" s="1"/>
  <c r="P15" i="22"/>
  <c r="V15" i="22" s="1"/>
  <c r="T15" i="22"/>
  <c r="Z15" i="22" s="1"/>
  <c r="T14" i="22"/>
  <c r="P14" i="22"/>
  <c r="R14" i="22"/>
  <c r="X14" i="22" s="1"/>
  <c r="AC12" i="22"/>
  <c r="AC20" i="22"/>
  <c r="J22" i="22"/>
  <c r="AB22" i="22" s="1"/>
  <c r="J14" i="22"/>
  <c r="L17" i="22"/>
  <c r="L9" i="22"/>
  <c r="AE24" i="22"/>
  <c r="AE20" i="22"/>
  <c r="T10" i="22"/>
  <c r="P10" i="22"/>
  <c r="R10" i="22"/>
  <c r="X10" i="22" s="1"/>
  <c r="R8" i="22"/>
  <c r="P8" i="22"/>
  <c r="T8" i="22"/>
  <c r="T6" i="22"/>
  <c r="P6" i="22"/>
  <c r="V6" i="22" s="1"/>
  <c r="R6" i="22"/>
  <c r="P13" i="22"/>
  <c r="T13" i="22"/>
  <c r="R13" i="22"/>
  <c r="X13" i="22" s="1"/>
  <c r="N6" i="22"/>
  <c r="N8" i="22"/>
  <c r="AF8" i="22" s="1"/>
  <c r="N10" i="22"/>
  <c r="AF10" i="22" s="1"/>
  <c r="N12" i="22"/>
  <c r="N14" i="22"/>
  <c r="AF14" i="22" s="1"/>
  <c r="N20" i="22"/>
  <c r="N22" i="22"/>
  <c r="AF22" i="22" s="1"/>
  <c r="N24" i="22"/>
  <c r="J17" i="22"/>
  <c r="J13" i="22"/>
  <c r="J9" i="22"/>
  <c r="AB9" i="22" s="1"/>
  <c r="L24" i="22"/>
  <c r="L20" i="22"/>
  <c r="L12" i="22"/>
  <c r="AD12" i="22" s="1"/>
  <c r="L8" i="22"/>
  <c r="AD8" i="22" s="1"/>
  <c r="AE15" i="22"/>
  <c r="AC9" i="22"/>
  <c r="AC11" i="22"/>
  <c r="AC13" i="22"/>
  <c r="AC17" i="22"/>
  <c r="J24" i="22"/>
  <c r="AB24" i="22" s="1"/>
  <c r="J20" i="22"/>
  <c r="J12" i="22"/>
  <c r="J8" i="22"/>
  <c r="L23" i="22"/>
  <c r="AD23" i="22" s="1"/>
  <c r="L15" i="22"/>
  <c r="L11" i="22"/>
  <c r="AD11" i="22" s="1"/>
  <c r="L7" i="22"/>
  <c r="T5" i="8"/>
  <c r="P5" i="8"/>
  <c r="N5" i="8"/>
  <c r="R5" i="8"/>
  <c r="T5" i="22"/>
  <c r="R5" i="22"/>
  <c r="N5" i="22"/>
  <c r="L5" i="22"/>
  <c r="J5" i="22"/>
  <c r="G25" i="22"/>
  <c r="AC7" i="35" l="1"/>
  <c r="W7" i="35"/>
  <c r="K25" i="35"/>
  <c r="AC25" i="35" s="1"/>
  <c r="W6" i="35"/>
  <c r="W25" i="35" s="1"/>
  <c r="AC6" i="35"/>
  <c r="X7" i="35"/>
  <c r="X25" i="35" s="1"/>
  <c r="AD7" i="35"/>
  <c r="L25" i="35"/>
  <c r="AD25" i="35" s="1"/>
  <c r="T25" i="8"/>
  <c r="V5" i="8"/>
  <c r="AF21" i="8"/>
  <c r="AB23" i="8"/>
  <c r="X23" i="8"/>
  <c r="AD5" i="8"/>
  <c r="AF7" i="8"/>
  <c r="X7" i="8"/>
  <c r="W7" i="8"/>
  <c r="AB6" i="8"/>
  <c r="X6" i="8"/>
  <c r="AE21" i="8"/>
  <c r="V21" i="8"/>
  <c r="AD21" i="8"/>
  <c r="AC22" i="8"/>
  <c r="AF22" i="8"/>
  <c r="V23" i="8"/>
  <c r="AC23" i="8"/>
  <c r="AF23" i="8"/>
  <c r="P25" i="8"/>
  <c r="Y22" i="8"/>
  <c r="X22" i="8"/>
  <c r="S25" i="8"/>
  <c r="AB7" i="8"/>
  <c r="AF6" i="8"/>
  <c r="AC6" i="8"/>
  <c r="Z21" i="8"/>
  <c r="W21" i="8"/>
  <c r="V22" i="8"/>
  <c r="Y23" i="8"/>
  <c r="W21" i="22"/>
  <c r="S25" i="22"/>
  <c r="W23" i="22"/>
  <c r="Z6" i="22"/>
  <c r="W6" i="22"/>
  <c r="W7" i="22"/>
  <c r="AF6" i="35"/>
  <c r="Z6" i="35"/>
  <c r="Z25" i="35" s="1"/>
  <c r="M25" i="22"/>
  <c r="M25" i="8"/>
  <c r="AE25" i="8" s="1"/>
  <c r="L25" i="8"/>
  <c r="W5" i="22"/>
  <c r="K25" i="22"/>
  <c r="Q25" i="22"/>
  <c r="Y5" i="22"/>
  <c r="Y6" i="22"/>
  <c r="Y7" i="22"/>
  <c r="K25" i="8"/>
  <c r="J25" i="8"/>
  <c r="Q25" i="8"/>
  <c r="Y5" i="8"/>
  <c r="AC7" i="8"/>
  <c r="N25" i="8"/>
  <c r="AF25" i="8" s="1"/>
  <c r="V7" i="8"/>
  <c r="AD6" i="8"/>
  <c r="V6" i="8"/>
  <c r="W5" i="8"/>
  <c r="AE7" i="8"/>
  <c r="Z7" i="8"/>
  <c r="AD7" i="8"/>
  <c r="AE6" i="8"/>
  <c r="W6" i="8"/>
  <c r="Z6" i="8"/>
  <c r="AB13" i="22"/>
  <c r="AC14" i="22"/>
  <c r="AC15" i="22"/>
  <c r="AC7" i="22"/>
  <c r="AE23" i="22"/>
  <c r="AF24" i="22"/>
  <c r="AE12" i="22"/>
  <c r="AD17" i="22"/>
  <c r="AD13" i="22"/>
  <c r="AD19" i="22"/>
  <c r="AB8" i="22"/>
  <c r="AE11" i="22"/>
  <c r="AB6" i="22"/>
  <c r="AD14" i="22"/>
  <c r="AB15" i="22"/>
  <c r="AF15" i="22"/>
  <c r="AB18" i="22"/>
  <c r="AC21" i="22"/>
  <c r="AC16" i="22"/>
  <c r="AB16" i="22"/>
  <c r="AE13" i="22"/>
  <c r="T25" i="22"/>
  <c r="AD7" i="22"/>
  <c r="AD9" i="22"/>
  <c r="AB14" i="22"/>
  <c r="AD22" i="22"/>
  <c r="Z13" i="22"/>
  <c r="AF13" i="22"/>
  <c r="AC6" i="22"/>
  <c r="V22" i="22"/>
  <c r="AF20" i="22"/>
  <c r="V13" i="22"/>
  <c r="X6" i="22"/>
  <c r="AD6" i="22"/>
  <c r="AE8" i="22"/>
  <c r="X8" i="22"/>
  <c r="V10" i="22"/>
  <c r="AB10" i="22"/>
  <c r="AC8" i="22"/>
  <c r="V14" i="22"/>
  <c r="Z22" i="22"/>
  <c r="AB23" i="22"/>
  <c r="V24" i="22"/>
  <c r="Z7" i="22"/>
  <c r="V9" i="22"/>
  <c r="Z21" i="22"/>
  <c r="AE19" i="22"/>
  <c r="P25" i="22"/>
  <c r="AE10" i="22"/>
  <c r="AB12" i="22"/>
  <c r="AD20" i="22"/>
  <c r="AB17" i="22"/>
  <c r="AF6" i="22"/>
  <c r="Z8" i="22"/>
  <c r="Z10" i="22"/>
  <c r="AC24" i="22"/>
  <c r="Z14" i="22"/>
  <c r="X12" i="22"/>
  <c r="AF23" i="22"/>
  <c r="AF11" i="22"/>
  <c r="X23" i="22"/>
  <c r="V7" i="22"/>
  <c r="X11" i="22"/>
  <c r="AF18" i="22"/>
  <c r="V21" i="22"/>
  <c r="AC19" i="22"/>
  <c r="V19" i="22"/>
  <c r="AE16" i="22"/>
  <c r="V16" i="22"/>
  <c r="X16" i="22"/>
  <c r="AE14" i="22"/>
  <c r="AD15" i="22"/>
  <c r="AB20" i="22"/>
  <c r="AD24" i="22"/>
  <c r="AF12" i="22"/>
  <c r="V8" i="22"/>
  <c r="AC22" i="22"/>
  <c r="AC10" i="22"/>
  <c r="AE9" i="22"/>
  <c r="AD10" i="22"/>
  <c r="AB11" i="22"/>
  <c r="AF17" i="22"/>
  <c r="AF9" i="22"/>
  <c r="Z24" i="22"/>
  <c r="X7" i="22"/>
  <c r="X9" i="22"/>
  <c r="X17" i="22"/>
  <c r="AD18" i="22"/>
  <c r="AE18" i="22"/>
  <c r="V18" i="22"/>
  <c r="AD21" i="22"/>
  <c r="AF19" i="22"/>
  <c r="X19" i="22"/>
  <c r="AF16" i="22"/>
  <c r="X5" i="22"/>
  <c r="AB5" i="8"/>
  <c r="AF5" i="8"/>
  <c r="X5" i="8"/>
  <c r="R25" i="8"/>
  <c r="Z5" i="8"/>
  <c r="AE5" i="8"/>
  <c r="AC5" i="22"/>
  <c r="J25" i="22"/>
  <c r="AB5" i="22"/>
  <c r="AD5" i="22"/>
  <c r="V5" i="22"/>
  <c r="N25" i="22"/>
  <c r="AF5" i="22"/>
  <c r="AE5" i="22"/>
  <c r="Z5" i="22"/>
  <c r="L25" i="22"/>
  <c r="R25" i="22"/>
  <c r="Y25" i="8" l="1"/>
  <c r="X25" i="8"/>
  <c r="AB25" i="8"/>
  <c r="AF25" i="22"/>
  <c r="AD25" i="8"/>
  <c r="Y25" i="22"/>
  <c r="X25" i="22"/>
  <c r="AB25" i="22"/>
  <c r="W25" i="8"/>
  <c r="V25" i="8"/>
  <c r="Z25" i="8"/>
  <c r="AC25" i="8"/>
  <c r="Z25" i="22"/>
  <c r="W25" i="22"/>
  <c r="AE25" i="22"/>
  <c r="V25" i="22"/>
  <c r="AC25" i="22"/>
  <c r="AD25" i="22"/>
</calcChain>
</file>

<file path=xl/sharedStrings.xml><?xml version="1.0" encoding="utf-8"?>
<sst xmlns="http://schemas.openxmlformats.org/spreadsheetml/2006/main" count="738" uniqueCount="364">
  <si>
    <t>User Guide for Shore Power Emissions Calculator</t>
  </si>
  <si>
    <t>User Guide: Shore Power Emissions Calculator</t>
  </si>
  <si>
    <t>The calculator provides two primary operating modes:</t>
  </si>
  <si>
    <t>General Calculator</t>
  </si>
  <si>
    <t>User Entry Calculator</t>
  </si>
  <si>
    <t xml:space="preserve">The general calculator is appropriate for users who will be using default values for vessel, fuel, and electricity grid parameters. The User Entry Calculator is appropriate for users who can supply inputs to specify vessel characteristics and electricity generation emission factors. </t>
  </si>
  <si>
    <t>User input is required in blue cells; calculator output is shown in grey cells in the Excel® spreadsheet example. Non user-input cells are locked, or protected, to avoid inadvertent changes. Cells can be unprotected if necessary by selecting the "Review" menu at the top of the window and clicking the “Unprotect Sheet” button. No password is required.</t>
  </si>
  <si>
    <t>Footnotes</t>
  </si>
  <si>
    <t>can be found at the bottom of this document</t>
  </si>
  <si>
    <t>A list of acronyms and abbreviations used in the user guide and the shore power calculator can be found at the end of this document.</t>
  </si>
  <si>
    <t>Acronyms and Abbreviations</t>
  </si>
  <si>
    <t>4. Select the Fuel / Engine Tier using the dropdown menu. Available fuels include Marine Gasoil (MGO) (0.10% sulfur (S)), Marine Distillate Oil (MDO) (0.50% S), Heavy Fuel Oil (HFO) (3.50% S) and liquefied natural gas (LNG). Tier 0 through Tier III nitrogen oxides (NOx) controls are available for 0.10% S, 0.50% S, and 3.50% S fuels. (footnote 3) 
• Engine Tier is determined based on the date that the vessel’s keel was laid (described in Table 1 of this document, and included in the Engine Tier tab).
• If the user is uncertain of engine Tier, selecting Tier I is recommended based on the assumptions used in the 2017 National Emissions Inventory.
• The naming of marine fuels and their associated sulfur contents can, and has, changed over time. If uncertain, users should select fuels based on sulfur content.</t>
  </si>
  <si>
    <t>Table 1: Engine tier by keel laid date</t>
  </si>
  <si>
    <t>Keel Laid Date</t>
  </si>
  <si>
    <t>Engine Tier</t>
  </si>
  <si>
    <t>1999 and earlier</t>
  </si>
  <si>
    <t>Tier 0</t>
  </si>
  <si>
    <t>2000 – 2010</t>
  </si>
  <si>
    <t>Tier I</t>
  </si>
  <si>
    <t>2010 – 2015</t>
  </si>
  <si>
    <t>Tier II</t>
  </si>
  <si>
    <t>2016 and later</t>
  </si>
  <si>
    <t>Tier III</t>
  </si>
  <si>
    <t>7. Enter the Average Hotel Hours per Vessel Call.</t>
  </si>
  <si>
    <t>8. Quantities of emissions are estimated in metric ton (MT). Annual Energy Consumption (kWh), Annual Vessel Power Emissions (MT), Annual Shore Power EGU Emissions (MT), Annual Difference (MT), and Annual Percent Difference outputs are populated in the grey cells. Negative differences show reductions in emissions, positive differences show increases in emissions. 
9. Carbon dioxide equivalent (CO2eq) is estimated using the Global Warming Potentials (GWP) of greenhouse gas species from the Fourth IPCC Assessment, aligned with the EPA eGRID methodology (GWP: carbon dioxide (CO2): 1, methane (CH4): 25, nitrous oxide (N2O): 298). For LNG fuels sulfur emissions are estimated as sulfur oxides (SOx), for all other fuels sulfur emissions are estimated as sulfur dioxide (SO2).
Vessel power emissions are calculated in columns J through N as:</t>
  </si>
  <si>
    <t>and shore power EGU emissions, incorporating grid losses, are calculated in columns J through N as:</t>
  </si>
  <si>
    <t>The User Entry Calculator follows a similar format to the General Calculator, with additional functionality allowing the user to specify alternate inputs for electricity generation emission factors, vessel type and vessel fuel emission factors.</t>
  </si>
  <si>
    <t xml:space="preserve">a. Select the eGRID Region containing the port of interest, or one of the two USER DEFINED regions using the dropdown menu. eGRID regions are shown in the eGRID2018 Region tab. USER DEFINED region emission factors must be specified in rows 31 and 32 in the eGRID2018 Region tab. </t>
  </si>
  <si>
    <t xml:space="preserve">2. Select the Vessel Type using the dropdown menu. The user can select one of 53 combinations of vessel types and sub-types/sizes or up to ten USER VESSEL vessel types, specified in the Vessel Type tab, rows 58 - 67. When entering vessel power parameters, the calculator reads from column F of the Vessel Type tab, corresponding to the load when “hotelling”. When entering USER VESSEL data, enter the expected power, in kW, used during hotelling, calculated as Auxiliary Engine Hotel Loading (kW). Note: the calculator only uses data for “Hotelling (kW)” (column F) from the Vessel Type tab. </t>
  </si>
  <si>
    <t>3. Select the Fuel / Engine Tier using the dropdown menu. Available fuels include MGO (0.10% S), MDO (0.50% S), HFO (3.50% S) and LNG. Tier 0 through Tier III NOx controls are available for MGO, MDO, and HFO fuels. Users can also select up to two USER FUEL – USER TIER auxiliary engine emission factors, which must be entered in rows 21 and 22 of the Vessel Fuel Emission Factors tab, in g/kWh. (footnote 4)
•	Engine Tier is determined based on the date that the vessel’s keel was laid (described in Table 1 of this document, and in the Engine Tier tab).
•	If the user is uncertain of engine Tier, selecting Tier I is recommended based on the assumptions used in the 2017 National Emissions Inventory.
•	The naming of marine fuels and their associated sulfur contents can, and has, changed over time. If uncertain, users should select fuels based on sulfur content.</t>
  </si>
  <si>
    <t>6. Enter the Average Hotel Hours per Vessel Call.</t>
  </si>
  <si>
    <t>7. Quantities of emissions are estimated in metric ton (MT). Annual Energy Consumption (kWh), Annual Vessel Power Emissions (MT), Annual Shore Power EGU Emissions (MT), Annual Difference (MT), and Annual Percent Difference outputs are populated in the grey cells. Negative differences show reductions in emissions, positive differences show increases in emissions.  Carbon dioxide equivalent (CO2eq) is estimated using the Global Warming Potentials (GWP) of greenhouse gas species from the Fourth IPCC Assessment, aligned with the EPA eGRID methodology (GWP: carbon dioxide (CO2): 1, methane (CH4): 25, nitrous oxide (N2O): 298). For LNG fuels sulfur emissions are estimated as sulfur oxides (SOx), for all other fuels sulfur emissions are estimated as sulfur dioxide (SO2).
Vessel power emissions are calculated in columns J through N as:</t>
  </si>
  <si>
    <t>and shore EGU power emissions, incorporating grid losses, are calculated in columns P through T as:</t>
  </si>
  <si>
    <t>Methane</t>
  </si>
  <si>
    <t>Carbon dioxide</t>
  </si>
  <si>
    <t>Carbon dioxide equivalent</t>
  </si>
  <si>
    <t>eGRID</t>
  </si>
  <si>
    <t>Emissions &amp; Generation Resource Integrated Database</t>
  </si>
  <si>
    <t>EGU</t>
  </si>
  <si>
    <t>Emissions generating unit</t>
  </si>
  <si>
    <t>EPA</t>
  </si>
  <si>
    <t>United States Environmental Protection Agency</t>
  </si>
  <si>
    <t>g</t>
  </si>
  <si>
    <t>Grams</t>
  </si>
  <si>
    <t>GGL</t>
  </si>
  <si>
    <t>Gross grid loss</t>
  </si>
  <si>
    <t>GWP</t>
  </si>
  <si>
    <t>Global Warming Potential</t>
  </si>
  <si>
    <t>HC</t>
  </si>
  <si>
    <t>Hydrocarbon</t>
  </si>
  <si>
    <t>HFO</t>
  </si>
  <si>
    <t>Heavy Fuel Oil (3.50% S)</t>
  </si>
  <si>
    <t>IMO</t>
  </si>
  <si>
    <t>International Maritime Organization</t>
  </si>
  <si>
    <t>kW</t>
  </si>
  <si>
    <t>Kilowatt</t>
  </si>
  <si>
    <t>kWh</t>
  </si>
  <si>
    <t>Kilowatt-hour</t>
  </si>
  <si>
    <t>LNG</t>
  </si>
  <si>
    <t>Liquefied Natural Gas</t>
  </si>
  <si>
    <t>MDO</t>
  </si>
  <si>
    <t>Marine Distillate Oil (0.50% S)</t>
  </si>
  <si>
    <t>MGO</t>
  </si>
  <si>
    <t>Marine Gasoil (0.10% S)</t>
  </si>
  <si>
    <t>MT</t>
  </si>
  <si>
    <t>Metric ton (1,000kg)</t>
  </si>
  <si>
    <t>Nitrous oxide</t>
  </si>
  <si>
    <t>NOx</t>
  </si>
  <si>
    <t>Nitrogen oxides</t>
  </si>
  <si>
    <t>Particulate matter 2.5µm or smaller in diameter</t>
  </si>
  <si>
    <t>Sulfur dioxide</t>
  </si>
  <si>
    <t>SOx</t>
  </si>
  <si>
    <t>Sulfur oxides</t>
  </si>
  <si>
    <t>Emissions Calculator: High Capacity Shore Power Connection - General Calculator</t>
  </si>
  <si>
    <t>Annual Vessel Power Emissions (MT)</t>
  </si>
  <si>
    <t>Annual Shore Power EGU Emissions (MT)</t>
  </si>
  <si>
    <t>Annual Difference (MT)</t>
  </si>
  <si>
    <t>Annual Percent Difference</t>
  </si>
  <si>
    <t>eGRID Subregion</t>
  </si>
  <si>
    <t>Vessel Type</t>
  </si>
  <si>
    <t>Fuel / Engine Tier</t>
  </si>
  <si>
    <t>Number of Annual Vessel Calls</t>
  </si>
  <si>
    <t>Average Hotel Hours per Vessel Call</t>
  </si>
  <si>
    <t>Auxiliary Engine hotelling Load (kW)</t>
  </si>
  <si>
    <t>Annual Energy Consumption (kWh)</t>
  </si>
  <si>
    <t>Gross Grid Loss %</t>
  </si>
  <si>
    <r>
      <t>SO</t>
    </r>
    <r>
      <rPr>
        <b/>
        <vertAlign val="subscript"/>
        <sz val="12"/>
        <color rgb="FF000000"/>
        <rFont val="Calibri"/>
        <family val="2"/>
      </rPr>
      <t>2</t>
    </r>
  </si>
  <si>
    <r>
      <t>PM</t>
    </r>
    <r>
      <rPr>
        <b/>
        <vertAlign val="subscript"/>
        <sz val="12"/>
        <color rgb="FF000000"/>
        <rFont val="Calibri"/>
        <family val="2"/>
      </rPr>
      <t>2.5</t>
    </r>
  </si>
  <si>
    <r>
      <t>CO</t>
    </r>
    <r>
      <rPr>
        <b/>
        <vertAlign val="subscript"/>
        <sz val="12"/>
        <color rgb="FF000000"/>
        <rFont val="Calibri"/>
        <family val="2"/>
      </rPr>
      <t>2</t>
    </r>
  </si>
  <si>
    <r>
      <t>CO</t>
    </r>
    <r>
      <rPr>
        <b/>
        <vertAlign val="subscript"/>
        <sz val="12"/>
        <color rgb="FF000000"/>
        <rFont val="Calibri"/>
        <family val="2"/>
        <scheme val="minor"/>
      </rPr>
      <t>2</t>
    </r>
    <r>
      <rPr>
        <b/>
        <sz val="12"/>
        <color rgb="FF000000"/>
        <rFont val="Calibri"/>
        <family val="2"/>
        <scheme val="minor"/>
      </rPr>
      <t>eq</t>
    </r>
  </si>
  <si>
    <t>Dropdown</t>
  </si>
  <si>
    <t>Numerical Input</t>
  </si>
  <si>
    <t>Built in</t>
  </si>
  <si>
    <t>Output</t>
  </si>
  <si>
    <t>Emissions Calculator: High Capacity Shore Power Connection - User Entry Calculator</t>
  </si>
  <si>
    <t>Number Input</t>
  </si>
  <si>
    <t>eGRID subregions and annual 2018 emission rates in grams per kilowatt-hour. User defined entries are in rows 31 and 32. The map, top left corner in L5, shows eGRID subregions</t>
  </si>
  <si>
    <t>Annual Region Emission Rate (g/kWh)</t>
  </si>
  <si>
    <t>https://www.epa.gov/energy/egrid</t>
  </si>
  <si>
    <t xml:space="preserve">Subregion Name </t>
  </si>
  <si>
    <r>
      <t>NO</t>
    </r>
    <r>
      <rPr>
        <b/>
        <vertAlign val="subscript"/>
        <sz val="12"/>
        <color rgb="FF000000"/>
        <rFont val="Calibri"/>
        <family val="2"/>
      </rPr>
      <t>x</t>
    </r>
  </si>
  <si>
    <r>
      <t>CH</t>
    </r>
    <r>
      <rPr>
        <b/>
        <vertAlign val="subscript"/>
        <sz val="12"/>
        <color rgb="FF000000"/>
        <rFont val="Calibri"/>
        <family val="2"/>
      </rPr>
      <t>4</t>
    </r>
  </si>
  <si>
    <r>
      <t>N</t>
    </r>
    <r>
      <rPr>
        <b/>
        <vertAlign val="subscript"/>
        <sz val="12"/>
        <color theme="1"/>
        <rFont val="Calibri"/>
        <family val="2"/>
        <scheme val="minor"/>
      </rPr>
      <t>2</t>
    </r>
    <r>
      <rPr>
        <b/>
        <sz val="12"/>
        <color theme="1"/>
        <rFont val="Calibri"/>
        <family val="2"/>
        <scheme val="minor"/>
      </rPr>
      <t>O</t>
    </r>
  </si>
  <si>
    <t>Updated: 2020-09-28</t>
  </si>
  <si>
    <t>AKGD</t>
  </si>
  <si>
    <t>ASCC Alaska Grid</t>
  </si>
  <si>
    <t>AKMS</t>
  </si>
  <si>
    <t>ASCC Miscellaneous</t>
  </si>
  <si>
    <t>AZNM</t>
  </si>
  <si>
    <t>WECC Southwest</t>
  </si>
  <si>
    <t>CAMX</t>
  </si>
  <si>
    <t>WECC California</t>
  </si>
  <si>
    <t>ERCT</t>
  </si>
  <si>
    <t>ERCOT All</t>
  </si>
  <si>
    <t>FRCC</t>
  </si>
  <si>
    <t>FRCC All</t>
  </si>
  <si>
    <t>HIMS</t>
  </si>
  <si>
    <t>HICC Miscellaneous</t>
  </si>
  <si>
    <t>HIOA</t>
  </si>
  <si>
    <t>HICC Oahu</t>
  </si>
  <si>
    <t>MROE</t>
  </si>
  <si>
    <t>MRO East</t>
  </si>
  <si>
    <t>MROW</t>
  </si>
  <si>
    <t>MRO West</t>
  </si>
  <si>
    <t>NEWE</t>
  </si>
  <si>
    <t>NPCC New England</t>
  </si>
  <si>
    <t>NWPP</t>
  </si>
  <si>
    <t>WECC Northwest</t>
  </si>
  <si>
    <t>NYCW</t>
  </si>
  <si>
    <t>NPCC NYC/Westchester</t>
  </si>
  <si>
    <t>NYLI</t>
  </si>
  <si>
    <t>NPCC Long Island</t>
  </si>
  <si>
    <t>NYUP</t>
  </si>
  <si>
    <t>NPCC Upstate NY</t>
  </si>
  <si>
    <t>RFCE</t>
  </si>
  <si>
    <t>RFC East</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</si>
  <si>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</si>
  <si>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</si>
  <si>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</si>
  <si>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</si>
  <si>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</si>
  <si>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</si>
  <si>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</si>
  <si>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</si>
  <si>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</si>
  <si>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</si>
  <si>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</si>
  <si>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</si>
  <si>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</si>
  <si>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</si>
  <si>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</si>
  <si>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</si>
  <si>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</si>
  <si>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</si>
  <si>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</si>
  <si>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</si>
  <si>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USER DEFINED 1</t>
  </si>
  <si>
    <t>USER DEFINED 2</t>
  </si>
  <si>
    <t>Auxiliary engine emission factors in grams per kilowatt-hour</t>
  </si>
  <si>
    <t>EF references</t>
  </si>
  <si>
    <t>Table 3.5</t>
  </si>
  <si>
    <t>Section 3.5.7</t>
  </si>
  <si>
    <t>Section 3.5.6</t>
  </si>
  <si>
    <t>Section 3.5.4</t>
  </si>
  <si>
    <t>Section 3.5.3</t>
  </si>
  <si>
    <t>Table 3.9</t>
  </si>
  <si>
    <t>LNG Emission Factors from the Fourth IMO Greenhouse Gas Study (Faber et al., 2020) (g/kWh)</t>
  </si>
  <si>
    <t>(LNG SO2 &amp; CH4)</t>
  </si>
  <si>
    <t>IMO 2020</t>
  </si>
  <si>
    <t>Page 156</t>
  </si>
  <si>
    <t>Page 159</t>
  </si>
  <si>
    <t>Tier</t>
  </si>
  <si>
    <t>Fuel</t>
  </si>
  <si>
    <t>LNG - Otto MS</t>
  </si>
  <si>
    <t>MGO (0.10% S)</t>
  </si>
  <si>
    <t>Report Table/Page</t>
  </si>
  <si>
    <t>Table 48/Page 156</t>
  </si>
  <si>
    <t>Table 56/Page 159</t>
  </si>
  <si>
    <t>Emission factors in grey are derived from Fourth IMO Greenhouse Gas Study (above)</t>
  </si>
  <si>
    <t>MDO (0.50% S)</t>
  </si>
  <si>
    <t>HFO (3.50% S)</t>
  </si>
  <si>
    <t>Otto - MS</t>
  </si>
  <si>
    <t>USER TIER</t>
  </si>
  <si>
    <t>USER FUEL 1</t>
  </si>
  <si>
    <t>USER FUEL 2</t>
  </si>
  <si>
    <t>Chemical Tanker - Small</t>
  </si>
  <si>
    <t>MDO (0.50% S) - Tier II</t>
  </si>
  <si>
    <t>Container Ship - 3,000 TEU</t>
  </si>
  <si>
    <t>MGO (0.10% S) - Tier I</t>
  </si>
  <si>
    <t>Cruise - 100,000 Ton</t>
  </si>
  <si>
    <t>MGO (0.10% S) - Tier II</t>
  </si>
  <si>
    <t>Auxiliary engine loads for transit, maneuvering, hoellting, and anchroage opearting modes, by vessel type</t>
  </si>
  <si>
    <t>Ship Type</t>
  </si>
  <si>
    <t>Subtype</t>
  </si>
  <si>
    <t>Ship Type - Subtype</t>
  </si>
  <si>
    <t>Transit (kW)</t>
  </si>
  <si>
    <t>Maneuvering (kW)</t>
  </si>
  <si>
    <t>Hotelling (kW)</t>
  </si>
  <si>
    <t>Anchorage (kW)</t>
  </si>
  <si>
    <t>Bulk Carrier</t>
  </si>
  <si>
    <t>Small</t>
  </si>
  <si>
    <t>Handysize</t>
  </si>
  <si>
    <t>Handymax</t>
  </si>
  <si>
    <t>Panamax</t>
  </si>
  <si>
    <t>Capesize</t>
  </si>
  <si>
    <t>Capesize Largest</t>
  </si>
  <si>
    <t>Chemical Tanker</t>
  </si>
  <si>
    <t>Smallest</t>
  </si>
  <si>
    <t>Container Ship</t>
  </si>
  <si>
    <t>1,000 TEU</t>
  </si>
  <si>
    <t>2,000 TEU</t>
  </si>
  <si>
    <t>3,000 TEU</t>
  </si>
  <si>
    <t>5,000 TEU</t>
  </si>
  <si>
    <t>8,000 TEU</t>
  </si>
  <si>
    <t>12,000 TEU</t>
  </si>
  <si>
    <t>14,500 TEU</t>
  </si>
  <si>
    <t>Largest</t>
  </si>
  <si>
    <t>Cruise</t>
  </si>
  <si>
    <t>2,000 Ton</t>
  </si>
  <si>
    <t>10,000 Ton</t>
  </si>
  <si>
    <t>60,000 Ton</t>
  </si>
  <si>
    <t>100,000 Ton</t>
  </si>
  <si>
    <t>Ferry/Passenger (C3)</t>
  </si>
  <si>
    <t>Ferry/Roll-on/Passenger (C3)</t>
  </si>
  <si>
    <t>Fishing (C3)</t>
  </si>
  <si>
    <t>All C3 Fishing</t>
  </si>
  <si>
    <t>General Cargo</t>
  </si>
  <si>
    <t>5,000 DWT</t>
  </si>
  <si>
    <t>10,000 DWT</t>
  </si>
  <si>
    <t>Liquified Gas Tanker</t>
  </si>
  <si>
    <t>50,000 DWT</t>
  </si>
  <si>
    <t>100,000 DWT</t>
  </si>
  <si>
    <t>200,000 DWT</t>
  </si>
  <si>
    <t>Miscellaneous (C3)</t>
  </si>
  <si>
    <t>All C3 Misc.</t>
  </si>
  <si>
    <t>Offshore Support/Drillship</t>
  </si>
  <si>
    <t>All Offshore Support/Drillship</t>
  </si>
  <si>
    <t>Oil Tanker</t>
  </si>
  <si>
    <t>Aframax</t>
  </si>
  <si>
    <t>Suezmax</t>
  </si>
  <si>
    <t>VLCC</t>
  </si>
  <si>
    <t>Other Service</t>
  </si>
  <si>
    <t>All Other Service</t>
  </si>
  <si>
    <t>Other Tanker</t>
  </si>
  <si>
    <t>All Other Tanker</t>
  </si>
  <si>
    <t>Reefer</t>
  </si>
  <si>
    <t>All Reefer</t>
  </si>
  <si>
    <t>RORO</t>
  </si>
  <si>
    <t>5,000 Ton</t>
  </si>
  <si>
    <t>Vehicle Carrier</t>
  </si>
  <si>
    <t>4,000 Vehicles</t>
  </si>
  <si>
    <t>Yacht</t>
  </si>
  <si>
    <t>C2/C3 Yacht</t>
  </si>
  <si>
    <t>USER VESSEL 1</t>
  </si>
  <si>
    <t>USER VESSEL 2</t>
  </si>
  <si>
    <t>USER VESSEL 3</t>
  </si>
  <si>
    <t>USER VESSEL 4</t>
  </si>
  <si>
    <t>USER VESSEL 5</t>
  </si>
  <si>
    <t>USER VESSEL 6</t>
  </si>
  <si>
    <t>USER VESSEL 7</t>
  </si>
  <si>
    <t>USER VESSEL 8</t>
  </si>
  <si>
    <t>USER VESSEL 9</t>
  </si>
  <si>
    <t>USER VESSEL 10</t>
  </si>
  <si>
    <t>Vessel engine tier by keel laid date</t>
  </si>
  <si>
    <t>IMO (2020) is Faber, J., S. Hanayama, S. Yuan., Zhang P., Pereda H., B. Comer, E. Hauerhof,  H. Yuan. et al., Fourth IMO GHG Study 2020, International maritime Organization, London, UK. Retrieved from https://docs.imo.org</t>
  </si>
  <si>
    <t>Vessel Fuel Emission Factor Calculations</t>
  </si>
  <si>
    <t>Vessel Fuel Emission Factor Variables and Coefficients</t>
  </si>
  <si>
    <t>LNG SO2 &amp; CH4</t>
  </si>
  <si>
    <t>Page 483</t>
  </si>
  <si>
    <t>Page 486</t>
  </si>
  <si>
    <t>Description</t>
  </si>
  <si>
    <t>Coefficient/Variable Name</t>
  </si>
  <si>
    <t>Value</t>
  </si>
  <si>
    <t>Source</t>
  </si>
  <si>
    <t>Brake specific fuel consumption (0.1% S)</t>
  </si>
  <si>
    <t>BSFC (0.1% S)</t>
  </si>
  <si>
    <t>MGO (0.1% S)</t>
  </si>
  <si>
    <t>Brake specific fuel consumption (0.5% S)</t>
  </si>
  <si>
    <t>BSFC (0.5% S)</t>
  </si>
  <si>
    <t>Brake specific fuel consumption (2.7% S)</t>
  </si>
  <si>
    <t>BSFC (2.7% S)</t>
  </si>
  <si>
    <t>Brake specific fuel consumption (LNG)</t>
  </si>
  <si>
    <t>BSFC (LNG)</t>
  </si>
  <si>
    <t>Actual fuel sulfur level (0.1% S) (weight ratio)</t>
  </si>
  <si>
    <t>S_act (0.1% S)</t>
  </si>
  <si>
    <t>MDO (0.5% S)</t>
  </si>
  <si>
    <t>Actual fuel sulfur level (0.5% S) (weight ratio)</t>
  </si>
  <si>
    <t>S_act (0.5% S)</t>
  </si>
  <si>
    <t>Actual fuel sulfur level (2.7% S) (weight ratio)</t>
  </si>
  <si>
    <t>S_act (2.7% S)</t>
  </si>
  <si>
    <t>Sulfur content factor (LNG) (g SOx/g fuel)</t>
  </si>
  <si>
    <t>g SOx / g Fuel (LNG)</t>
  </si>
  <si>
    <t>IMO 2020, Table 48, pp483</t>
  </si>
  <si>
    <t>Fuel sulfur conversion to SO2</t>
  </si>
  <si>
    <t>FSC_so2</t>
  </si>
  <si>
    <t>HFO (2.7% S)</t>
  </si>
  <si>
    <t>Molecular weight ratio of SO2 to sulfur</t>
  </si>
  <si>
    <t>MWR_so2</t>
  </si>
  <si>
    <t>Carbon content factor (0.1% S, 0.5% S) (g CO2/g fuel)</t>
  </si>
  <si>
    <t>CCF_(0.1% S, 0.5% S)</t>
  </si>
  <si>
    <t>Carbon content factor (2.7% S) (g CO2/g fuel)</t>
  </si>
  <si>
    <t>CCF_(2.7% S)</t>
  </si>
  <si>
    <t>Carbon content factor (LNG) (g CO2/g fuel)</t>
  </si>
  <si>
    <t>CCF_(LNG)</t>
  </si>
  <si>
    <t>HC emission factor (g/kWh)</t>
  </si>
  <si>
    <t>Ratio PM2.5 / PM10</t>
  </si>
  <si>
    <t>PM_ratio</t>
  </si>
  <si>
    <t>Base Emission factor (0.1% S, 0.5% S) (g/kWh)</t>
  </si>
  <si>
    <t>PM_base (0.1% S, 0.5% S)</t>
  </si>
  <si>
    <t>Base Emission factor (2.7% S,) (g/kWh)</t>
  </si>
  <si>
    <t>PM_base (2.7% S)</t>
  </si>
  <si>
    <t>Fuel sulfur conversion to sulfate PM</t>
  </si>
  <si>
    <t>FSC_pm</t>
  </si>
  <si>
    <t>Molecular weight ratio of sulfate pm to sulfur</t>
  </si>
  <si>
    <t>MWR_pm</t>
  </si>
  <si>
    <t>LNG PM10 emission factor (g/kWh)</t>
  </si>
  <si>
    <t>PM_lng</t>
  </si>
  <si>
    <t>Global Warming Potential CO2</t>
  </si>
  <si>
    <t>GWP_co2</t>
  </si>
  <si>
    <t>Global Warming Potential CH4</t>
  </si>
  <si>
    <t>GWP_ch4</t>
  </si>
  <si>
    <t>Global Warming Potential N2O</t>
  </si>
  <si>
    <t>GWP_n20</t>
  </si>
  <si>
    <t>CH4 ratio of total hydrocarbons</t>
  </si>
  <si>
    <t>HC_CH4</t>
  </si>
  <si>
    <t>Additional Resources</t>
  </si>
  <si>
    <t xml:space="preserve">Additional resources can be found at the bottom of this document about vessel parameters at berth. </t>
  </si>
  <si>
    <t>(2) The Port of Los Angeles Annual Inventory of Air Emissions. www.portoflosangeles.org/environment/air-quality/air-emissions-inventory</t>
  </si>
  <si>
    <t xml:space="preserve">(1) CARB (2019) Update to Inventory for Ocean-Going Vessels at Berth: Methodology and Results, Appendix H. ww2.arb.ca.gov/sites/default/files/barcu/regact/2019/ogvatberth2019/apph.pdf </t>
  </si>
  <si>
    <r>
      <t xml:space="preserve">The General Calculator is found in the </t>
    </r>
    <r>
      <rPr>
        <i/>
        <sz val="12"/>
        <color theme="1"/>
        <rFont val="Calibri"/>
        <family val="2"/>
        <scheme val="minor"/>
      </rPr>
      <t xml:space="preserve">General Calculator </t>
    </r>
    <r>
      <rPr>
        <sz val="12"/>
        <color theme="1"/>
        <rFont val="Calibri"/>
        <family val="2"/>
        <scheme val="minor"/>
      </rPr>
      <t>tab and is available for users who will be using default values for estimating shore power emissions.</t>
    </r>
  </si>
  <si>
    <r>
      <t xml:space="preserve">1. Select the </t>
    </r>
    <r>
      <rPr>
        <i/>
        <sz val="12"/>
        <color theme="1"/>
        <rFont val="Calibri"/>
        <family val="2"/>
        <scheme val="minor"/>
      </rPr>
      <t>General Calculator</t>
    </r>
    <r>
      <rPr>
        <sz val="12"/>
        <color theme="1"/>
        <rFont val="Calibri"/>
        <family val="2"/>
        <scheme val="minor"/>
      </rPr>
      <t xml:space="preserve"> tab in the Shore Power Emissions Calculator Workbook</t>
    </r>
  </si>
  <si>
    <r>
      <t xml:space="preserve">2. Select the </t>
    </r>
    <r>
      <rPr>
        <b/>
        <sz val="12"/>
        <color theme="1"/>
        <rFont val="Calibri"/>
        <family val="2"/>
        <scheme val="minor"/>
      </rPr>
      <t xml:space="preserve">eGRID Region </t>
    </r>
    <r>
      <rPr>
        <sz val="12"/>
        <color theme="1"/>
        <rFont val="Calibri"/>
        <family val="2"/>
        <scheme val="minor"/>
      </rPr>
      <t xml:space="preserve">containing the port of interest using the dropdown menu. eGRID2018 regions are shown in the </t>
    </r>
    <r>
      <rPr>
        <i/>
        <sz val="12"/>
        <color theme="1"/>
        <rFont val="Calibri"/>
        <family val="2"/>
        <scheme val="minor"/>
      </rPr>
      <t xml:space="preserve">eGRID2018 Region </t>
    </r>
    <r>
      <rPr>
        <sz val="12"/>
        <color theme="1"/>
        <rFont val="Calibri"/>
        <family val="2"/>
        <scheme val="minor"/>
      </rPr>
      <t>tab.</t>
    </r>
  </si>
  <si>
    <r>
      <t xml:space="preserve">6. Enter the </t>
    </r>
    <r>
      <rPr>
        <b/>
        <sz val="12"/>
        <color theme="1"/>
        <rFont val="Calibri"/>
        <family val="2"/>
        <scheme val="minor"/>
      </rPr>
      <t xml:space="preserve">Number of Annual Vessel Calls </t>
    </r>
    <r>
      <rPr>
        <sz val="12"/>
        <color theme="1"/>
        <rFont val="Calibri"/>
        <family val="2"/>
        <scheme val="minor"/>
      </rPr>
      <t xml:space="preserve">that will be using shore power for each </t>
    </r>
    <r>
      <rPr>
        <b/>
        <sz val="12"/>
        <color theme="1"/>
        <rFont val="Calibri"/>
        <family val="2"/>
        <scheme val="minor"/>
      </rPr>
      <t xml:space="preserve">Vessel Type </t>
    </r>
    <r>
      <rPr>
        <sz val="12"/>
        <color theme="1"/>
        <rFont val="Calibri"/>
        <family val="2"/>
        <scheme val="minor"/>
      </rPr>
      <t>entered. Note that the calculator assumes a single vessel for each vessel type selected.</t>
    </r>
  </si>
  <si>
    <r>
      <t>Emissions of nitrogen oxides (NOx), sulfur dioxide (SO</t>
    </r>
    <r>
      <rPr>
        <vertAlign val="subscript"/>
        <sz val="12"/>
        <color theme="1"/>
        <rFont val="Calibri"/>
        <family val="2"/>
        <scheme val="minor"/>
      </rPr>
      <t>2</t>
    </r>
    <r>
      <rPr>
        <sz val="12"/>
        <color theme="1"/>
        <rFont val="Calibri"/>
        <family val="2"/>
        <scheme val="minor"/>
      </rPr>
      <t>), and particulate matter 2.5 microns or smaller (PM</t>
    </r>
    <r>
      <rPr>
        <vertAlign val="subscript"/>
        <sz val="12"/>
        <color theme="1"/>
        <rFont val="Calibri"/>
        <family val="2"/>
        <scheme val="minor"/>
      </rPr>
      <t>2.5</t>
    </r>
    <r>
      <rPr>
        <sz val="12"/>
        <color theme="1"/>
        <rFont val="Calibri"/>
        <family val="2"/>
        <scheme val="minor"/>
      </rPr>
      <t>) are given rounded to three decimal places. Emissions of CO</t>
    </r>
    <r>
      <rPr>
        <vertAlign val="subscript"/>
        <sz val="12"/>
        <color theme="1"/>
        <rFont val="Calibri"/>
        <family val="2"/>
        <scheme val="minor"/>
      </rPr>
      <t>2</t>
    </r>
    <r>
      <rPr>
        <sz val="12"/>
        <color theme="1"/>
        <rFont val="Calibri"/>
        <family val="2"/>
        <scheme val="minor"/>
      </rPr>
      <t xml:space="preserve"> and CO</t>
    </r>
    <r>
      <rPr>
        <vertAlign val="subscript"/>
        <sz val="12"/>
        <color theme="1"/>
        <rFont val="Calibri"/>
        <family val="2"/>
        <scheme val="minor"/>
      </rPr>
      <t>2</t>
    </r>
    <r>
      <rPr>
        <sz val="12"/>
        <color theme="1"/>
        <rFont val="Calibri"/>
        <family val="2"/>
        <scheme val="minor"/>
      </rPr>
      <t>eq are given rounded to the nearest whole number.</t>
    </r>
  </si>
  <si>
    <r>
      <t xml:space="preserve">1. Select the </t>
    </r>
    <r>
      <rPr>
        <i/>
        <sz val="12"/>
        <color theme="1"/>
        <rFont val="Calibri"/>
        <family val="2"/>
        <scheme val="minor"/>
      </rPr>
      <t>User Entry Calculator</t>
    </r>
    <r>
      <rPr>
        <sz val="12"/>
        <color theme="1"/>
        <rFont val="Calibri"/>
        <family val="2"/>
        <scheme val="minor"/>
      </rPr>
      <t xml:space="preserve"> tab in the Shore Power Emissions Calculator Workbook</t>
    </r>
  </si>
  <si>
    <r>
      <t xml:space="preserve">4. The </t>
    </r>
    <r>
      <rPr>
        <b/>
        <sz val="12"/>
        <color theme="1"/>
        <rFont val="Calibri"/>
        <family val="2"/>
        <scheme val="minor"/>
      </rPr>
      <t>Auxiliary Engine Hotelling Load (kW)</t>
    </r>
    <r>
      <rPr>
        <sz val="12"/>
        <color theme="1"/>
        <rFont val="Calibri"/>
        <family val="2"/>
        <scheme val="minor"/>
      </rPr>
      <t xml:space="preserve"> field will populate automatically based on assumed operating loads for the vessel type selected, or user-entered USER VESSEL values.</t>
    </r>
  </si>
  <si>
    <r>
      <t xml:space="preserve">5. Enter the </t>
    </r>
    <r>
      <rPr>
        <b/>
        <sz val="12"/>
        <color theme="1"/>
        <rFont val="Calibri"/>
        <family val="2"/>
        <scheme val="minor"/>
      </rPr>
      <t xml:space="preserve">Number of Annual Vessel Calls </t>
    </r>
    <r>
      <rPr>
        <sz val="12"/>
        <color theme="1"/>
        <rFont val="Calibri"/>
        <family val="2"/>
        <scheme val="minor"/>
      </rPr>
      <t xml:space="preserve">that will be using shore power for each </t>
    </r>
    <r>
      <rPr>
        <b/>
        <sz val="12"/>
        <color theme="1"/>
        <rFont val="Calibri"/>
        <family val="2"/>
        <scheme val="minor"/>
      </rPr>
      <t xml:space="preserve">Vessel Type </t>
    </r>
    <r>
      <rPr>
        <sz val="12"/>
        <color theme="1"/>
        <rFont val="Calibri"/>
        <family val="2"/>
        <scheme val="minor"/>
      </rPr>
      <t>entered. Note that the calculator assumes a single vessel for each vessel type selected.</t>
    </r>
  </si>
  <si>
    <r>
      <t>CH</t>
    </r>
    <r>
      <rPr>
        <vertAlign val="subscript"/>
        <sz val="12"/>
        <color theme="1"/>
        <rFont val="Calibri"/>
        <family val="2"/>
        <scheme val="minor"/>
      </rPr>
      <t>4</t>
    </r>
  </si>
  <si>
    <r>
      <t>CO</t>
    </r>
    <r>
      <rPr>
        <vertAlign val="subscript"/>
        <sz val="12"/>
        <color theme="1"/>
        <rFont val="Calibri"/>
        <family val="2"/>
        <scheme val="minor"/>
      </rPr>
      <t>2</t>
    </r>
  </si>
  <si>
    <r>
      <t>CO</t>
    </r>
    <r>
      <rPr>
        <vertAlign val="subscript"/>
        <sz val="12"/>
        <color theme="1"/>
        <rFont val="Calibri"/>
        <family val="2"/>
        <scheme val="minor"/>
      </rPr>
      <t>2</t>
    </r>
    <r>
      <rPr>
        <sz val="12"/>
        <color theme="1"/>
        <rFont val="Calibri"/>
        <family val="2"/>
        <scheme val="minor"/>
      </rPr>
      <t>eq</t>
    </r>
  </si>
  <si>
    <r>
      <t>N</t>
    </r>
    <r>
      <rPr>
        <vertAlign val="subscript"/>
        <sz val="12"/>
        <color theme="1"/>
        <rFont val="Calibri"/>
        <family val="2"/>
        <scheme val="minor"/>
      </rPr>
      <t>2</t>
    </r>
    <r>
      <rPr>
        <sz val="12"/>
        <color theme="1"/>
        <rFont val="Calibri"/>
        <family val="2"/>
        <scheme val="minor"/>
      </rPr>
      <t>O</t>
    </r>
  </si>
  <si>
    <r>
      <t>PM</t>
    </r>
    <r>
      <rPr>
        <vertAlign val="subscript"/>
        <sz val="12"/>
        <color theme="1"/>
        <rFont val="Calibri"/>
        <family val="2"/>
        <scheme val="minor"/>
      </rPr>
      <t>2.5</t>
    </r>
  </si>
  <si>
    <r>
      <t>SO</t>
    </r>
    <r>
      <rPr>
        <vertAlign val="subscript"/>
        <sz val="12"/>
        <color theme="1"/>
        <rFont val="Calibri"/>
        <family val="2"/>
        <scheme val="minor"/>
      </rPr>
      <t>2</t>
    </r>
  </si>
  <si>
    <t>These resources contain additional vessel parameters for use in the "User Entry Calculator":</t>
  </si>
  <si>
    <t>EPA 2022</t>
  </si>
  <si>
    <t xml:space="preserve">The shore power emissions calculator can calculate emissions of criteria and greenhouse gas (GHG) pollutants based on vessel and fuel inputs, and the regional electricity grid mix. Shore power emissions are estimated using emission factors from the United States Environmental Protection Agency’s (EPA) Emissions &amp; Generation Resource Integrated Database (eGRID) 2018 data (1), and vessel emissions are estimated using emission factors from EPA’s 2022 Port Emissions Inventory Guidance (EPA, 2022) (2). 
</t>
  </si>
  <si>
    <r>
      <t xml:space="preserve">3. Select the </t>
    </r>
    <r>
      <rPr>
        <b/>
        <sz val="12"/>
        <color theme="1"/>
        <rFont val="Calibri"/>
        <family val="2"/>
        <scheme val="minor"/>
      </rPr>
      <t xml:space="preserve">Vessel Type </t>
    </r>
    <r>
      <rPr>
        <sz val="12"/>
        <color theme="1"/>
        <rFont val="Calibri"/>
        <family val="2"/>
        <scheme val="minor"/>
      </rPr>
      <t xml:space="preserve">using the dropdown menu. The user can select one of 53 combinations of vessel types and sub-types/sizes that are included, with more detail available in the </t>
    </r>
    <r>
      <rPr>
        <i/>
        <sz val="12"/>
        <color theme="1"/>
        <rFont val="Calibri"/>
        <family val="2"/>
        <scheme val="minor"/>
      </rPr>
      <t>Vessel Type</t>
    </r>
    <r>
      <rPr>
        <sz val="12"/>
        <color theme="1"/>
        <rFont val="Calibri"/>
        <family val="2"/>
        <scheme val="minor"/>
      </rPr>
      <t xml:space="preserve"> tab. Vessel sizes/subtypes are described in EPA (2022), Appendix E. The Shore Power Emissions Calculator estimates emissions based on auxiliary engine loads while hotelling.</t>
    </r>
  </si>
  <si>
    <r>
      <t xml:space="preserve">5. The power, in kilowatts (kW) in the </t>
    </r>
    <r>
      <rPr>
        <b/>
        <sz val="12"/>
        <color theme="1"/>
        <rFont val="Calibri"/>
        <family val="2"/>
        <scheme val="minor"/>
      </rPr>
      <t>Hotelling Load (kW)</t>
    </r>
    <r>
      <rPr>
        <sz val="12"/>
        <color theme="1"/>
        <rFont val="Calibri"/>
        <family val="2"/>
        <scheme val="minor"/>
      </rPr>
      <t xml:space="preserve"> field will populate automatically based on default operating loads for the vessel type selected. See EPA (2022) Table E.1. for additional detail on assumed operating loads.</t>
    </r>
  </si>
  <si>
    <t>(2) EPA (2022) Ports Emissions Inventory Guidance: Methodologies for Estimating Port-Related and Goods Movement Mobile Source Emissions Report  EPA-420-B-22-011. April 2022. https://www.epa.gov/state-and-local-transportation/port-emissions-inventory-guidance. LNG emission factors for SO2 and CH4 are from the Fourth IMO Greenhouse Gas Study, retrieved from https://docs.imo.org</t>
  </si>
  <si>
    <t>Auxiliary engine emission factors in g/kWh (from EPA 2022 unless otherwise noted). Emission factors generally assume medium speed diesel engines</t>
  </si>
  <si>
    <t>From Table E.1. Default OGV Auxiliary Engine Operating Loads by Mode (EPA 2022). See Table 3.4 for detailed description of vessel sizes/subtypes</t>
  </si>
  <si>
    <t xml:space="preserve">EPA (2022) is the Ports Emissions Inventory Guidance: Methodologies for Estimating Port-Related and Goods Movement Mobile Source Emissions Report EPA 420-B-20-046. September 2020. (NOX table updated Feb. 2022 per EPA) </t>
  </si>
  <si>
    <t>EPA 2022, Section 3.5.2</t>
  </si>
  <si>
    <t>EPA 2022, Section 3.5.7</t>
  </si>
  <si>
    <t>EPA 2022, Section 3.5.6</t>
  </si>
  <si>
    <t>EPA 2022, Section 3.5.4</t>
  </si>
  <si>
    <t>EPA 2022, Section 3.5.3</t>
  </si>
  <si>
    <t>Vessel Engine Tier by keel laid date. See Table 3.5 in EPA (2022) for additional details</t>
  </si>
  <si>
    <t>EPA (2020a) is the The Emissions &amp; Generation Resource Integrated Database: Technical Support Document for eGRID with Year 2018 Data. Contract # EP-BPA-17-H-0012, Task Order 4, January 2020.</t>
  </si>
  <si>
    <r>
      <t>EPA (2020b) is the Draft eGRID2018 PM2.5 methodology, Estimating Particulate Matter Emissions for eGRID, Draft White Paper, July 2020, and accompanying emissions data.</t>
    </r>
    <r>
      <rPr>
        <sz val="12"/>
        <rFont val="Calibri"/>
        <family val="2"/>
      </rPr>
      <t xml:space="preserve"> https://www.epa.gov/egrid/egrid-related-materials</t>
    </r>
  </si>
  <si>
    <t>EPA 2020a, Section 3.1.1.2, Table 3-1</t>
  </si>
  <si>
    <t>(1) Emissions &amp; Gerneration Resource Integrated Database (eGRID) https://www.epa.gov/egrid</t>
  </si>
  <si>
    <t>IMO Engine Tier</t>
  </si>
  <si>
    <t>2011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</si>
</sst>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0.000"/>
    <numFmt numFmtId="165" formatCode="0.0000"/>
    <numFmt numFmtId="166" formatCode="0.0"/>
    <numFmt numFmtId="167" formatCode="#,##0.0000"/>
    <numFmt numFmtId="168" formatCode="#,##0.0"/>
    <numFmt numFmtId="169" formatCode="0.000"/>
    <numFmt numFmtId="170" formatCode="0.0%"/>
    <numFmt numFmtId="171" formatCode="0.000000"/>
    <numFmt numFmtId="172" formatCode="0.00000"/>
  </numFmts>
  <fonts count="34">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2"/>
      <color rgb="FF000000"/>
      <name val="Calibri"/>
      <family val="2"/>
      <scheme val="minor"/>
    </font>
    <font>
      <sz val="10"/>
      <name val="Arial"/>
      <family val="2"/>
    </font>
    <font>
      <sz val="11"/>
      <color theme="1"/>
      <name val="Calibri"/>
      <family val="2"/>
      <scheme val="minor"/>
    </font>
    <font>
      <sz val="10"/>
      <name val="MS Sans Serif"/>
      <family val="2"/>
    </font>
    <font>
      <b/>
      <sz val="12"/>
      <name val="Calibri"/>
      <family val="2"/>
    </font>
    <font>
      <sz val="12"/>
      <color theme="1"/>
      <name val="Calibri"/>
      <family val="2"/>
    </font>
    <font>
      <sz val="12"/>
      <name val="Calibri"/>
      <family val="2"/>
    </font>
    <font>
      <sz val="8"/>
      <name val="Calibri"/>
      <family val="2"/>
      <scheme val="minor"/>
    </font>
    <font>
      <sz val="12"/>
      <color theme="0"/>
      <name val="Calibri (Body)"/>
    </font>
    <font>
      <sz val="12"/>
      <color theme="0"/>
      <name val="Calibri"/>
      <family val="2"/>
    </font>
    <font>
      <b/>
      <sz val="12"/>
      <color rgb="FF000000"/>
      <name val="Calibri"/>
      <family val="2"/>
    </font>
    <font>
      <b/>
      <vertAlign val="subscript"/>
      <sz val="12"/>
      <color rgb="FF000000"/>
      <name val="Calibri"/>
      <family val="2"/>
    </font>
    <font>
      <sz val="12"/>
      <color rgb="FF000000"/>
      <name val="Calibri"/>
      <family val="2"/>
    </font>
    <font>
      <b/>
      <sz val="12"/>
      <color theme="1"/>
      <name val="Calibri"/>
      <family val="2"/>
    </font>
    <font>
      <b/>
      <sz val="11"/>
      <color rgb="FF000000"/>
      <name val="Times New Roman"/>
      <family val="1"/>
    </font>
    <font>
      <sz val="11"/>
      <name val="Times New Roman"/>
      <family val="1"/>
    </font>
    <font>
      <sz val="12"/>
      <color rgb="FFFF0000"/>
      <name val="Calibri"/>
      <family val="2"/>
    </font>
    <font>
      <b/>
      <sz val="12"/>
      <color rgb="FF000000"/>
      <name val="Calibri"/>
      <family val="2"/>
      <scheme val="minor"/>
    </font>
    <font>
      <b/>
      <vertAlign val="subscript"/>
      <sz val="12"/>
      <color rgb="FF000000"/>
      <name val="Calibri"/>
      <family val="2"/>
      <scheme val="minor"/>
    </font>
    <font>
      <b/>
      <vertAlign val="subscript"/>
      <sz val="12"/>
      <color theme="1"/>
      <name val="Calibri"/>
      <family val="2"/>
      <scheme val="minor"/>
    </font>
    <font>
      <sz val="12"/>
      <color theme="0"/>
      <name val="Calibri"/>
      <family val="2"/>
      <scheme val="minor"/>
    </font>
    <font>
      <b/>
      <sz val="16"/>
      <color theme="1"/>
      <name val="Calibri"/>
      <family val="2"/>
      <scheme val="minor"/>
    </font>
    <font>
      <i/>
      <sz val="12"/>
      <color theme="1"/>
      <name val="Calibri"/>
      <family val="2"/>
      <scheme val="minor"/>
    </font>
    <font>
      <sz val="12"/>
      <name val="Calibri"/>
      <family val="2"/>
      <scheme val="minor"/>
    </font>
    <font>
      <vertAlign val="subscript"/>
      <sz val="12"/>
      <color theme="1"/>
      <name val="Calibri"/>
      <family val="2"/>
      <scheme val="minor"/>
    </font>
    <font>
      <sz val="10"/>
      <color theme="1"/>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EEFBFF"/>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s>
  <borders count="6">
    <border>
      <left/>
      <right/>
      <top/>
      <bottom/>
      <diagonal/>
    </border>
    <border>
      <left/>
      <right/>
      <top style="medium">
        <color rgb="FF000000"/>
      </top>
      <bottom style="medium">
        <color rgb="FF000000"/>
      </bottom>
      <diagonal/>
    </border>
    <border>
      <left/>
      <right/>
      <top/>
      <bottom style="medium">
        <color auto="1"/>
      </bottom>
      <diagonal/>
    </border>
    <border>
      <left/>
      <right/>
      <top style="thin">
        <color auto="1"/>
      </top>
      <bottom/>
      <diagonal/>
    </border>
    <border>
      <left/>
      <right/>
      <top style="thin">
        <color auto="1"/>
      </top>
      <bottom style="medium">
        <color auto="1"/>
      </bottom>
      <diagonal/>
    </border>
    <border>
      <left/>
      <right/>
      <top/>
      <bottom style="medium">
        <color rgb="FF000000"/>
      </bottom>
      <diagonal/>
    </border>
  </borders>
  <cellStyleXfs count="207">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9"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11"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2" fillId="0" borderId="0"/>
    <xf numFmtId="43" fontId="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 fillId="0" borderId="0" applyNumberFormat="0" applyFill="0" applyBorder="0" applyAlignment="0" applyProtection="0"/>
  </cellStyleXfs>
  <cellXfs count="178">
    <xf numFmtId="0" fontId="0" fillId="0" borderId="0" xfId="0"/>
    <xf numFmtId="3" fontId="0" fillId="0" borderId="0" xfId="0" applyNumberFormat="1"/>
    <xf numFmtId="0" fontId="0" fillId="0" borderId="0" xfId="0" applyAlignment="1">
      <alignment wrapText="1"/>
    </xf>
    <xf numFmtId="3" fontId="0" fillId="0" borderId="0" xfId="0" applyNumberFormat="1" applyBorder="1"/>
    <xf numFmtId="0" fontId="4" fillId="0" borderId="2" xfId="0" applyFont="1" applyBorder="1" applyAlignment="1">
      <alignment wrapText="1"/>
    </xf>
    <xf numFmtId="3" fontId="4" fillId="0" borderId="2" xfId="0" applyNumberFormat="1" applyFont="1" applyBorder="1" applyAlignment="1">
      <alignment wrapText="1"/>
    </xf>
    <xf numFmtId="0" fontId="4" fillId="0" borderId="2" xfId="0" applyFont="1" applyBorder="1" applyAlignment="1">
      <alignment horizontal="center" wrapText="1"/>
    </xf>
    <xf numFmtId="0" fontId="0" fillId="0" borderId="0" xfId="0" applyFill="1" applyBorder="1"/>
    <xf numFmtId="3" fontId="8" fillId="0" borderId="0" xfId="0" applyNumberFormat="1" applyFont="1"/>
    <xf numFmtId="0" fontId="4" fillId="0" borderId="0" xfId="0" applyFont="1" applyFill="1" applyBorder="1" applyAlignment="1">
      <alignment horizontal="center" vertical="center" wrapText="1"/>
    </xf>
    <xf numFmtId="0" fontId="4" fillId="0" borderId="0" xfId="0" applyFont="1" applyFill="1" applyBorder="1" applyAlignment="1">
      <alignment horizontal="center" wrapText="1"/>
    </xf>
    <xf numFmtId="3" fontId="0" fillId="3" borderId="0" xfId="0" applyNumberFormat="1" applyFill="1" applyBorder="1"/>
    <xf numFmtId="3" fontId="4" fillId="3" borderId="3" xfId="0" applyNumberFormat="1" applyFont="1" applyFill="1" applyBorder="1" applyAlignment="1">
      <alignment horizontal="right"/>
    </xf>
    <xf numFmtId="0" fontId="13" fillId="0" borderId="0" xfId="0" applyFont="1"/>
    <xf numFmtId="0" fontId="12" fillId="0" borderId="0" xfId="0" applyFont="1" applyAlignment="1">
      <alignment horizontal="left" wrapText="1"/>
    </xf>
    <xf numFmtId="0" fontId="14" fillId="0" borderId="0" xfId="0" applyFont="1"/>
    <xf numFmtId="4" fontId="14" fillId="0" borderId="0" xfId="0" applyNumberFormat="1" applyFont="1" applyAlignment="1">
      <alignment horizontal="right"/>
    </xf>
    <xf numFmtId="164" fontId="14" fillId="0" borderId="0" xfId="0" applyNumberFormat="1" applyFont="1" applyAlignment="1">
      <alignment horizontal="right"/>
    </xf>
    <xf numFmtId="3" fontId="0" fillId="0" borderId="0" xfId="0" applyNumberFormat="1" applyFill="1" applyBorder="1"/>
    <xf numFmtId="0" fontId="7" fillId="0" borderId="0" xfId="0" applyFont="1" applyFill="1" applyBorder="1" applyAlignment="1">
      <alignment horizontal="left" wrapText="1"/>
    </xf>
    <xf numFmtId="3" fontId="4" fillId="0" borderId="0" xfId="0" applyNumberFormat="1" applyFont="1" applyFill="1" applyBorder="1" applyAlignment="1">
      <alignment wrapText="1"/>
    </xf>
    <xf numFmtId="3" fontId="4" fillId="0" borderId="0" xfId="0" applyNumberFormat="1" applyFont="1" applyFill="1" applyBorder="1" applyAlignment="1">
      <alignment horizontal="right"/>
    </xf>
    <xf numFmtId="49" fontId="12" fillId="0" borderId="0" xfId="0" applyNumberFormat="1" applyFont="1" applyAlignment="1">
      <alignment horizontal="left"/>
    </xf>
    <xf numFmtId="167" fontId="14" fillId="0" borderId="0" xfId="0" applyNumberFormat="1" applyFont="1" applyAlignment="1">
      <alignment horizontal="right"/>
    </xf>
    <xf numFmtId="0" fontId="7" fillId="0" borderId="0" xfId="0" applyFont="1" applyAlignment="1">
      <alignment horizontal="left"/>
    </xf>
    <xf numFmtId="0" fontId="7" fillId="0" borderId="0" xfId="0" applyFont="1" applyAlignment="1">
      <alignment horizontal="left" wrapText="1"/>
    </xf>
    <xf numFmtId="43" fontId="13" fillId="0" borderId="0" xfId="180" applyNumberFormat="1" applyFont="1"/>
    <xf numFmtId="0" fontId="4" fillId="0" borderId="0" xfId="0" applyFont="1"/>
    <xf numFmtId="3" fontId="0" fillId="6" borderId="0" xfId="0" applyNumberFormat="1" applyFill="1" applyBorder="1"/>
    <xf numFmtId="0" fontId="14" fillId="4" borderId="0" xfId="0" applyFont="1" applyFill="1" applyBorder="1"/>
    <xf numFmtId="0" fontId="13" fillId="4" borderId="0" xfId="0" applyFont="1" applyFill="1" applyBorder="1"/>
    <xf numFmtId="170" fontId="8" fillId="0" borderId="0" xfId="0" applyNumberFormat="1" applyFont="1"/>
    <xf numFmtId="170" fontId="0" fillId="0" borderId="0" xfId="0" applyNumberFormat="1"/>
    <xf numFmtId="0" fontId="16" fillId="0" borderId="0" xfId="0" applyFont="1"/>
    <xf numFmtId="0" fontId="17" fillId="0" borderId="0" xfId="0" applyFont="1"/>
    <xf numFmtId="0" fontId="17" fillId="0" borderId="0" xfId="0" applyFont="1" applyAlignment="1">
      <alignment horizontal="center"/>
    </xf>
    <xf numFmtId="0" fontId="13" fillId="0" borderId="0" xfId="0" applyFont="1" applyAlignment="1">
      <alignment horizontal="center"/>
    </xf>
    <xf numFmtId="0" fontId="13" fillId="7" borderId="0" xfId="0" applyFont="1" applyFill="1"/>
    <xf numFmtId="0" fontId="13" fillId="6" borderId="0" xfId="0" applyFont="1" applyFill="1"/>
    <xf numFmtId="169" fontId="13" fillId="0" borderId="0" xfId="0" applyNumberFormat="1" applyFont="1"/>
    <xf numFmtId="0" fontId="18" fillId="0" borderId="1" xfId="0" applyFont="1" applyBorder="1" applyAlignment="1">
      <alignment horizontal="center" vertical="center" wrapText="1"/>
    </xf>
    <xf numFmtId="0" fontId="18" fillId="0" borderId="0" xfId="0" applyFont="1" applyBorder="1" applyAlignment="1">
      <alignment horizontal="center" vertical="center" wrapText="1"/>
    </xf>
    <xf numFmtId="0" fontId="20" fillId="4" borderId="0" xfId="0" applyFont="1" applyFill="1" applyBorder="1" applyAlignment="1">
      <alignment horizontal="left" vertical="center" wrapText="1"/>
    </xf>
    <xf numFmtId="0" fontId="21" fillId="0" borderId="2" xfId="0" applyFont="1" applyBorder="1" applyAlignment="1">
      <alignment vertical="center" wrapText="1"/>
    </xf>
    <xf numFmtId="0" fontId="21" fillId="0" borderId="2" xfId="0" applyFont="1" applyBorder="1" applyAlignment="1">
      <alignment horizontal="right" vertical="center" wrapText="1"/>
    </xf>
    <xf numFmtId="0" fontId="13" fillId="0" borderId="0" xfId="0" applyFont="1" applyAlignment="1">
      <alignment vertical="center" wrapText="1"/>
    </xf>
    <xf numFmtId="0" fontId="13" fillId="0" borderId="0" xfId="0" applyFont="1" applyAlignment="1">
      <alignment horizontal="right" vertical="center" wrapText="1"/>
    </xf>
    <xf numFmtId="0" fontId="4" fillId="0" borderId="4" xfId="0" applyFont="1" applyBorder="1"/>
    <xf numFmtId="10" fontId="4" fillId="3" borderId="3" xfId="0" applyNumberFormat="1" applyFont="1" applyFill="1" applyBorder="1" applyAlignment="1">
      <alignment horizontal="right"/>
    </xf>
    <xf numFmtId="0" fontId="22" fillId="0" borderId="1" xfId="0" applyFont="1" applyBorder="1" applyAlignment="1">
      <alignment horizontal="center" vertical="center" wrapText="1"/>
    </xf>
    <xf numFmtId="166" fontId="13" fillId="0" borderId="0" xfId="0" applyNumberFormat="1" applyFont="1"/>
    <xf numFmtId="0" fontId="13" fillId="7" borderId="0" xfId="0" applyFont="1" applyFill="1" applyAlignment="1">
      <alignment horizontal="right"/>
    </xf>
    <xf numFmtId="0" fontId="13" fillId="6" borderId="0" xfId="0" applyFont="1" applyFill="1" applyAlignment="1">
      <alignment horizontal="right"/>
    </xf>
    <xf numFmtId="0" fontId="18" fillId="0" borderId="1" xfId="0" applyFont="1" applyBorder="1" applyAlignment="1">
      <alignment horizontal="right" vertical="center" wrapText="1"/>
    </xf>
    <xf numFmtId="0" fontId="18" fillId="0" borderId="0" xfId="0" applyFont="1" applyBorder="1" applyAlignment="1">
      <alignment horizontal="right" vertical="center" wrapText="1"/>
    </xf>
    <xf numFmtId="0" fontId="13" fillId="6" borderId="0" xfId="0" applyFont="1" applyFill="1" applyAlignment="1">
      <alignment horizontal="left"/>
    </xf>
    <xf numFmtId="0" fontId="13" fillId="4" borderId="0" xfId="0" applyFont="1" applyFill="1" applyBorder="1" applyAlignment="1">
      <alignment horizontal="left"/>
    </xf>
    <xf numFmtId="0" fontId="0" fillId="0" borderId="0" xfId="0" applyFill="1" applyBorder="1" applyAlignment="1">
      <alignment wrapText="1"/>
    </xf>
    <xf numFmtId="0" fontId="13" fillId="4" borderId="0" xfId="0" applyFont="1" applyFill="1" applyBorder="1" applyProtection="1">
      <protection locked="0"/>
    </xf>
    <xf numFmtId="0" fontId="13" fillId="0" borderId="0" xfId="0" applyFont="1" applyProtection="1"/>
    <xf numFmtId="0" fontId="14" fillId="0" borderId="0" xfId="0" applyFont="1" applyAlignment="1" applyProtection="1">
      <alignment horizontal="left" vertical="center" wrapText="1"/>
    </xf>
    <xf numFmtId="1" fontId="14" fillId="7" borderId="0" xfId="0" applyNumberFormat="1" applyFont="1" applyFill="1" applyAlignment="1" applyProtection="1">
      <alignment horizontal="right" vertical="center" wrapText="1"/>
    </xf>
    <xf numFmtId="2" fontId="14" fillId="7" borderId="0" xfId="0" applyNumberFormat="1" applyFont="1" applyFill="1" applyAlignment="1" applyProtection="1">
      <alignment horizontal="right" vertical="center" wrapText="1"/>
    </xf>
    <xf numFmtId="0" fontId="0" fillId="2" borderId="0" xfId="0" applyFill="1" applyBorder="1" applyProtection="1">
      <protection locked="0"/>
    </xf>
    <xf numFmtId="0" fontId="0" fillId="5" borderId="0" xfId="0" applyFill="1" applyBorder="1" applyProtection="1">
      <protection locked="0"/>
    </xf>
    <xf numFmtId="3" fontId="0" fillId="3" borderId="0" xfId="0" applyNumberFormat="1" applyFill="1" applyBorder="1" applyAlignment="1">
      <alignment horizontal="right"/>
    </xf>
    <xf numFmtId="164" fontId="0" fillId="0" borderId="0" xfId="0" applyNumberFormat="1" applyFill="1" applyBorder="1" applyAlignment="1">
      <alignment horizontal="right"/>
    </xf>
    <xf numFmtId="3" fontId="0" fillId="6" borderId="0" xfId="0" applyNumberFormat="1" applyFill="1" applyBorder="1" applyAlignment="1">
      <alignment horizontal="right"/>
    </xf>
    <xf numFmtId="3" fontId="4" fillId="3" borderId="3" xfId="1" applyNumberFormat="1" applyFont="1" applyFill="1" applyBorder="1" applyAlignment="1">
      <alignment horizontal="right"/>
    </xf>
    <xf numFmtId="2" fontId="4" fillId="0" borderId="0" xfId="1" applyNumberFormat="1" applyFont="1" applyFill="1" applyBorder="1" applyAlignment="1">
      <alignment horizontal="right"/>
    </xf>
    <xf numFmtId="168"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Protection="1"/>
    <xf numFmtId="0" fontId="13" fillId="0" borderId="0" xfId="0" applyNumberFormat="1" applyFont="1"/>
    <xf numFmtId="171" fontId="13" fillId="0" borderId="0" xfId="0" applyNumberFormat="1" applyFont="1"/>
    <xf numFmtId="0" fontId="0" fillId="0" borderId="0" xfId="0" applyBorder="1"/>
    <xf numFmtId="0" fontId="0" fillId="0" borderId="0" xfId="0" applyFill="1" applyBorder="1"/>
    <xf numFmtId="1" fontId="14" fillId="7" borderId="0" xfId="0" applyNumberFormat="1" applyFont="1" applyFill="1" applyAlignment="1">
      <alignment horizontal="right" vertical="center" wrapText="1"/>
    </xf>
    <xf numFmtId="2" fontId="14" fillId="7" borderId="0" xfId="0" applyNumberFormat="1" applyFont="1" applyFill="1" applyAlignment="1">
      <alignment horizontal="right" vertical="center" wrapText="1"/>
    </xf>
    <xf numFmtId="2" fontId="14" fillId="3" borderId="0" xfId="0" applyNumberFormat="1" applyFont="1" applyFill="1" applyAlignment="1">
      <alignment horizontal="right" vertical="center" wrapText="1"/>
    </xf>
    <xf numFmtId="3" fontId="0" fillId="0" borderId="0" xfId="0" applyNumberFormat="1" applyFill="1" applyBorder="1" applyAlignment="1">
      <alignment horizontal="right"/>
    </xf>
    <xf numFmtId="1" fontId="14" fillId="2" borderId="0" xfId="0" applyNumberFormat="1" applyFont="1" applyFill="1" applyAlignment="1" applyProtection="1">
      <alignment horizontal="right" vertical="center" wrapText="1"/>
    </xf>
    <xf numFmtId="1" fontId="13" fillId="4" borderId="0" xfId="0" applyNumberFormat="1" applyFont="1" applyFill="1" applyBorder="1" applyAlignment="1" applyProtection="1">
      <alignment horizontal="right"/>
      <protection locked="0"/>
    </xf>
    <xf numFmtId="2" fontId="13" fillId="4" borderId="0" xfId="0" applyNumberFormat="1" applyFont="1" applyFill="1" applyBorder="1" applyAlignment="1" applyProtection="1">
      <alignment horizontal="right"/>
      <protection locked="0"/>
    </xf>
    <xf numFmtId="0" fontId="13" fillId="0" borderId="0" xfId="0" applyFont="1" applyFill="1" applyBorder="1"/>
    <xf numFmtId="0" fontId="13" fillId="0" borderId="0" xfId="0" applyFont="1" applyFill="1" applyBorder="1" applyAlignment="1">
      <alignment horizontal="right"/>
    </xf>
    <xf numFmtId="0" fontId="22" fillId="0" borderId="0" xfId="0" applyFont="1" applyFill="1" applyBorder="1" applyAlignment="1">
      <alignment horizontal="center" vertical="center" wrapText="1"/>
    </xf>
    <xf numFmtId="0" fontId="22" fillId="0" borderId="0" xfId="0" applyFont="1" applyFill="1" applyBorder="1" applyAlignment="1">
      <alignment horizontal="right" vertical="center" wrapText="1"/>
    </xf>
    <xf numFmtId="0" fontId="23" fillId="0" borderId="0" xfId="0" applyFont="1" applyFill="1" applyBorder="1" applyAlignment="1">
      <alignment horizontal="left" vertical="center" wrapText="1"/>
    </xf>
    <xf numFmtId="166" fontId="14" fillId="0" borderId="0" xfId="0" applyNumberFormat="1" applyFont="1" applyFill="1" applyBorder="1" applyAlignment="1">
      <alignment horizontal="right" vertical="center" wrapText="1"/>
    </xf>
    <xf numFmtId="2" fontId="24" fillId="0" borderId="0" xfId="0" applyNumberFormat="1" applyFont="1" applyFill="1" applyBorder="1" applyAlignment="1">
      <alignment horizontal="right" vertical="center" wrapText="1"/>
    </xf>
    <xf numFmtId="1" fontId="24" fillId="0" borderId="0" xfId="0" applyNumberFormat="1" applyFont="1" applyFill="1" applyBorder="1" applyAlignment="1">
      <alignment horizontal="right" vertical="center" wrapText="1"/>
    </xf>
    <xf numFmtId="169" fontId="14" fillId="0" borderId="0" xfId="0" applyNumberFormat="1" applyFont="1" applyFill="1" applyBorder="1" applyAlignment="1">
      <alignment horizontal="right" vertical="center" wrapText="1"/>
    </xf>
    <xf numFmtId="166" fontId="24" fillId="0" borderId="0" xfId="0" applyNumberFormat="1" applyFont="1" applyFill="1" applyBorder="1" applyAlignment="1">
      <alignment horizontal="right" vertical="center" wrapText="1"/>
    </xf>
    <xf numFmtId="2" fontId="14" fillId="0" borderId="0" xfId="0" applyNumberFormat="1" applyFont="1" applyFill="1" applyBorder="1" applyAlignment="1">
      <alignment horizontal="right" vertical="center" wrapText="1"/>
    </xf>
    <xf numFmtId="172" fontId="13" fillId="0" borderId="0" xfId="0" applyNumberFormat="1" applyFont="1"/>
    <xf numFmtId="165" fontId="13" fillId="0" borderId="0" xfId="0" applyNumberFormat="1" applyFont="1"/>
    <xf numFmtId="2" fontId="13" fillId="0" borderId="0" xfId="0" applyNumberFormat="1" applyFont="1"/>
    <xf numFmtId="1" fontId="13" fillId="0" borderId="0" xfId="0" applyNumberFormat="1" applyFont="1"/>
    <xf numFmtId="2" fontId="14" fillId="0" borderId="0" xfId="0" applyNumberFormat="1" applyFont="1"/>
    <xf numFmtId="1" fontId="14" fillId="0" borderId="0" xfId="0" applyNumberFormat="1" applyFont="1"/>
    <xf numFmtId="4" fontId="0" fillId="3" borderId="0" xfId="0" applyNumberFormat="1" applyFill="1" applyBorder="1" applyAlignment="1">
      <alignment horizontal="right"/>
    </xf>
    <xf numFmtId="4" fontId="0" fillId="6" borderId="0" xfId="0" applyNumberFormat="1" applyFill="1" applyBorder="1" applyAlignment="1">
      <alignment horizontal="right"/>
    </xf>
    <xf numFmtId="4" fontId="4" fillId="3" borderId="3" xfId="1" applyNumberFormat="1" applyFont="1" applyFill="1" applyBorder="1" applyAlignment="1">
      <alignment horizontal="right"/>
    </xf>
    <xf numFmtId="0" fontId="16" fillId="0" borderId="0" xfId="0" applyFont="1" applyFill="1"/>
    <xf numFmtId="0" fontId="0" fillId="0" borderId="0" xfId="0" applyFill="1"/>
    <xf numFmtId="4" fontId="0" fillId="3" borderId="0" xfId="0" applyNumberFormat="1" applyFill="1" applyBorder="1" applyAlignment="1" applyProtection="1">
      <alignment horizontal="right"/>
    </xf>
    <xf numFmtId="3" fontId="0" fillId="3" borderId="0" xfId="0" applyNumberFormat="1" applyFill="1" applyBorder="1" applyAlignment="1" applyProtection="1">
      <alignment horizontal="right"/>
    </xf>
    <xf numFmtId="9" fontId="4" fillId="3" borderId="3" xfId="1" applyNumberFormat="1" applyFont="1" applyFill="1" applyBorder="1" applyAlignment="1">
      <alignment horizontal="right"/>
    </xf>
    <xf numFmtId="3" fontId="14" fillId="0" borderId="0" xfId="0" applyNumberFormat="1" applyFont="1" applyAlignment="1">
      <alignment horizontal="right"/>
    </xf>
    <xf numFmtId="0" fontId="5" fillId="0" borderId="0" xfId="206"/>
    <xf numFmtId="3" fontId="4" fillId="0" borderId="2" xfId="0" applyNumberFormat="1" applyFont="1" applyBorder="1" applyAlignment="1">
      <alignment horizontal="left" wrapText="1"/>
    </xf>
    <xf numFmtId="10" fontId="0" fillId="3" borderId="0" xfId="1" applyNumberFormat="1" applyFont="1" applyFill="1" applyBorder="1" applyAlignment="1">
      <alignment horizontal="right"/>
    </xf>
    <xf numFmtId="10" fontId="0" fillId="6" borderId="0" xfId="1" applyNumberFormat="1" applyFont="1" applyFill="1" applyBorder="1" applyAlignment="1">
      <alignment horizontal="right"/>
    </xf>
    <xf numFmtId="0" fontId="13" fillId="0" borderId="0" xfId="0" applyFont="1" applyAlignment="1">
      <alignment horizontal="right"/>
    </xf>
    <xf numFmtId="0" fontId="18" fillId="0" borderId="2" xfId="0" applyFont="1" applyBorder="1" applyAlignment="1">
      <alignment horizontal="center" wrapText="1"/>
    </xf>
    <xf numFmtId="0" fontId="25" fillId="0" borderId="2" xfId="0" applyFont="1" applyBorder="1" applyAlignment="1">
      <alignment horizontal="center" wrapText="1"/>
    </xf>
    <xf numFmtId="0" fontId="14" fillId="0" borderId="0" xfId="0" applyFont="1" applyAlignment="1">
      <alignment horizontal="left" vertical="center" wrapText="1"/>
    </xf>
    <xf numFmtId="169" fontId="14" fillId="7" borderId="0" xfId="0" applyNumberFormat="1" applyFont="1" applyFill="1" applyAlignment="1" applyProtection="1">
      <alignment horizontal="right" vertical="center" wrapText="1"/>
    </xf>
    <xf numFmtId="169" fontId="14" fillId="3" borderId="0" xfId="0" applyNumberFormat="1" applyFont="1" applyFill="1" applyAlignment="1" applyProtection="1">
      <alignment horizontal="right" vertical="center" wrapText="1"/>
    </xf>
    <xf numFmtId="169" fontId="14" fillId="7" borderId="0" xfId="0" applyNumberFormat="1" applyFont="1" applyFill="1" applyAlignment="1">
      <alignment horizontal="right" vertical="center" wrapText="1"/>
    </xf>
    <xf numFmtId="165" fontId="14" fillId="7" borderId="0" xfId="0" applyNumberFormat="1" applyFont="1" applyFill="1" applyAlignment="1">
      <alignment horizontal="right" vertical="center" wrapText="1"/>
    </xf>
    <xf numFmtId="166" fontId="14" fillId="7" borderId="0" xfId="0" applyNumberFormat="1" applyFont="1" applyFill="1" applyAlignment="1" applyProtection="1">
      <alignment horizontal="right" vertical="center" wrapText="1"/>
    </xf>
    <xf numFmtId="172" fontId="14" fillId="3" borderId="0" xfId="0" applyNumberFormat="1" applyFont="1" applyFill="1" applyAlignment="1" applyProtection="1">
      <alignment horizontal="right" vertical="center" wrapText="1"/>
    </xf>
    <xf numFmtId="165" fontId="14" fillId="7" borderId="0" xfId="0" applyNumberFormat="1" applyFont="1" applyFill="1" applyAlignment="1" applyProtection="1">
      <alignment horizontal="right" vertical="center" wrapText="1"/>
    </xf>
    <xf numFmtId="9" fontId="0" fillId="3" borderId="0" xfId="1" applyFont="1" applyFill="1" applyBorder="1" applyAlignment="1">
      <alignment horizontal="right"/>
    </xf>
    <xf numFmtId="9" fontId="0" fillId="6" borderId="0" xfId="1" applyFont="1" applyFill="1" applyBorder="1" applyAlignment="1">
      <alignment horizontal="right"/>
    </xf>
    <xf numFmtId="2" fontId="13" fillId="4" borderId="0" xfId="0" applyNumberFormat="1" applyFont="1" applyFill="1" applyBorder="1" applyProtection="1">
      <protection locked="0"/>
    </xf>
    <xf numFmtId="164" fontId="0" fillId="3" borderId="0" xfId="0" applyNumberFormat="1" applyFill="1" applyBorder="1" applyAlignment="1">
      <alignment horizontal="right"/>
    </xf>
    <xf numFmtId="164" fontId="0" fillId="6" borderId="0" xfId="0" applyNumberFormat="1" applyFill="1" applyBorder="1" applyAlignment="1">
      <alignment horizontal="right"/>
    </xf>
    <xf numFmtId="164" fontId="0" fillId="3" borderId="0" xfId="0" applyNumberFormat="1" applyFill="1" applyBorder="1" applyAlignment="1" applyProtection="1">
      <alignment horizontal="right"/>
    </xf>
    <xf numFmtId="164" fontId="4" fillId="3" borderId="3" xfId="1" applyNumberFormat="1" applyFont="1" applyFill="1" applyBorder="1" applyAlignment="1">
      <alignment horizontal="right"/>
    </xf>
    <xf numFmtId="164" fontId="0" fillId="3" borderId="0" xfId="0" applyNumberFormat="1" applyFill="1" applyBorder="1"/>
    <xf numFmtId="164" fontId="0" fillId="6" borderId="0" xfId="0" applyNumberFormat="1" applyFill="1" applyBorder="1"/>
    <xf numFmtId="169" fontId="14" fillId="3" borderId="0" xfId="0" applyNumberFormat="1" applyFont="1" applyFill="1" applyAlignment="1">
      <alignment horizontal="right" vertical="center" wrapText="1"/>
    </xf>
    <xf numFmtId="0" fontId="5" fillId="8" borderId="0" xfId="206" applyFill="1" applyAlignment="1">
      <alignment horizontal="left" vertical="top"/>
    </xf>
    <xf numFmtId="0" fontId="28" fillId="8" borderId="0" xfId="0" applyFont="1" applyFill="1"/>
    <xf numFmtId="0" fontId="0" fillId="8" borderId="0" xfId="0" applyFont="1" applyFill="1"/>
    <xf numFmtId="0" fontId="7" fillId="8" borderId="0" xfId="0" applyFont="1" applyFill="1"/>
    <xf numFmtId="0" fontId="0" fillId="8" borderId="0" xfId="0" applyFont="1" applyFill="1" applyAlignment="1">
      <alignment horizontal="left" vertical="top" wrapText="1"/>
    </xf>
    <xf numFmtId="0" fontId="5" fillId="8" borderId="0" xfId="206" applyFont="1" applyFill="1" applyAlignment="1">
      <alignment horizontal="left" vertical="top"/>
    </xf>
    <xf numFmtId="0" fontId="5" fillId="8" borderId="0" xfId="206" applyFont="1" applyFill="1" applyAlignment="1">
      <alignment horizontal="left" vertical="top" wrapText="1"/>
    </xf>
    <xf numFmtId="0" fontId="5" fillId="8" borderId="0" xfId="206" applyFont="1" applyFill="1"/>
    <xf numFmtId="0" fontId="29" fillId="8" borderId="0" xfId="0" applyFont="1" applyFill="1" applyAlignment="1">
      <alignment vertical="center"/>
    </xf>
    <xf numFmtId="0" fontId="0" fillId="8" borderId="0" xfId="0" applyFont="1" applyFill="1" applyAlignment="1">
      <alignment wrapText="1"/>
    </xf>
    <xf numFmtId="0" fontId="31" fillId="8" borderId="0" xfId="0" applyFont="1" applyFill="1" applyAlignment="1">
      <alignment vertical="center"/>
    </xf>
    <xf numFmtId="0" fontId="0" fillId="8" borderId="0" xfId="0" applyFont="1" applyFill="1" applyAlignment="1">
      <alignment horizontal="center" vertical="center"/>
    </xf>
    <xf numFmtId="0" fontId="4" fillId="8" borderId="2" xfId="0" applyFont="1" applyFill="1" applyBorder="1" applyAlignment="1">
      <alignment horizontal="right" vertical="center" wrapText="1"/>
    </xf>
    <xf numFmtId="0" fontId="0" fillId="8" borderId="0" xfId="0" applyFont="1" applyFill="1" applyAlignment="1">
      <alignment horizontal="right" vertical="center" wrapText="1"/>
    </xf>
    <xf numFmtId="0" fontId="29" fillId="8" borderId="0" xfId="0" applyFont="1" applyFill="1"/>
    <xf numFmtId="0" fontId="0" fillId="8" borderId="0" xfId="0" applyFont="1" applyFill="1" applyAlignment="1">
      <alignment horizontal="left" vertical="center" indent="4"/>
    </xf>
    <xf numFmtId="0" fontId="33" fillId="8" borderId="0" xfId="0" applyFont="1" applyFill="1" applyAlignment="1">
      <alignment horizontal="left"/>
    </xf>
    <xf numFmtId="0" fontId="0" fillId="8" borderId="0" xfId="0" applyFont="1" applyFill="1" applyAlignment="1">
      <alignment horizontal="left" wrapText="1"/>
    </xf>
    <xf numFmtId="0" fontId="29" fillId="8" borderId="0" xfId="0" applyFont="1" applyFill="1" applyAlignment="1">
      <alignment horizontal="left" vertical="top"/>
    </xf>
    <xf numFmtId="0" fontId="33" fillId="8" borderId="0" xfId="0" applyFont="1" applyFill="1" applyAlignment="1"/>
    <xf numFmtId="0" fontId="33" fillId="8" borderId="0" xfId="0" applyFont="1" applyFill="1" applyAlignment="1">
      <alignment wrapText="1"/>
    </xf>
    <xf numFmtId="0" fontId="0" fillId="8" borderId="0" xfId="0" applyFont="1" applyFill="1" applyBorder="1" applyAlignment="1">
      <alignment vertical="center" wrapText="1"/>
    </xf>
    <xf numFmtId="0" fontId="0" fillId="8" borderId="0" xfId="0" applyFont="1" applyFill="1" applyAlignment="1">
      <alignment vertical="center" wrapText="1"/>
    </xf>
    <xf numFmtId="0" fontId="0" fillId="8" borderId="0" xfId="0" applyFont="1" applyFill="1" applyBorder="1" applyAlignment="1">
      <alignment vertical="center"/>
    </xf>
    <xf numFmtId="0" fontId="0" fillId="8" borderId="0" xfId="0" applyFont="1" applyFill="1" applyBorder="1" applyAlignment="1">
      <alignment vertical="center"/>
    </xf>
    <xf numFmtId="0" fontId="0" fillId="8" borderId="0" xfId="0" applyFont="1" applyFill="1" applyAlignment="1">
      <alignment vertical="top"/>
    </xf>
    <xf numFmtId="0" fontId="0" fillId="8" borderId="0" xfId="0" applyFont="1" applyFill="1" applyBorder="1" applyAlignment="1">
      <alignment vertical="center"/>
    </xf>
    <xf numFmtId="0" fontId="0" fillId="8" borderId="0" xfId="0" applyFont="1" applyFill="1" applyBorder="1" applyAlignment="1">
      <alignment vertical="center" wrapText="1"/>
    </xf>
    <xf numFmtId="0" fontId="33" fillId="8" borderId="0" xfId="0" applyFont="1" applyFill="1" applyAlignment="1">
      <alignment wrapText="1"/>
    </xf>
    <xf numFmtId="0" fontId="0" fillId="8" borderId="0" xfId="0" applyFont="1" applyFill="1" applyAlignment="1">
      <alignment vertical="top" wrapText="1"/>
    </xf>
    <xf numFmtId="0" fontId="33" fillId="8" borderId="0" xfId="0" applyFont="1" applyFill="1" applyAlignment="1">
      <alignment horizontal="left" wrapText="1"/>
    </xf>
    <xf numFmtId="0" fontId="0" fillId="8" borderId="0" xfId="0" applyFont="1" applyFill="1" applyAlignment="1"/>
    <xf numFmtId="0" fontId="0" fillId="8" borderId="0" xfId="0" applyFont="1" applyFill="1" applyAlignment="1">
      <alignment horizontal="left" vertical="top"/>
    </xf>
    <xf numFmtId="0" fontId="0" fillId="8" borderId="0" xfId="0" applyFont="1" applyFill="1" applyAlignment="1">
      <alignment vertical="center" wrapText="1"/>
    </xf>
    <xf numFmtId="0" fontId="0" fillId="8" borderId="0" xfId="0" applyFont="1" applyFill="1" applyAlignment="1">
      <alignment wrapText="1"/>
    </xf>
    <xf numFmtId="0" fontId="0" fillId="8" borderId="0" xfId="0" applyFont="1" applyFill="1" applyAlignment="1">
      <alignment vertical="center"/>
    </xf>
    <xf numFmtId="0" fontId="0" fillId="8" borderId="0" xfId="0" applyFont="1" applyFill="1" applyAlignment="1">
      <alignment horizontal="left" vertical="top" wrapText="1"/>
    </xf>
    <xf numFmtId="0" fontId="0" fillId="8" borderId="0" xfId="0" applyFont="1" applyFill="1" applyAlignment="1">
      <alignment horizontal="left" vertical="center" wrapText="1"/>
    </xf>
    <xf numFmtId="0" fontId="0" fillId="8" borderId="0" xfId="0" applyFont="1" applyFill="1" applyAlignment="1">
      <alignment vertical="top"/>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12" fillId="0" borderId="0" xfId="0" applyFont="1" applyAlignment="1">
      <alignment horizontal="center"/>
    </xf>
    <xf numFmtId="49" fontId="12" fillId="0" borderId="5" xfId="0" applyNumberFormat="1" applyFont="1" applyFill="1" applyBorder="1" applyAlignment="1">
      <alignment horizontal="center"/>
    </xf>
  </cellXfs>
  <cellStyles count="207">
    <cellStyle name="Comma" xfId="180" builtinId="3"/>
    <cellStyle name="Comma 2" xfId="63" xr:uid="{00000000-0005-0000-0000-000001000000}"/>
    <cellStyle name="Comma 2 2" xfId="64" xr:uid="{00000000-0005-0000-0000-000002000000}"/>
    <cellStyle name="Comma 2 2 2" xfId="65" xr:uid="{00000000-0005-0000-0000-000003000000}"/>
    <cellStyle name="Comma 2 2 2 2" xfId="183" xr:uid="{E4CE7CA6-BEA6-4B16-A255-B6791B42BBA6}"/>
    <cellStyle name="Comma 2 2 3" xfId="182" xr:uid="{B63AF671-C274-4E36-896F-1A177B2BC077}"/>
    <cellStyle name="Comma 2 3" xfId="66" xr:uid="{00000000-0005-0000-0000-000004000000}"/>
    <cellStyle name="Comma 2 3 2" xfId="184" xr:uid="{BD084CE5-487A-4897-984F-F8F6B646F337}"/>
    <cellStyle name="Comma 2 4" xfId="67" xr:uid="{00000000-0005-0000-0000-000005000000}"/>
    <cellStyle name="Comma 2 4 2" xfId="185" xr:uid="{892EF5F2-1535-4621-BE4C-684B05AC24D8}"/>
    <cellStyle name="Comma 2 5" xfId="181" xr:uid="{2AF4417E-738E-4628-87B4-64A9F4079FB5}"/>
    <cellStyle name="Comma 3" xfId="68" xr:uid="{00000000-0005-0000-0000-000006000000}"/>
    <cellStyle name="Comma 3 2" xfId="69" xr:uid="{00000000-0005-0000-0000-000007000000}"/>
    <cellStyle name="Comma 3 2 2" xfId="70" xr:uid="{00000000-0005-0000-0000-000008000000}"/>
    <cellStyle name="Comma 3 2 2 2" xfId="188" xr:uid="{016F1AF9-DFD0-4C2B-9B58-E8D6A2332D14}"/>
    <cellStyle name="Comma 3 2 3" xfId="187" xr:uid="{6DA84964-C7C6-4F70-8F32-D82FC0119041}"/>
    <cellStyle name="Comma 3 3" xfId="71" xr:uid="{00000000-0005-0000-0000-000009000000}"/>
    <cellStyle name="Comma 3 3 2" xfId="189" xr:uid="{EF6BE834-E24B-4F6E-A852-2BF529DA3031}"/>
    <cellStyle name="Comma 3 4" xfId="186" xr:uid="{27F8B32A-40B2-445E-B963-596A85DEF365}"/>
    <cellStyle name="Comma 4" xfId="72" xr:uid="{00000000-0005-0000-0000-00000A000000}"/>
    <cellStyle name="Comma 4 2" xfId="73" xr:uid="{00000000-0005-0000-0000-00000B000000}"/>
    <cellStyle name="Comma 4 2 2" xfId="191" xr:uid="{0FE98363-B90F-4970-AEF0-BB897939B502}"/>
    <cellStyle name="Comma 4 3" xfId="190" xr:uid="{9960E3A4-A0E5-40FF-8CC8-7A48A3045194}"/>
    <cellStyle name="Comma 5" xfId="74" xr:uid="{00000000-0005-0000-0000-00000C000000}"/>
    <cellStyle name="Comma 6" xfId="179" xr:uid="{00000000-0005-0000-0000-00000D000000}"/>
    <cellStyle name="Comma 6 2" xfId="205" xr:uid="{EA2A64AF-64A3-4E76-B69C-D4E912F85E1A}"/>
    <cellStyle name="Followed Hyperlink" xfId="149" builtinId="9" hidden="1"/>
    <cellStyle name="Followed Hyperlink" xfId="44" builtinId="9" hidden="1"/>
    <cellStyle name="Followed Hyperlink" xfId="50" builtinId="9" hidden="1"/>
    <cellStyle name="Followed Hyperlink" xfId="163" builtinId="9" hidden="1"/>
    <cellStyle name="Followed Hyperlink" xfId="175" builtinId="9" hidden="1"/>
    <cellStyle name="Followed Hyperlink" xfId="171" builtinId="9" hidden="1"/>
    <cellStyle name="Followed Hyperlink" xfId="159" builtinId="9" hidden="1"/>
    <cellStyle name="Followed Hyperlink" xfId="151" builtinId="9" hidden="1"/>
    <cellStyle name="Followed Hyperlink" xfId="155" builtinId="9" hidden="1"/>
    <cellStyle name="Followed Hyperlink" xfId="177" builtinId="9" hidden="1"/>
    <cellStyle name="Followed Hyperlink" xfId="167" builtinId="9" hidden="1"/>
    <cellStyle name="Followed Hyperlink" xfId="153" builtinId="9" hidden="1"/>
    <cellStyle name="Followed Hyperlink" xfId="48" builtinId="9" hidden="1"/>
    <cellStyle name="Followed Hyperlink" xfId="42" builtinId="9" hidden="1"/>
    <cellStyle name="Followed Hyperlink" xfId="157" builtinId="9" hidden="1"/>
    <cellStyle name="Followed Hyperlink" xfId="97" builtinId="9" hidden="1"/>
    <cellStyle name="Followed Hyperlink" xfId="103" builtinId="9" hidden="1"/>
    <cellStyle name="Followed Hyperlink" xfId="107" builtinId="9" hidden="1"/>
    <cellStyle name="Followed Hyperlink" xfId="113" builtinId="9" hidden="1"/>
    <cellStyle name="Followed Hyperlink" xfId="115" builtinId="9" hidden="1"/>
    <cellStyle name="Followed Hyperlink" xfId="123" builtinId="9" hidden="1"/>
    <cellStyle name="Followed Hyperlink" xfId="127" builtinId="9" hidden="1"/>
    <cellStyle name="Followed Hyperlink" xfId="129" builtinId="9" hidden="1"/>
    <cellStyle name="Followed Hyperlink" xfId="137" builtinId="9" hidden="1"/>
    <cellStyle name="Followed Hyperlink" xfId="139" builtinId="9" hidden="1"/>
    <cellStyle name="Followed Hyperlink" xfId="145" builtinId="9" hidden="1"/>
    <cellStyle name="Followed Hyperlink" xfId="141" builtinId="9" hidden="1"/>
    <cellStyle name="Followed Hyperlink" xfId="125" builtinId="9" hidden="1"/>
    <cellStyle name="Followed Hyperlink" xfId="117" builtinId="9" hidden="1"/>
    <cellStyle name="Followed Hyperlink" xfId="62" builtinId="9" hidden="1"/>
    <cellStyle name="Followed Hyperlink" xfId="54" builtinId="9" hidden="1"/>
    <cellStyle name="Followed Hyperlink" xfId="46" builtinId="9" hidden="1"/>
    <cellStyle name="Followed Hyperlink" xfId="23" builtinId="9" hidden="1"/>
    <cellStyle name="Followed Hyperlink" xfId="25" builtinId="9" hidden="1"/>
    <cellStyle name="Followed Hyperlink" xfId="19" builtinId="9" hidden="1"/>
    <cellStyle name="Followed Hyperlink" xfId="133" builtinId="9" hidden="1"/>
    <cellStyle name="Followed Hyperlink" xfId="143" builtinId="9" hidden="1"/>
    <cellStyle name="Followed Hyperlink" xfId="131" builtinId="9" hidden="1"/>
    <cellStyle name="Followed Hyperlink" xfId="111" builtinId="9" hidden="1"/>
    <cellStyle name="Followed Hyperlink" xfId="99" builtinId="9" hidden="1"/>
    <cellStyle name="Followed Hyperlink" xfId="58" builtinId="9" hidden="1"/>
    <cellStyle name="Followed Hyperlink" xfId="169" builtinId="9" hidden="1"/>
    <cellStyle name="Followed Hyperlink" xfId="165" builtinId="9" hidden="1"/>
    <cellStyle name="Followed Hyperlink" xfId="161" builtinId="9" hidden="1"/>
    <cellStyle name="Followed Hyperlink" xfId="173" builtinId="9" hidden="1"/>
    <cellStyle name="Followed Hyperlink" xfId="121" builtinId="9" hidden="1"/>
    <cellStyle name="Followed Hyperlink" xfId="101" builtinId="9" hidden="1"/>
    <cellStyle name="Followed Hyperlink" xfId="21" builtinId="9" hidden="1"/>
    <cellStyle name="Followed Hyperlink" xfId="109" builtinId="9" hidden="1"/>
    <cellStyle name="Followed Hyperlink" xfId="147" builtinId="9" hidden="1"/>
    <cellStyle name="Followed Hyperlink" xfId="135" builtinId="9" hidden="1"/>
    <cellStyle name="Followed Hyperlink" xfId="119" builtinId="9" hidden="1"/>
    <cellStyle name="Followed Hyperlink" xfId="105" builtinId="9" hidden="1"/>
    <cellStyle name="Followed Hyperlink" xfId="5" builtinId="9" hidden="1"/>
    <cellStyle name="Followed Hyperlink" xfId="17" builtinId="9" hidden="1"/>
    <cellStyle name="Followed Hyperlink" xfId="11" builtinId="9" hidden="1"/>
    <cellStyle name="Followed Hyperlink" xfId="29" builtinId="9" hidden="1"/>
    <cellStyle name="Followed Hyperlink" xfId="38" builtinId="9" hidden="1"/>
    <cellStyle name="Followed Hyperlink" xfId="27" builtinId="9" hidden="1"/>
    <cellStyle name="Followed Hyperlink" xfId="52" builtinId="9" hidden="1"/>
    <cellStyle name="Followed Hyperlink" xfId="56" builtinId="9" hidden="1"/>
    <cellStyle name="Followed Hyperlink" xfId="60" builtinId="9" hidden="1"/>
    <cellStyle name="Followed Hyperlink" xfId="95" builtinId="9" hidden="1"/>
    <cellStyle name="Followed Hyperlink" xfId="34" builtinId="9" hidden="1"/>
    <cellStyle name="Followed Hyperlink" xfId="9" builtinId="9" hidden="1"/>
    <cellStyle name="Followed Hyperlink" xfId="15" builtinId="9" hidden="1"/>
    <cellStyle name="Followed Hyperlink" xfId="7" builtinId="9" hidden="1"/>
    <cellStyle name="Followed Hyperlink" xfId="3" builtinId="9" hidden="1"/>
    <cellStyle name="Followed Hyperlink" xfId="13" builtinId="9" hidden="1"/>
    <cellStyle name="Followed Hyperlink" xfId="36" builtinId="9" hidden="1"/>
    <cellStyle name="Followed Hyperlink" xfId="40" builtinId="9" hidden="1"/>
    <cellStyle name="Followed Hyperlink" xfId="31" builtinId="9" hidden="1"/>
    <cellStyle name="Hyperlink" xfId="102" builtinId="8" hidden="1"/>
    <cellStyle name="Hyperlink" xfId="104" builtinId="8" hidden="1"/>
    <cellStyle name="Hyperlink" xfId="108" builtinId="8" hidden="1"/>
    <cellStyle name="Hyperlink" xfId="110" builtinId="8" hidden="1"/>
    <cellStyle name="Hyperlink" xfId="100" builtinId="8" hidden="1"/>
    <cellStyle name="Hyperlink" xfId="152" builtinId="8" hidden="1"/>
    <cellStyle name="Hyperlink" xfId="148" builtinId="8" hidden="1"/>
    <cellStyle name="Hyperlink" xfId="150" builtinId="8" hidden="1"/>
    <cellStyle name="Hyperlink" xfId="156" builtinId="8" hidden="1"/>
    <cellStyle name="Hyperlink" xfId="158" builtinId="8" hidden="1"/>
    <cellStyle name="Hyperlink" xfId="162" builtinId="8" hidden="1"/>
    <cellStyle name="Hyperlink" xfId="166" builtinId="8" hidden="1"/>
    <cellStyle name="Hyperlink" xfId="170" builtinId="8" hidden="1"/>
    <cellStyle name="Hyperlink" xfId="172" builtinId="8" hidden="1"/>
    <cellStyle name="Hyperlink" xfId="138" builtinId="8" hidden="1"/>
    <cellStyle name="Hyperlink" xfId="140" builtinId="8" hidden="1"/>
    <cellStyle name="Hyperlink" xfId="142" builtinId="8" hidden="1"/>
    <cellStyle name="Hyperlink" xfId="130" builtinId="8" hidden="1"/>
    <cellStyle name="Hyperlink" xfId="132" builtinId="8" hidden="1"/>
    <cellStyle name="Hyperlink" xfId="126" builtinId="8" hidden="1"/>
    <cellStyle name="Hyperlink" xfId="124" builtinId="8" hidden="1"/>
    <cellStyle name="Hyperlink" xfId="146" builtinId="8" hidden="1"/>
    <cellStyle name="Hyperlink" xfId="134" builtinId="8" hidden="1"/>
    <cellStyle name="Hyperlink" xfId="164" builtinId="8" hidden="1"/>
    <cellStyle name="Hyperlink" xfId="154" builtinId="8" hidden="1"/>
    <cellStyle name="Hyperlink" xfId="51" builtinId="8" hidden="1"/>
    <cellStyle name="Hyperlink" xfId="106" builtinId="8" hidden="1"/>
    <cellStyle name="Hyperlink" xfId="4" builtinId="8" hidden="1"/>
    <cellStyle name="Hyperlink" xfId="2" builtinId="8" hidden="1"/>
    <cellStyle name="Hyperlink" xfId="18" builtinId="8" hidden="1"/>
    <cellStyle name="Hyperlink" xfId="10" builtinId="8" hidden="1"/>
    <cellStyle name="Hyperlink" xfId="24" builtinId="8" hidden="1"/>
    <cellStyle name="Hyperlink" xfId="96" builtinId="8" hidden="1"/>
    <cellStyle name="Hyperlink" xfId="118" builtinId="8" hidden="1"/>
    <cellStyle name="Hyperlink" xfId="174" builtinId="8" hidden="1"/>
    <cellStyle name="Hyperlink" xfId="176" builtinId="8" hidden="1"/>
    <cellStyle name="Hyperlink" xfId="168" builtinId="8" hidden="1"/>
    <cellStyle name="Hyperlink" xfId="160" builtinId="8" hidden="1"/>
    <cellStyle name="Hyperlink" xfId="136" builtinId="8" hidden="1"/>
    <cellStyle name="Hyperlink" xfId="128" builtinId="8" hidden="1"/>
    <cellStyle name="Hyperlink" xfId="41" builtinId="8" hidden="1"/>
    <cellStyle name="Hyperlink" xfId="43" builtinId="8" hidden="1"/>
    <cellStyle name="Hyperlink" xfId="45" builtinId="8" hidden="1"/>
    <cellStyle name="Hyperlink" xfId="47" builtinId="8" hidden="1"/>
    <cellStyle name="Hyperlink" xfId="53" builtinId="8" hidden="1"/>
    <cellStyle name="Hyperlink" xfId="57" builtinId="8" hidden="1"/>
    <cellStyle name="Hyperlink" xfId="59" builtinId="8" hidden="1"/>
    <cellStyle name="Hyperlink" xfId="61" builtinId="8" hidden="1"/>
    <cellStyle name="Hyperlink" xfId="94" builtinId="8" hidden="1"/>
    <cellStyle name="Hyperlink" xfId="98" builtinId="8" hidden="1"/>
    <cellStyle name="Hyperlink" xfId="55" builtinId="8" hidden="1"/>
    <cellStyle name="Hyperlink" xfId="144" builtinId="8" hidden="1"/>
    <cellStyle name="Hyperlink" xfId="33" builtinId="8" hidden="1"/>
    <cellStyle name="Hyperlink" xfId="28" builtinId="8" hidden="1"/>
    <cellStyle name="Hyperlink" xfId="30" builtinId="8" hidden="1"/>
    <cellStyle name="Hyperlink" xfId="35" builtinId="8" hidden="1"/>
    <cellStyle name="Hyperlink" xfId="37" builtinId="8" hidden="1"/>
    <cellStyle name="Hyperlink" xfId="39" builtinId="8" hidden="1"/>
    <cellStyle name="Hyperlink" xfId="12" builtinId="8" hidden="1"/>
    <cellStyle name="Hyperlink" xfId="14" builtinId="8" hidden="1"/>
    <cellStyle name="Hyperlink" xfId="16" builtinId="8" hidden="1"/>
    <cellStyle name="Hyperlink" xfId="6" builtinId="8" hidden="1"/>
    <cellStyle name="Hyperlink" xfId="8" builtinId="8" hidden="1"/>
    <cellStyle name="Hyperlink" xfId="112" builtinId="8" hidden="1"/>
    <cellStyle name="Hyperlink" xfId="49" builtinId="8" hidden="1"/>
    <cellStyle name="Hyperlink" xfId="20" builtinId="8" hidden="1"/>
    <cellStyle name="Hyperlink" xfId="22" builtinId="8" hidden="1"/>
    <cellStyle name="Hyperlink" xfId="26" builtinId="8" hidden="1"/>
    <cellStyle name="Hyperlink" xfId="120" builtinId="8" hidden="1"/>
    <cellStyle name="Hyperlink" xfId="122" builtinId="8" hidden="1"/>
    <cellStyle name="Hyperlink" xfId="116" builtinId="8" hidden="1"/>
    <cellStyle name="Hyperlink" xfId="114" builtinId="8" hidden="1"/>
    <cellStyle name="Hyperlink" xfId="206" builtinId="8"/>
    <cellStyle name="Normal" xfId="0" builtinId="0"/>
    <cellStyle name="Normal 10" xfId="178" xr:uid="{00000000-0005-0000-0000-00009F000000}"/>
    <cellStyle name="Normal 10 2" xfId="204" xr:uid="{DA03DC4E-E756-46B5-AEA6-C379714D7F75}"/>
    <cellStyle name="Normal 2" xfId="32" xr:uid="{00000000-0005-0000-0000-0000A0000000}"/>
    <cellStyle name="Normal 3" xfId="75" xr:uid="{00000000-0005-0000-0000-0000A1000000}"/>
    <cellStyle name="Normal 3 2" xfId="76" xr:uid="{00000000-0005-0000-0000-0000A2000000}"/>
    <cellStyle name="Normal 3 2 2" xfId="77" xr:uid="{00000000-0005-0000-0000-0000A3000000}"/>
    <cellStyle name="Normal 4" xfId="78" xr:uid="{00000000-0005-0000-0000-0000A4000000}"/>
    <cellStyle name="Normal 4 2" xfId="79" xr:uid="{00000000-0005-0000-0000-0000A5000000}"/>
    <cellStyle name="Normal 4 2 2" xfId="80" xr:uid="{00000000-0005-0000-0000-0000A6000000}"/>
    <cellStyle name="Normal 4 2 2 2" xfId="194" xr:uid="{18DA30CA-E2C1-4FF1-9A48-90C96925E07B}"/>
    <cellStyle name="Normal 4 2 3" xfId="193" xr:uid="{0B7E504F-2DF3-422F-AA94-2C5B83AB7993}"/>
    <cellStyle name="Normal 4 3" xfId="81" xr:uid="{00000000-0005-0000-0000-0000A7000000}"/>
    <cellStyle name="Normal 4 3 2" xfId="195" xr:uid="{047DFD27-0D03-48A5-9F9F-82FE1B55149E}"/>
    <cellStyle name="Normal 4 4" xfId="82" xr:uid="{00000000-0005-0000-0000-0000A8000000}"/>
    <cellStyle name="Normal 4 4 2" xfId="196" xr:uid="{32F3EA58-6A1C-44E0-A4E0-915E2025BBD7}"/>
    <cellStyle name="Normal 4 5" xfId="192" xr:uid="{FC766406-E53B-4E49-B72C-BA6A833AB3AE}"/>
    <cellStyle name="Normal 5" xfId="83" xr:uid="{00000000-0005-0000-0000-0000A9000000}"/>
    <cellStyle name="Normal 5 2" xfId="84" xr:uid="{00000000-0005-0000-0000-0000AA000000}"/>
    <cellStyle name="Normal 5 2 2" xfId="85" xr:uid="{00000000-0005-0000-0000-0000AB000000}"/>
    <cellStyle name="Normal 5 2 2 2" xfId="199" xr:uid="{BADDFB82-933E-4743-9DF8-ABB1A8335452}"/>
    <cellStyle name="Normal 5 2 3" xfId="198" xr:uid="{EBE78B56-C5DE-4E35-AF4C-32BFE5DDD848}"/>
    <cellStyle name="Normal 5 3" xfId="86" xr:uid="{00000000-0005-0000-0000-0000AC000000}"/>
    <cellStyle name="Normal 5 3 2" xfId="200" xr:uid="{FB01E087-EA5D-4A36-8121-FD1D19704B07}"/>
    <cellStyle name="Normal 5 4" xfId="197" xr:uid="{CBDBA6CA-BB48-4C19-B890-B42ADAFF359E}"/>
    <cellStyle name="Normal 6" xfId="87" xr:uid="{00000000-0005-0000-0000-0000AD000000}"/>
    <cellStyle name="Normal 6 2" xfId="88" xr:uid="{00000000-0005-0000-0000-0000AE000000}"/>
    <cellStyle name="Normal 7" xfId="89" xr:uid="{00000000-0005-0000-0000-0000AF000000}"/>
    <cellStyle name="Normal 7 2" xfId="90" xr:uid="{00000000-0005-0000-0000-0000B0000000}"/>
    <cellStyle name="Normal 7 2 2" xfId="202" xr:uid="{03227F4B-9969-4C03-8BEA-789D754D38D9}"/>
    <cellStyle name="Normal 7 3" xfId="201" xr:uid="{CAD6FB33-D8FA-4373-9618-06A989E72307}"/>
    <cellStyle name="Normal 8" xfId="91" xr:uid="{00000000-0005-0000-0000-0000B1000000}"/>
    <cellStyle name="Normal 8 2" xfId="92" xr:uid="{00000000-0005-0000-0000-0000B2000000}"/>
    <cellStyle name="Normal 9" xfId="93" xr:uid="{00000000-0005-0000-0000-0000B3000000}"/>
    <cellStyle name="Normal 9 2" xfId="203" xr:uid="{F49F2BB9-8333-46B3-AA7E-45CF56AE1956}"/>
    <cellStyle name="Percent" xfId="1" builtinId="5"/>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xr9:uid="{00000000-0011-0000-FFFF-FFFF00000000}">
      <tableStyleElement type="wholeTable" dxfId="1"/>
      <tableStyleElement type="headerRow" dxfId="0"/>
    </tableStyle>
  </tableStyles>
  <colors>
    <mruColors>
      <color rgb="FFEEFBFF"/>
      <color rgb="FFE5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hyperlink" Target="#EGRID_REGION"/></Relationships>
</file>

<file path=xl/drawings/_rels/drawing3.xml.rels><?xml version="1.0" encoding="UTF-8" standalone="yes"?>
<Relationships xmlns="http://schemas.openxmlformats.org/package/2006/relationships"><Relationship Id="rId1" Type="http://schemas.openxmlformats.org/officeDocument/2006/relationships/hyperlink" Target="#EGRID_REGION"/></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EGRID_REGION"/></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0</xdr:col>
      <xdr:colOff>161925</xdr:colOff>
      <xdr:row>71</xdr:row>
      <xdr:rowOff>57151</xdr:rowOff>
    </xdr:from>
    <xdr:ext cx="11859978" cy="47654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710805C-A05C-1E42-8A42-B80541BF5B47}"/>
                </a:ext>
              </a:extLst>
            </xdr:cNvPr>
            <xdr:cNvSpPr txBox="1"/>
          </xdr:nvSpPr>
          <xdr:spPr>
            <a:xfrm>
              <a:off x="161925" y="15478126"/>
              <a:ext cx="11859978" cy="476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𝑉𝑒𝑠𝑠𝑒𝑙</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𝐹𝑢𝑒𝑙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7710805C-A05C-1E42-8A42-B80541BF5B47}"/>
                </a:ext>
              </a:extLst>
            </xdr:cNvPr>
            <xdr:cNvSpPr txBox="1"/>
          </xdr:nvSpPr>
          <xdr:spPr>
            <a:xfrm>
              <a:off x="161925" y="15478126"/>
              <a:ext cx="11859978" cy="476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 𝑉𝑒𝑠𝑠𝑒𝑙 </a:t>
              </a:r>
              <a:r>
                <a:rPr lang="en-US" sz="1600" b="0" i="0">
                  <a:solidFill>
                    <a:schemeClr val="tx1"/>
                  </a:solidFill>
                  <a:effectLst/>
                  <a:latin typeface="Cambria Math" panose="02040503050406030204" pitchFamily="18" charset="0"/>
                  <a:ea typeface="+mn-ea"/>
                  <a:cs typeface="+mn-cs"/>
                </a:rPr>
                <a:t>𝐹𝑢𝑒𝑙 </a:t>
              </a:r>
              <a:r>
                <a:rPr lang="en-US" sz="1600" i="0">
                  <a:solidFill>
                    <a:schemeClr val="tx1"/>
                  </a:solidFill>
                  <a:effectLst/>
                  <a:latin typeface="Cambria Math" panose="02040503050406030204" pitchFamily="18" charset="0"/>
                  <a:ea typeface="+mn-ea"/>
                  <a:cs typeface="+mn-cs"/>
                </a:rPr>
                <a:t>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 𝐿𝑜𝑎𝑑</a:t>
              </a:r>
              <a:r>
                <a:rPr lang="en-US" sz="1600" i="0">
                  <a:solidFill>
                    <a:schemeClr val="tx1"/>
                  </a:solidFill>
                  <a:effectLst/>
                  <a:latin typeface="Cambria Math" panose="02040503050406030204" pitchFamily="18" charset="0"/>
                  <a:ea typeface="+mn-ea"/>
                  <a:cs typeface="+mn-cs"/>
                </a:rPr>
                <a:t> ×</a:t>
              </a:r>
              <a:r>
                <a:rPr lang="en-US" sz="1600" b="0" i="0">
                  <a:solidFill>
                    <a:schemeClr val="tx1"/>
                  </a:solidFill>
                  <a:effectLst/>
                  <a:latin typeface="Cambria Math" panose="02040503050406030204" pitchFamily="18" charset="0"/>
                  <a:ea typeface="+mn-ea"/>
                  <a:cs typeface="+mn-cs"/>
                </a:rPr>
                <a:t> 𝑁𝑢𝑚𝑏𝑒𝑟 𝑜𝑓 𝐴𝑛𝑛𝑢𝑎𝑙 𝑉𝑒𝑠𝑠𝑒𝑙 𝐶𝑎𝑙𝑙𝑠</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𝐴𝑣𝑒𝑟𝑎𝑔𝑒 𝐻𝑜𝑡𝑒𝑙 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47624</xdr:colOff>
      <xdr:row>74</xdr:row>
      <xdr:rowOff>112183</xdr:rowOff>
    </xdr:from>
    <xdr:ext cx="13179570" cy="7035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FC3AB23-F7FC-B94E-AB59-7FA654327181}"/>
                </a:ext>
              </a:extLst>
            </xdr:cNvPr>
            <xdr:cNvSpPr txBox="1"/>
          </xdr:nvSpPr>
          <xdr:spPr>
            <a:xfrm>
              <a:off x="228599" y="16209433"/>
              <a:ext cx="13179570" cy="703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𝐸𝑙𝑒𝑐𝑡𝑟𝑖𝑐𝑖𝑡𝑦</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𝐺𝑒𝑛𝑒𝑟𝑎𝑡𝑖𝑜𝑛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𝐴𝑢𝑥</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𝐻𝑜𝑡𝑒𝑙𝑖𝑛𝑔</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num>
                      <m:den>
                        <m:r>
                          <a:rPr lang="en-US" sz="1600" i="1">
                            <a:solidFill>
                              <a:schemeClr val="tx1"/>
                            </a:solidFill>
                            <a:effectLst/>
                            <a:latin typeface="Cambria Math" panose="02040503050406030204" pitchFamily="18" charset="0"/>
                            <a:ea typeface="+mn-ea"/>
                            <a:cs typeface="+mn-cs"/>
                          </a:rPr>
                          <m:t>1 − </m:t>
                        </m:r>
                        <m:r>
                          <a:rPr lang="en-US" sz="1600" i="1">
                            <a:solidFill>
                              <a:schemeClr val="tx1"/>
                            </a:solidFill>
                            <a:effectLst/>
                            <a:latin typeface="Cambria Math" panose="02040503050406030204" pitchFamily="18" charset="0"/>
                            <a:ea typeface="+mn-ea"/>
                            <a:cs typeface="+mn-cs"/>
                          </a:rPr>
                          <m:t>𝐺𝑟𝑜𝑠𝑠</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𝐺𝑟𝑖𝑑</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𝐿𝑜𝑠𝑠</m:t>
                        </m:r>
                      </m:den>
                    </m:f>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AFC3AB23-F7FC-B94E-AB59-7FA654327181}"/>
                </a:ext>
              </a:extLst>
            </xdr:cNvPr>
            <xdr:cNvSpPr txBox="1"/>
          </xdr:nvSpPr>
          <xdr:spPr>
            <a:xfrm>
              <a:off x="228599" y="16209433"/>
              <a:ext cx="13179570" cy="703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a:t>
              </a:r>
              <a:r>
                <a:rPr lang="en-US" sz="1600" b="0" i="0">
                  <a:solidFill>
                    <a:schemeClr val="tx1"/>
                  </a:solidFill>
                  <a:effectLst/>
                  <a:latin typeface="Cambria Math" panose="02040503050406030204" pitchFamily="18" charset="0"/>
                  <a:ea typeface="+mn-ea"/>
                  <a:cs typeface="+mn-cs"/>
                </a:rPr>
                <a:t>𝐸𝑙𝑒𝑐𝑡𝑟𝑖𝑐𝑖𝑡𝑦 </a:t>
              </a:r>
              <a:r>
                <a:rPr lang="en-US" sz="1600" i="0">
                  <a:solidFill>
                    <a:schemeClr val="tx1"/>
                  </a:solidFill>
                  <a:effectLst/>
                  <a:latin typeface="Cambria Math" panose="02040503050406030204" pitchFamily="18" charset="0"/>
                  <a:ea typeface="+mn-ea"/>
                  <a:cs typeface="+mn-cs"/>
                </a:rPr>
                <a:t>𝐺𝑒𝑛𝑒𝑟𝑎𝑡𝑖𝑜𝑛 𝐸𝑚𝑖𝑠𝑠𝑖𝑜𝑛 𝐹𝑎𝑐𝑡𝑜𝑟 ×  (𝐴𝑢𝑥</a:t>
              </a:r>
              <a:r>
                <a:rPr lang="en-US" sz="1600" b="0" i="0">
                  <a:solidFill>
                    <a:schemeClr val="tx1"/>
                  </a:solidFill>
                  <a:effectLst/>
                  <a:latin typeface="Cambria Math" panose="02040503050406030204" pitchFamily="18" charset="0"/>
                  <a:ea typeface="+mn-ea"/>
                  <a:cs typeface="+mn-cs"/>
                </a:rPr>
                <a:t>. 𝐸𝑛𝑔𝑖𝑛𝑒 𝐻𝑜𝑡𝑒𝑙𝑖𝑛𝑔 𝐿𝑜𝑎𝑑)/(</a:t>
              </a:r>
              <a:r>
                <a:rPr lang="en-US" sz="1600" i="0">
                  <a:solidFill>
                    <a:schemeClr val="tx1"/>
                  </a:solidFill>
                  <a:effectLst/>
                  <a:latin typeface="Cambria Math" panose="02040503050406030204" pitchFamily="18" charset="0"/>
                  <a:ea typeface="+mn-ea"/>
                  <a:cs typeface="+mn-cs"/>
                </a:rPr>
                <a:t>1 − 𝐺𝑟𝑜𝑠𝑠 𝐺𝑟𝑖𝑑 𝐿𝑜𝑠𝑠)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𝐴𝑣𝑒𝑟𝑎𝑔𝑒 𝐻𝑜𝑡𝑒𝑙 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120650</xdr:colOff>
      <xdr:row>119</xdr:row>
      <xdr:rowOff>187326</xdr:rowOff>
    </xdr:from>
    <xdr:ext cx="11891717" cy="24057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5247EF-F0F7-D746-9ED6-542B0E737C49}"/>
                </a:ext>
              </a:extLst>
            </xdr:cNvPr>
            <xdr:cNvSpPr txBox="1"/>
          </xdr:nvSpPr>
          <xdr:spPr>
            <a:xfrm>
              <a:off x="298450" y="27695526"/>
              <a:ext cx="11891717"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𝑉𝑒𝑠𝑠𝑒𝑙</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𝐹𝑢𝑒𝑙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9" name="TextBox 8">
              <a:extLst>
                <a:ext uri="{FF2B5EF4-FFF2-40B4-BE49-F238E27FC236}">
                  <a16:creationId xmlns:a16="http://schemas.microsoft.com/office/drawing/2014/main" id="{2D5247EF-F0F7-D746-9ED6-542B0E737C49}"/>
                </a:ext>
              </a:extLst>
            </xdr:cNvPr>
            <xdr:cNvSpPr txBox="1"/>
          </xdr:nvSpPr>
          <xdr:spPr>
            <a:xfrm>
              <a:off x="298450" y="27695526"/>
              <a:ext cx="11891717"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 𝑉𝑒𝑠𝑠𝑒𝑙 </a:t>
              </a:r>
              <a:r>
                <a:rPr lang="en-US" sz="1600" b="0" i="0">
                  <a:solidFill>
                    <a:schemeClr val="tx1"/>
                  </a:solidFill>
                  <a:effectLst/>
                  <a:latin typeface="Cambria Math" panose="02040503050406030204" pitchFamily="18" charset="0"/>
                  <a:ea typeface="+mn-ea"/>
                  <a:cs typeface="+mn-cs"/>
                </a:rPr>
                <a:t>𝐹𝑢𝑒𝑙 </a:t>
              </a:r>
              <a:r>
                <a:rPr lang="en-US" sz="1600" i="0">
                  <a:solidFill>
                    <a:schemeClr val="tx1"/>
                  </a:solidFill>
                  <a:effectLst/>
                  <a:latin typeface="Cambria Math" panose="02040503050406030204" pitchFamily="18" charset="0"/>
                  <a:ea typeface="+mn-ea"/>
                  <a:cs typeface="+mn-cs"/>
                </a:rPr>
                <a:t>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 𝐿𝑜𝑎𝑑</a:t>
              </a:r>
              <a:r>
                <a:rPr lang="en-US" sz="1600" i="0">
                  <a:solidFill>
                    <a:schemeClr val="tx1"/>
                  </a:solidFill>
                  <a:effectLst/>
                  <a:latin typeface="Cambria Math" panose="02040503050406030204" pitchFamily="18" charset="0"/>
                  <a:ea typeface="+mn-ea"/>
                  <a:cs typeface="+mn-cs"/>
                </a:rPr>
                <a:t>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 ×𝐴𝑣𝑒𝑟𝑎𝑔𝑒 𝐻𝑜𝑡𝑒𝑙 𝐻𝑜𝑢𝑟𝑠</a:t>
              </a:r>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57149</xdr:colOff>
      <xdr:row>123</xdr:row>
      <xdr:rowOff>213783</xdr:rowOff>
    </xdr:from>
    <xdr:ext cx="13283958" cy="54821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03D7F6C-7D16-ED44-B4D9-011CDD3E98ED}"/>
                </a:ext>
              </a:extLst>
            </xdr:cNvPr>
            <xdr:cNvSpPr txBox="1"/>
          </xdr:nvSpPr>
          <xdr:spPr>
            <a:xfrm>
              <a:off x="234949" y="28509383"/>
              <a:ext cx="13283958" cy="548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𝐸𝑙𝑒𝑐𝑡𝑟𝑖𝑐𝑖𝑡𝑦</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𝐺𝑒𝑛𝑒𝑟𝑎𝑡𝑖𝑜𝑛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𝐻𝑜𝑡𝑒𝑙𝑙𝑖𝑛𝑔</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num>
                      <m:den>
                        <m:r>
                          <a:rPr lang="en-US" sz="1600" i="1">
                            <a:solidFill>
                              <a:schemeClr val="tx1"/>
                            </a:solidFill>
                            <a:effectLst/>
                            <a:latin typeface="Cambria Math" panose="02040503050406030204" pitchFamily="18" charset="0"/>
                            <a:ea typeface="+mn-ea"/>
                            <a:cs typeface="+mn-cs"/>
                          </a:rPr>
                          <m:t>1 − </m:t>
                        </m:r>
                        <m:r>
                          <a:rPr lang="en-US" sz="1600" i="1">
                            <a:solidFill>
                              <a:schemeClr val="tx1"/>
                            </a:solidFill>
                            <a:effectLst/>
                            <a:latin typeface="Cambria Math" panose="02040503050406030204" pitchFamily="18" charset="0"/>
                            <a:ea typeface="+mn-ea"/>
                            <a:cs typeface="+mn-cs"/>
                          </a:rPr>
                          <m:t>𝐺𝑟𝑜𝑠𝑠</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𝐺𝑟𝑖𝑑</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𝐿𝑜𝑠𝑠</m:t>
                        </m:r>
                      </m:den>
                    </m:f>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10" name="TextBox 9">
              <a:extLst>
                <a:ext uri="{FF2B5EF4-FFF2-40B4-BE49-F238E27FC236}">
                  <a16:creationId xmlns:a16="http://schemas.microsoft.com/office/drawing/2014/main" id="{203D7F6C-7D16-ED44-B4D9-011CDD3E98ED}"/>
                </a:ext>
              </a:extLst>
            </xdr:cNvPr>
            <xdr:cNvSpPr txBox="1"/>
          </xdr:nvSpPr>
          <xdr:spPr>
            <a:xfrm>
              <a:off x="234949" y="28509383"/>
              <a:ext cx="13283958" cy="548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a:t>
              </a:r>
              <a:r>
                <a:rPr lang="en-US" sz="1600" b="0" i="0">
                  <a:solidFill>
                    <a:schemeClr val="tx1"/>
                  </a:solidFill>
                  <a:effectLst/>
                  <a:latin typeface="Cambria Math" panose="02040503050406030204" pitchFamily="18" charset="0"/>
                  <a:ea typeface="+mn-ea"/>
                  <a:cs typeface="+mn-cs"/>
                </a:rPr>
                <a:t>𝐸𝑙𝑒𝑐𝑡𝑟𝑖𝑐𝑖𝑡𝑦 </a:t>
              </a:r>
              <a:r>
                <a:rPr lang="en-US" sz="1600" i="0">
                  <a:solidFill>
                    <a:schemeClr val="tx1"/>
                  </a:solidFill>
                  <a:effectLst/>
                  <a:latin typeface="Cambria Math" panose="02040503050406030204" pitchFamily="18" charset="0"/>
                  <a:ea typeface="+mn-ea"/>
                  <a:cs typeface="+mn-cs"/>
                </a:rPr>
                <a:t>𝐺𝑒𝑛𝑒𝑟𝑎𝑡𝑖𝑜𝑛 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𝐻𝑜𝑡𝑒𝑙𝑙𝑖𝑛𝑔 𝐿𝑜𝑎𝑑)/(</a:t>
              </a:r>
              <a:r>
                <a:rPr lang="en-US" sz="1600" i="0">
                  <a:solidFill>
                    <a:schemeClr val="tx1"/>
                  </a:solidFill>
                  <a:effectLst/>
                  <a:latin typeface="Cambria Math" panose="02040503050406030204" pitchFamily="18" charset="0"/>
                  <a:ea typeface="+mn-ea"/>
                  <a:cs typeface="+mn-cs"/>
                </a:rPr>
                <a:t>1 − 𝐺𝑟𝑜𝑠𝑠 𝐺𝑟𝑖𝑑 𝐿𝑜𝑠𝑠)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 ×𝐴𝑣𝑒𝑟𝑎𝑔𝑒 𝐻𝑜𝑡𝑒𝑙 </a:t>
              </a:r>
              <a:r>
                <a:rPr lang="en-US" sz="1600" i="0">
                  <a:solidFill>
                    <a:schemeClr val="tx1"/>
                  </a:solidFill>
                  <a:effectLst/>
                  <a:latin typeface="Cambria Math" panose="02040503050406030204" pitchFamily="18" charset="0"/>
                  <a:ea typeface="+mn-ea"/>
                  <a:cs typeface="+mn-cs"/>
                </a:rPr>
                <a:t>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749300</xdr:colOff>
      <xdr:row>2</xdr:row>
      <xdr:rowOff>241300</xdr:rowOff>
    </xdr:from>
    <xdr:to>
      <xdr:col>0</xdr:col>
      <xdr:colOff>977900</xdr:colOff>
      <xdr:row>2</xdr:row>
      <xdr:rowOff>469900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DFBDE6AC-0640-5249-9796-ACE5B69483C3}"/>
            </a:ext>
          </a:extLst>
        </xdr:cNvPr>
        <xdr:cNvSpPr txBox="1">
          <a:spLocks noChangeAspect="1"/>
        </xdr:cNvSpPr>
      </xdr:nvSpPr>
      <xdr:spPr>
        <a:xfrm>
          <a:off x="749300" y="825500"/>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728980</xdr:colOff>
      <xdr:row>2</xdr:row>
      <xdr:rowOff>134620</xdr:rowOff>
    </xdr:from>
    <xdr:to>
      <xdr:col>0</xdr:col>
      <xdr:colOff>957580</xdr:colOff>
      <xdr:row>2</xdr:row>
      <xdr:rowOff>309880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58650ADB-CAAD-D54D-8C8A-16F2FF9B2DD0}"/>
            </a:ext>
          </a:extLst>
        </xdr:cNvPr>
        <xdr:cNvSpPr txBox="1">
          <a:spLocks noChangeAspect="1"/>
        </xdr:cNvSpPr>
      </xdr:nvSpPr>
      <xdr:spPr>
        <a:xfrm>
          <a:off x="728980" y="713740"/>
          <a:ext cx="228600" cy="17526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15876</xdr:colOff>
      <xdr:row>3</xdr:row>
      <xdr:rowOff>28575</xdr:rowOff>
    </xdr:from>
    <xdr:to>
      <xdr:col>20</xdr:col>
      <xdr:colOff>815976</xdr:colOff>
      <xdr:row>31</xdr:row>
      <xdr:rowOff>172066</xdr:rowOff>
    </xdr:to>
    <xdr:pic>
      <xdr:nvPicPr>
        <xdr:cNvPr id="2" name="Picture 1">
          <a:extLst>
            <a:ext uri="{FF2B5EF4-FFF2-40B4-BE49-F238E27FC236}">
              <a16:creationId xmlns:a16="http://schemas.microsoft.com/office/drawing/2014/main" id="{5D6E96A4-5ECB-4DA5-8955-3EFAE3F5A7DC}"/>
            </a:ext>
          </a:extLst>
        </xdr:cNvPr>
        <xdr:cNvPicPr>
          <a:picLocks noChangeAspect="1"/>
        </xdr:cNvPicPr>
      </xdr:nvPicPr>
      <xdr:blipFill>
        <a:blip xmlns:r="http://schemas.openxmlformats.org/officeDocument/2006/relationships" r:embed="rId1"/>
        <a:stretch>
          <a:fillRect/>
        </a:stretch>
      </xdr:blipFill>
      <xdr:spPr>
        <a:xfrm>
          <a:off x="9837209" y="705908"/>
          <a:ext cx="8420100" cy="66340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749300</xdr:colOff>
      <xdr:row>2</xdr:row>
      <xdr:rowOff>241300</xdr:rowOff>
    </xdr:from>
    <xdr:to>
      <xdr:col>0</xdr:col>
      <xdr:colOff>977900</xdr:colOff>
      <xdr:row>2</xdr:row>
      <xdr:rowOff>469900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156277CE-3433-4F97-8CE4-E59BD05320BE}"/>
            </a:ext>
          </a:extLst>
        </xdr:cNvPr>
        <xdr:cNvSpPr txBox="1">
          <a:spLocks noChangeAspect="1"/>
        </xdr:cNvSpPr>
      </xdr:nvSpPr>
      <xdr:spPr>
        <a:xfrm>
          <a:off x="749300" y="820420"/>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3863-53E9-6446-91A3-7877B91A6A2E}">
  <sheetPr>
    <pageSetUpPr fitToPage="1"/>
  </sheetPr>
  <dimension ref="A1:U166"/>
  <sheetViews>
    <sheetView tabSelected="1" zoomScaleNormal="100" workbookViewId="0"/>
  </sheetViews>
  <sheetFormatPr defaultColWidth="10.796875" defaultRowHeight="15.6"/>
  <cols>
    <col min="1" max="1" width="2.296875" style="137" customWidth="1"/>
    <col min="2" max="3" width="10.796875" style="137"/>
    <col min="4" max="4" width="17.5" style="137" customWidth="1"/>
    <col min="5" max="5" width="14.69921875" style="137" customWidth="1"/>
    <col min="6" max="6" width="10.796875" style="137"/>
    <col min="7" max="7" width="12" style="137" customWidth="1"/>
    <col min="8" max="9" width="10.796875" style="137"/>
    <col min="10" max="10" width="11.19921875" style="137" customWidth="1"/>
    <col min="11" max="16384" width="10.796875" style="137"/>
  </cols>
  <sheetData>
    <row r="1" spans="1:10">
      <c r="A1" s="136" t="s">
        <v>0</v>
      </c>
    </row>
    <row r="2" spans="1:10" ht="23.4">
      <c r="B2" s="138" t="s">
        <v>1</v>
      </c>
    </row>
    <row r="4" spans="1:10" ht="16.05" customHeight="1">
      <c r="B4" s="171" t="s">
        <v>345</v>
      </c>
      <c r="C4" s="171"/>
      <c r="D4" s="171"/>
      <c r="E4" s="171"/>
      <c r="F4" s="171"/>
      <c r="G4" s="171"/>
      <c r="H4" s="171"/>
      <c r="I4" s="171"/>
      <c r="J4" s="171"/>
    </row>
    <row r="5" spans="1:10">
      <c r="B5" s="171"/>
      <c r="C5" s="171"/>
      <c r="D5" s="171"/>
      <c r="E5" s="171"/>
      <c r="F5" s="171"/>
      <c r="G5" s="171"/>
      <c r="H5" s="171"/>
      <c r="I5" s="171"/>
      <c r="J5" s="171"/>
    </row>
    <row r="6" spans="1:10">
      <c r="B6" s="171"/>
      <c r="C6" s="171"/>
      <c r="D6" s="171"/>
      <c r="E6" s="171"/>
      <c r="F6" s="171"/>
      <c r="G6" s="171"/>
      <c r="H6" s="171"/>
      <c r="I6" s="171"/>
      <c r="J6" s="171"/>
    </row>
    <row r="7" spans="1:10">
      <c r="B7" s="171"/>
      <c r="C7" s="171"/>
      <c r="D7" s="171"/>
      <c r="E7" s="171"/>
      <c r="F7" s="171"/>
      <c r="G7" s="171"/>
      <c r="H7" s="171"/>
      <c r="I7" s="171"/>
      <c r="J7" s="171"/>
    </row>
    <row r="8" spans="1:10">
      <c r="B8" s="171"/>
      <c r="C8" s="171"/>
      <c r="D8" s="171"/>
      <c r="E8" s="171"/>
      <c r="F8" s="171"/>
      <c r="G8" s="171"/>
      <c r="H8" s="171"/>
      <c r="I8" s="171"/>
      <c r="J8" s="171"/>
    </row>
    <row r="9" spans="1:10" ht="16.05" customHeight="1">
      <c r="B9" s="137" t="s">
        <v>2</v>
      </c>
      <c r="C9" s="139"/>
      <c r="D9" s="139"/>
      <c r="E9" s="139"/>
      <c r="F9" s="139"/>
      <c r="G9" s="139"/>
      <c r="H9" s="139"/>
      <c r="I9" s="139"/>
      <c r="J9" s="139"/>
    </row>
    <row r="10" spans="1:10">
      <c r="B10" s="140" t="s">
        <v>3</v>
      </c>
      <c r="C10" s="139"/>
      <c r="D10" s="139"/>
      <c r="E10" s="139"/>
      <c r="F10" s="139"/>
      <c r="G10" s="139"/>
      <c r="H10" s="139"/>
      <c r="I10" s="139"/>
      <c r="J10" s="139"/>
    </row>
    <row r="11" spans="1:10">
      <c r="B11" s="140" t="s">
        <v>4</v>
      </c>
      <c r="C11" s="139"/>
      <c r="D11" s="139"/>
      <c r="E11" s="139"/>
      <c r="F11" s="139"/>
      <c r="G11" s="139"/>
      <c r="H11" s="139"/>
      <c r="I11" s="139"/>
      <c r="J11" s="139"/>
    </row>
    <row r="12" spans="1:10">
      <c r="B12" s="139"/>
      <c r="C12" s="139"/>
      <c r="D12" s="139"/>
      <c r="E12" s="139"/>
      <c r="F12" s="139"/>
      <c r="G12" s="139"/>
      <c r="H12" s="139"/>
      <c r="I12" s="139"/>
      <c r="J12" s="139"/>
    </row>
    <row r="13" spans="1:10" ht="16.05" customHeight="1">
      <c r="B13" s="171" t="s">
        <v>5</v>
      </c>
      <c r="C13" s="171"/>
      <c r="D13" s="171"/>
      <c r="E13" s="171"/>
      <c r="F13" s="171"/>
      <c r="G13" s="171"/>
      <c r="H13" s="171"/>
      <c r="I13" s="171"/>
      <c r="J13" s="171"/>
    </row>
    <row r="14" spans="1:10">
      <c r="B14" s="171"/>
      <c r="C14" s="171"/>
      <c r="D14" s="171"/>
      <c r="E14" s="171"/>
      <c r="F14" s="171"/>
      <c r="G14" s="171"/>
      <c r="H14" s="171"/>
      <c r="I14" s="171"/>
      <c r="J14" s="171"/>
    </row>
    <row r="15" spans="1:10">
      <c r="B15" s="171"/>
      <c r="C15" s="171"/>
      <c r="D15" s="171"/>
      <c r="E15" s="171"/>
      <c r="F15" s="171"/>
      <c r="G15" s="171"/>
      <c r="H15" s="171"/>
      <c r="I15" s="171"/>
      <c r="J15" s="171"/>
    </row>
    <row r="16" spans="1:10">
      <c r="B16" s="139"/>
      <c r="C16" s="139"/>
      <c r="D16" s="139"/>
      <c r="E16" s="139"/>
      <c r="F16" s="139"/>
      <c r="G16" s="139"/>
      <c r="H16" s="139"/>
      <c r="I16" s="139"/>
      <c r="J16" s="139"/>
    </row>
    <row r="17" spans="2:10" ht="16.05" customHeight="1">
      <c r="B17" s="171" t="s">
        <v>6</v>
      </c>
      <c r="C17" s="171"/>
      <c r="D17" s="171"/>
      <c r="E17" s="171"/>
      <c r="F17" s="171"/>
      <c r="G17" s="171"/>
      <c r="H17" s="171"/>
      <c r="I17" s="171"/>
      <c r="J17" s="171"/>
    </row>
    <row r="18" spans="2:10">
      <c r="B18" s="171"/>
      <c r="C18" s="171"/>
      <c r="D18" s="171"/>
      <c r="E18" s="171"/>
      <c r="F18" s="171"/>
      <c r="G18" s="171"/>
      <c r="H18" s="171"/>
      <c r="I18" s="171"/>
      <c r="J18" s="171"/>
    </row>
    <row r="19" spans="2:10">
      <c r="B19" s="171"/>
      <c r="C19" s="171"/>
      <c r="D19" s="171"/>
      <c r="E19" s="171"/>
      <c r="F19" s="171"/>
      <c r="G19" s="171"/>
      <c r="H19" s="171"/>
      <c r="I19" s="171"/>
      <c r="J19" s="171"/>
    </row>
    <row r="20" spans="2:10">
      <c r="B20" s="139"/>
      <c r="C20" s="139"/>
      <c r="D20" s="139"/>
      <c r="E20" s="139"/>
      <c r="F20" s="139"/>
      <c r="G20" s="139"/>
      <c r="H20" s="139"/>
      <c r="I20" s="139"/>
      <c r="J20" s="139"/>
    </row>
    <row r="21" spans="2:10" ht="16.05" customHeight="1">
      <c r="B21" s="141" t="s">
        <v>7</v>
      </c>
      <c r="C21" s="171" t="s">
        <v>8</v>
      </c>
      <c r="D21" s="171"/>
      <c r="E21" s="171"/>
      <c r="F21" s="171"/>
      <c r="G21" s="171"/>
      <c r="H21" s="171"/>
      <c r="I21" s="171"/>
      <c r="J21" s="171"/>
    </row>
    <row r="22" spans="2:10">
      <c r="B22" s="139"/>
      <c r="C22" s="139"/>
      <c r="D22" s="139"/>
      <c r="E22" s="139"/>
      <c r="F22" s="139"/>
      <c r="G22" s="139"/>
      <c r="H22" s="139"/>
      <c r="I22" s="139"/>
      <c r="J22" s="139"/>
    </row>
    <row r="23" spans="2:10" ht="16.05" customHeight="1">
      <c r="B23" s="135" t="s">
        <v>326</v>
      </c>
    </row>
    <row r="25" spans="2:10">
      <c r="B25" s="142" t="s">
        <v>10</v>
      </c>
      <c r="C25" s="139"/>
      <c r="D25" s="139"/>
      <c r="E25" s="139"/>
      <c r="F25" s="139"/>
      <c r="G25" s="139"/>
      <c r="H25" s="139"/>
      <c r="I25" s="139"/>
      <c r="J25" s="139"/>
    </row>
    <row r="26" spans="2:10">
      <c r="B26" s="171" t="s">
        <v>9</v>
      </c>
      <c r="C26" s="171"/>
      <c r="D26" s="171"/>
      <c r="E26" s="171"/>
      <c r="F26" s="171"/>
      <c r="G26" s="171"/>
      <c r="H26" s="171"/>
      <c r="I26" s="171"/>
      <c r="J26" s="171"/>
    </row>
    <row r="27" spans="2:10">
      <c r="B27" s="171"/>
      <c r="C27" s="171"/>
      <c r="D27" s="171"/>
      <c r="E27" s="171"/>
      <c r="F27" s="171"/>
      <c r="G27" s="171"/>
      <c r="H27" s="171"/>
      <c r="I27" s="171"/>
      <c r="J27" s="171"/>
    </row>
    <row r="28" spans="2:10">
      <c r="B28" s="139"/>
      <c r="C28" s="139"/>
      <c r="D28" s="139"/>
      <c r="E28" s="139"/>
      <c r="F28" s="139"/>
      <c r="G28" s="139"/>
      <c r="H28" s="139"/>
      <c r="I28" s="139"/>
      <c r="J28" s="139"/>
    </row>
    <row r="29" spans="2:10" ht="21">
      <c r="B29" s="143" t="s">
        <v>3</v>
      </c>
    </row>
    <row r="30" spans="2:10">
      <c r="B30" s="164" t="s">
        <v>329</v>
      </c>
      <c r="C30" s="164"/>
      <c r="D30" s="164"/>
      <c r="E30" s="164"/>
      <c r="F30" s="164"/>
      <c r="G30" s="164"/>
      <c r="H30" s="164"/>
      <c r="I30" s="164"/>
      <c r="J30" s="164"/>
    </row>
    <row r="31" spans="2:10">
      <c r="B31" s="164"/>
      <c r="C31" s="164"/>
      <c r="D31" s="164"/>
      <c r="E31" s="164"/>
      <c r="F31" s="164"/>
      <c r="G31" s="164"/>
      <c r="H31" s="164"/>
      <c r="I31" s="164"/>
      <c r="J31" s="164"/>
    </row>
    <row r="32" spans="2:10">
      <c r="B32" s="160"/>
      <c r="C32" s="160"/>
      <c r="D32" s="160"/>
      <c r="E32" s="160"/>
      <c r="F32" s="160"/>
      <c r="G32" s="160"/>
      <c r="H32" s="160"/>
      <c r="I32" s="160"/>
      <c r="J32" s="160"/>
    </row>
    <row r="33" spans="2:10">
      <c r="B33" s="173" t="s">
        <v>330</v>
      </c>
      <c r="C33" s="173"/>
      <c r="D33" s="173"/>
      <c r="E33" s="173"/>
      <c r="F33" s="173"/>
      <c r="G33" s="173"/>
      <c r="H33" s="173"/>
      <c r="I33" s="173"/>
      <c r="J33" s="173"/>
    </row>
    <row r="34" spans="2:10" ht="19.95" customHeight="1">
      <c r="B34" s="164" t="s">
        <v>331</v>
      </c>
      <c r="C34" s="164"/>
      <c r="D34" s="164"/>
      <c r="E34" s="164"/>
      <c r="F34" s="164"/>
      <c r="G34" s="164"/>
      <c r="H34" s="164"/>
      <c r="I34" s="164"/>
      <c r="J34" s="164"/>
    </row>
    <row r="35" spans="2:10" ht="22.05" customHeight="1">
      <c r="B35" s="164"/>
      <c r="C35" s="164"/>
      <c r="D35" s="164"/>
      <c r="E35" s="164"/>
      <c r="F35" s="164"/>
      <c r="G35" s="164"/>
      <c r="H35" s="164"/>
      <c r="I35" s="164"/>
      <c r="J35" s="164"/>
    </row>
    <row r="36" spans="2:10">
      <c r="B36" s="171" t="s">
        <v>346</v>
      </c>
      <c r="C36" s="171"/>
      <c r="D36" s="171"/>
      <c r="E36" s="171"/>
      <c r="F36" s="171"/>
      <c r="G36" s="171"/>
      <c r="H36" s="171"/>
      <c r="I36" s="171"/>
      <c r="J36" s="171"/>
    </row>
    <row r="37" spans="2:10">
      <c r="B37" s="171"/>
      <c r="C37" s="171"/>
      <c r="D37" s="171"/>
      <c r="E37" s="171"/>
      <c r="F37" s="171"/>
      <c r="G37" s="171"/>
      <c r="H37" s="171"/>
      <c r="I37" s="171"/>
      <c r="J37" s="171"/>
    </row>
    <row r="38" spans="2:10">
      <c r="B38" s="171"/>
      <c r="C38" s="171"/>
      <c r="D38" s="171"/>
      <c r="E38" s="171"/>
      <c r="F38" s="171"/>
      <c r="G38" s="171"/>
      <c r="H38" s="171"/>
      <c r="I38" s="171"/>
      <c r="J38" s="171"/>
    </row>
    <row r="39" spans="2:10">
      <c r="B39" s="171"/>
      <c r="C39" s="171"/>
      <c r="D39" s="171"/>
      <c r="E39" s="171"/>
      <c r="F39" s="171"/>
      <c r="G39" s="171"/>
      <c r="H39" s="171"/>
      <c r="I39" s="171"/>
      <c r="J39" s="171"/>
    </row>
    <row r="40" spans="2:10" ht="16.95" customHeight="1">
      <c r="B40" s="171" t="s">
        <v>11</v>
      </c>
      <c r="C40" s="171"/>
      <c r="D40" s="171"/>
      <c r="E40" s="171"/>
      <c r="F40" s="171"/>
      <c r="G40" s="171"/>
      <c r="H40" s="171"/>
      <c r="I40" s="171"/>
      <c r="J40" s="171"/>
    </row>
    <row r="41" spans="2:10">
      <c r="B41" s="171"/>
      <c r="C41" s="171"/>
      <c r="D41" s="171"/>
      <c r="E41" s="171"/>
      <c r="F41" s="171"/>
      <c r="G41" s="171"/>
      <c r="H41" s="171"/>
      <c r="I41" s="171"/>
      <c r="J41" s="171"/>
    </row>
    <row r="42" spans="2:10">
      <c r="B42" s="171"/>
      <c r="C42" s="171"/>
      <c r="D42" s="171"/>
      <c r="E42" s="171"/>
      <c r="F42" s="171"/>
      <c r="G42" s="171"/>
      <c r="H42" s="171"/>
      <c r="I42" s="171"/>
      <c r="J42" s="171"/>
    </row>
    <row r="43" spans="2:10">
      <c r="B43" s="171"/>
      <c r="C43" s="171"/>
      <c r="D43" s="171"/>
      <c r="E43" s="171"/>
      <c r="F43" s="171"/>
      <c r="G43" s="171"/>
      <c r="H43" s="171"/>
      <c r="I43" s="171"/>
      <c r="J43" s="171"/>
    </row>
    <row r="44" spans="2:10">
      <c r="B44" s="171"/>
      <c r="C44" s="171"/>
      <c r="D44" s="171"/>
      <c r="E44" s="171"/>
      <c r="F44" s="171"/>
      <c r="G44" s="171"/>
      <c r="H44" s="171"/>
      <c r="I44" s="171"/>
      <c r="J44" s="171"/>
    </row>
    <row r="45" spans="2:10">
      <c r="B45" s="171"/>
      <c r="C45" s="171"/>
      <c r="D45" s="171"/>
      <c r="E45" s="171"/>
      <c r="F45" s="171"/>
      <c r="G45" s="171"/>
      <c r="H45" s="171"/>
      <c r="I45" s="171"/>
      <c r="J45" s="171"/>
    </row>
    <row r="46" spans="2:10">
      <c r="B46" s="171"/>
      <c r="C46" s="171"/>
      <c r="D46" s="171"/>
      <c r="E46" s="171"/>
      <c r="F46" s="171"/>
      <c r="G46" s="171"/>
      <c r="H46" s="171"/>
      <c r="I46" s="171"/>
      <c r="J46" s="171"/>
    </row>
    <row r="47" spans="2:10">
      <c r="B47" s="171"/>
      <c r="C47" s="171"/>
      <c r="D47" s="171"/>
      <c r="E47" s="171"/>
      <c r="F47" s="171"/>
      <c r="G47" s="171"/>
      <c r="H47" s="171"/>
      <c r="I47" s="171"/>
      <c r="J47" s="171"/>
    </row>
    <row r="48" spans="2:10" ht="22.05" customHeight="1">
      <c r="B48" s="171"/>
      <c r="C48" s="171"/>
      <c r="D48" s="171"/>
      <c r="E48" s="171"/>
      <c r="F48" s="171"/>
      <c r="G48" s="171"/>
      <c r="H48" s="171"/>
      <c r="I48" s="171"/>
      <c r="J48" s="171"/>
    </row>
    <row r="49" spans="2:10">
      <c r="B49" s="144"/>
      <c r="C49" s="144"/>
      <c r="D49" s="144"/>
      <c r="E49" s="144"/>
      <c r="F49" s="144"/>
      <c r="G49" s="144"/>
      <c r="H49" s="144"/>
      <c r="I49" s="144"/>
      <c r="J49" s="144"/>
    </row>
    <row r="50" spans="2:10">
      <c r="D50" s="145" t="s">
        <v>12</v>
      </c>
    </row>
    <row r="51" spans="2:10" ht="16.05" customHeight="1" thickBot="1">
      <c r="C51" s="146"/>
      <c r="E51" s="147" t="s">
        <v>13</v>
      </c>
      <c r="F51" s="147"/>
      <c r="G51" s="147" t="s">
        <v>14</v>
      </c>
    </row>
    <row r="52" spans="2:10" ht="16.05" customHeight="1">
      <c r="E52" s="168" t="s">
        <v>15</v>
      </c>
      <c r="F52" s="168"/>
      <c r="G52" s="148" t="s">
        <v>16</v>
      </c>
    </row>
    <row r="53" spans="2:10" ht="16.05" customHeight="1">
      <c r="E53" s="168" t="s">
        <v>17</v>
      </c>
      <c r="F53" s="168"/>
      <c r="G53" s="148" t="s">
        <v>18</v>
      </c>
    </row>
    <row r="54" spans="2:10" ht="16.05" customHeight="1">
      <c r="E54" s="168" t="s">
        <v>19</v>
      </c>
      <c r="F54" s="168"/>
      <c r="G54" s="148" t="s">
        <v>20</v>
      </c>
    </row>
    <row r="55" spans="2:10" ht="16.05" customHeight="1">
      <c r="E55" s="168" t="s">
        <v>21</v>
      </c>
      <c r="F55" s="168"/>
      <c r="G55" s="148" t="s">
        <v>22</v>
      </c>
    </row>
    <row r="57" spans="2:10" ht="16.05" customHeight="1">
      <c r="B57" s="172" t="s">
        <v>347</v>
      </c>
      <c r="C57" s="172"/>
      <c r="D57" s="172"/>
      <c r="E57" s="172"/>
      <c r="F57" s="172"/>
      <c r="G57" s="172"/>
      <c r="H57" s="172"/>
      <c r="I57" s="172"/>
      <c r="J57" s="172"/>
    </row>
    <row r="58" spans="2:10">
      <c r="B58" s="172"/>
      <c r="C58" s="172"/>
      <c r="D58" s="172"/>
      <c r="E58" s="172"/>
      <c r="F58" s="172"/>
      <c r="G58" s="172"/>
      <c r="H58" s="172"/>
      <c r="I58" s="172"/>
      <c r="J58" s="172"/>
    </row>
    <row r="59" spans="2:10">
      <c r="B59" s="164" t="s">
        <v>332</v>
      </c>
      <c r="C59" s="164"/>
      <c r="D59" s="164"/>
      <c r="E59" s="164"/>
      <c r="F59" s="164"/>
      <c r="G59" s="164"/>
      <c r="H59" s="164"/>
      <c r="I59" s="164"/>
      <c r="J59" s="164"/>
    </row>
    <row r="60" spans="2:10">
      <c r="B60" s="164"/>
      <c r="C60" s="164"/>
      <c r="D60" s="164"/>
      <c r="E60" s="164"/>
      <c r="F60" s="164"/>
      <c r="G60" s="164"/>
      <c r="H60" s="164"/>
      <c r="I60" s="164"/>
      <c r="J60" s="164"/>
    </row>
    <row r="61" spans="2:10">
      <c r="B61" s="173" t="s">
        <v>23</v>
      </c>
      <c r="C61" s="173"/>
      <c r="D61" s="173"/>
      <c r="E61" s="173"/>
      <c r="F61" s="173"/>
      <c r="G61" s="173"/>
      <c r="H61" s="173"/>
      <c r="I61" s="173"/>
      <c r="J61" s="173"/>
    </row>
    <row r="62" spans="2:10" ht="15.45" customHeight="1">
      <c r="B62" s="164" t="s">
        <v>24</v>
      </c>
      <c r="C62" s="164"/>
      <c r="D62" s="164"/>
      <c r="E62" s="164"/>
      <c r="F62" s="164"/>
      <c r="G62" s="164"/>
      <c r="H62" s="164"/>
      <c r="I62" s="164"/>
      <c r="J62" s="164"/>
    </row>
    <row r="63" spans="2:10" ht="22.95" customHeight="1">
      <c r="B63" s="164"/>
      <c r="C63" s="164"/>
      <c r="D63" s="164"/>
      <c r="E63" s="164"/>
      <c r="F63" s="164"/>
      <c r="G63" s="164"/>
      <c r="H63" s="164"/>
      <c r="I63" s="164"/>
      <c r="J63" s="164"/>
    </row>
    <row r="64" spans="2:10" ht="16.05" customHeight="1">
      <c r="B64" s="164"/>
      <c r="C64" s="164"/>
      <c r="D64" s="164"/>
      <c r="E64" s="164"/>
      <c r="F64" s="164"/>
      <c r="G64" s="164"/>
      <c r="H64" s="164"/>
      <c r="I64" s="164"/>
      <c r="J64" s="164"/>
    </row>
    <row r="65" spans="2:10">
      <c r="B65" s="164"/>
      <c r="C65" s="164"/>
      <c r="D65" s="164"/>
      <c r="E65" s="164"/>
      <c r="F65" s="164"/>
      <c r="G65" s="164"/>
      <c r="H65" s="164"/>
      <c r="I65" s="164"/>
      <c r="J65" s="164"/>
    </row>
    <row r="66" spans="2:10">
      <c r="B66" s="164"/>
      <c r="C66" s="164"/>
      <c r="D66" s="164"/>
      <c r="E66" s="164"/>
      <c r="F66" s="164"/>
      <c r="G66" s="164"/>
      <c r="H66" s="164"/>
      <c r="I66" s="164"/>
      <c r="J66" s="164"/>
    </row>
    <row r="67" spans="2:10">
      <c r="B67" s="164"/>
      <c r="C67" s="164"/>
      <c r="D67" s="164"/>
      <c r="E67" s="164"/>
      <c r="F67" s="164"/>
      <c r="G67" s="164"/>
      <c r="H67" s="164"/>
      <c r="I67" s="164"/>
      <c r="J67" s="164"/>
    </row>
    <row r="68" spans="2:10" ht="18" customHeight="1">
      <c r="B68" s="164"/>
      <c r="C68" s="164"/>
      <c r="D68" s="164"/>
      <c r="E68" s="164"/>
      <c r="F68" s="164"/>
      <c r="G68" s="164"/>
      <c r="H68" s="164"/>
      <c r="I68" s="164"/>
      <c r="J68" s="164"/>
    </row>
    <row r="69" spans="2:10">
      <c r="B69" s="164"/>
      <c r="C69" s="164"/>
      <c r="D69" s="164"/>
      <c r="E69" s="164"/>
      <c r="F69" s="164"/>
      <c r="G69" s="164"/>
      <c r="H69" s="164"/>
      <c r="I69" s="164"/>
      <c r="J69" s="164"/>
    </row>
    <row r="70" spans="2:10">
      <c r="B70" s="164"/>
      <c r="C70" s="164"/>
      <c r="D70" s="164"/>
      <c r="E70" s="164"/>
      <c r="F70" s="164"/>
      <c r="G70" s="164"/>
      <c r="H70" s="164"/>
      <c r="I70" s="164"/>
      <c r="J70" s="164"/>
    </row>
    <row r="71" spans="2:10">
      <c r="B71" s="164"/>
      <c r="C71" s="164"/>
      <c r="D71" s="164"/>
      <c r="E71" s="164"/>
      <c r="F71" s="164"/>
      <c r="G71" s="164"/>
      <c r="H71" s="164"/>
      <c r="I71" s="164"/>
      <c r="J71" s="164"/>
    </row>
    <row r="73" spans="2:10" ht="22.05" customHeight="1"/>
    <row r="74" spans="2:10">
      <c r="B74" s="167" t="s">
        <v>25</v>
      </c>
      <c r="C74" s="167"/>
      <c r="D74" s="167"/>
      <c r="E74" s="167"/>
      <c r="F74" s="167"/>
      <c r="G74" s="167"/>
      <c r="H74" s="167"/>
      <c r="I74" s="167"/>
      <c r="J74" s="167"/>
    </row>
    <row r="75" spans="2:10" ht="31.95" customHeight="1"/>
    <row r="78" spans="2:10">
      <c r="B78" s="169" t="s">
        <v>333</v>
      </c>
      <c r="C78" s="169"/>
      <c r="D78" s="169"/>
      <c r="E78" s="169"/>
      <c r="F78" s="169"/>
      <c r="G78" s="169"/>
      <c r="H78" s="169"/>
      <c r="I78" s="169"/>
      <c r="J78" s="169"/>
    </row>
    <row r="79" spans="2:10" ht="31.95" customHeight="1">
      <c r="B79" s="169"/>
      <c r="C79" s="169"/>
      <c r="D79" s="169"/>
      <c r="E79" s="169"/>
      <c r="F79" s="169"/>
      <c r="G79" s="169"/>
      <c r="H79" s="169"/>
      <c r="I79" s="169"/>
      <c r="J79" s="169"/>
    </row>
    <row r="80" spans="2:10" ht="19.05" customHeight="1">
      <c r="B80" s="144"/>
      <c r="C80" s="144"/>
      <c r="D80" s="144"/>
      <c r="E80" s="144"/>
      <c r="F80" s="144"/>
      <c r="G80" s="144"/>
      <c r="H80" s="144"/>
      <c r="I80" s="144"/>
      <c r="J80" s="144"/>
    </row>
    <row r="81" spans="2:10" ht="21">
      <c r="B81" s="149" t="s">
        <v>4</v>
      </c>
    </row>
    <row r="83" spans="2:10">
      <c r="B83" s="169" t="s">
        <v>26</v>
      </c>
      <c r="C83" s="169"/>
      <c r="D83" s="169"/>
      <c r="E83" s="169"/>
      <c r="F83" s="169"/>
      <c r="G83" s="169"/>
      <c r="H83" s="169"/>
      <c r="I83" s="169"/>
      <c r="J83" s="169"/>
    </row>
    <row r="84" spans="2:10">
      <c r="B84" s="169"/>
      <c r="C84" s="169"/>
      <c r="D84" s="169"/>
      <c r="E84" s="169"/>
      <c r="F84" s="169"/>
      <c r="G84" s="169"/>
      <c r="H84" s="169"/>
      <c r="I84" s="169"/>
      <c r="J84" s="169"/>
    </row>
    <row r="86" spans="2:10">
      <c r="B86" s="170" t="s">
        <v>334</v>
      </c>
      <c r="C86" s="170"/>
      <c r="D86" s="170"/>
      <c r="E86" s="170"/>
      <c r="F86" s="170"/>
      <c r="G86" s="170"/>
      <c r="H86" s="170"/>
      <c r="I86" s="170"/>
      <c r="J86" s="170"/>
    </row>
    <row r="87" spans="2:10">
      <c r="B87" s="150"/>
      <c r="C87" s="171" t="s">
        <v>27</v>
      </c>
      <c r="D87" s="171"/>
      <c r="E87" s="171"/>
      <c r="F87" s="171"/>
      <c r="G87" s="171"/>
      <c r="H87" s="171"/>
      <c r="I87" s="171"/>
      <c r="J87" s="171"/>
    </row>
    <row r="88" spans="2:10">
      <c r="C88" s="171"/>
      <c r="D88" s="171"/>
      <c r="E88" s="171"/>
      <c r="F88" s="171"/>
      <c r="G88" s="171"/>
      <c r="H88" s="171"/>
      <c r="I88" s="171"/>
      <c r="J88" s="171"/>
    </row>
    <row r="89" spans="2:10">
      <c r="C89" s="171"/>
      <c r="D89" s="171"/>
      <c r="E89" s="171"/>
      <c r="F89" s="171"/>
      <c r="G89" s="171"/>
      <c r="H89" s="171"/>
      <c r="I89" s="171"/>
      <c r="J89" s="171"/>
    </row>
    <row r="90" spans="2:10">
      <c r="C90" s="171"/>
      <c r="D90" s="171"/>
      <c r="E90" s="171"/>
      <c r="F90" s="171"/>
      <c r="G90" s="171"/>
      <c r="H90" s="171"/>
      <c r="I90" s="171"/>
      <c r="J90" s="171"/>
    </row>
    <row r="91" spans="2:10" ht="13.95" customHeight="1">
      <c r="B91" s="164" t="s">
        <v>28</v>
      </c>
      <c r="C91" s="164"/>
      <c r="D91" s="164"/>
      <c r="E91" s="164"/>
      <c r="F91" s="164"/>
      <c r="G91" s="164"/>
      <c r="H91" s="164"/>
      <c r="I91" s="164"/>
      <c r="J91" s="164"/>
    </row>
    <row r="92" spans="2:10" ht="31.95" customHeight="1">
      <c r="B92" s="164"/>
      <c r="C92" s="164"/>
      <c r="D92" s="164"/>
      <c r="E92" s="164"/>
      <c r="F92" s="164"/>
      <c r="G92" s="164"/>
      <c r="H92" s="164"/>
      <c r="I92" s="164"/>
      <c r="J92" s="164"/>
    </row>
    <row r="93" spans="2:10">
      <c r="B93" s="164"/>
      <c r="C93" s="164"/>
      <c r="D93" s="164"/>
      <c r="E93" s="164"/>
      <c r="F93" s="164"/>
      <c r="G93" s="164"/>
      <c r="H93" s="164"/>
      <c r="I93" s="164"/>
      <c r="J93" s="164"/>
    </row>
    <row r="94" spans="2:10">
      <c r="B94" s="164"/>
      <c r="C94" s="164"/>
      <c r="D94" s="164"/>
      <c r="E94" s="164"/>
      <c r="F94" s="164"/>
      <c r="G94" s="164"/>
      <c r="H94" s="164"/>
      <c r="I94" s="164"/>
      <c r="J94" s="164"/>
    </row>
    <row r="95" spans="2:10">
      <c r="B95" s="144"/>
      <c r="C95" s="144"/>
      <c r="D95" s="144"/>
      <c r="E95" s="144"/>
      <c r="F95" s="144"/>
      <c r="G95" s="144"/>
      <c r="H95" s="144"/>
      <c r="I95" s="144"/>
      <c r="J95" s="144"/>
    </row>
    <row r="96" spans="2:10">
      <c r="B96" s="164" t="s">
        <v>29</v>
      </c>
      <c r="C96" s="164"/>
      <c r="D96" s="164"/>
      <c r="E96" s="164"/>
      <c r="F96" s="164"/>
      <c r="G96" s="164"/>
      <c r="H96" s="164"/>
      <c r="I96" s="164"/>
      <c r="J96" s="164"/>
    </row>
    <row r="97" spans="2:10" ht="37.049999999999997" customHeight="1">
      <c r="B97" s="164"/>
      <c r="C97" s="164"/>
      <c r="D97" s="164"/>
      <c r="E97" s="164"/>
      <c r="F97" s="164"/>
      <c r="G97" s="164"/>
      <c r="H97" s="164"/>
      <c r="I97" s="164"/>
      <c r="J97" s="164"/>
    </row>
    <row r="98" spans="2:10" ht="15" customHeight="1">
      <c r="B98" s="164"/>
      <c r="C98" s="164"/>
      <c r="D98" s="164"/>
      <c r="E98" s="164"/>
      <c r="F98" s="164"/>
      <c r="G98" s="164"/>
      <c r="H98" s="164"/>
      <c r="I98" s="164"/>
      <c r="J98" s="164"/>
    </row>
    <row r="99" spans="2:10">
      <c r="B99" s="164"/>
      <c r="C99" s="164"/>
      <c r="D99" s="164"/>
      <c r="E99" s="164"/>
      <c r="F99" s="164"/>
      <c r="G99" s="164"/>
      <c r="H99" s="164"/>
      <c r="I99" s="164"/>
      <c r="J99" s="164"/>
    </row>
    <row r="100" spans="2:10">
      <c r="B100" s="164"/>
      <c r="C100" s="164"/>
      <c r="D100" s="164"/>
      <c r="E100" s="164"/>
      <c r="F100" s="164"/>
      <c r="G100" s="164"/>
      <c r="H100" s="164"/>
      <c r="I100" s="164"/>
      <c r="J100" s="164"/>
    </row>
    <row r="101" spans="2:10">
      <c r="B101" s="164"/>
      <c r="C101" s="164"/>
      <c r="D101" s="164"/>
      <c r="E101" s="164"/>
      <c r="F101" s="164"/>
      <c r="G101" s="164"/>
      <c r="H101" s="164"/>
      <c r="I101" s="164"/>
      <c r="J101" s="164"/>
    </row>
    <row r="102" spans="2:10">
      <c r="B102" s="164"/>
      <c r="C102" s="164"/>
      <c r="D102" s="164"/>
      <c r="E102" s="164"/>
      <c r="F102" s="164"/>
      <c r="G102" s="164"/>
      <c r="H102" s="164"/>
      <c r="I102" s="164"/>
      <c r="J102" s="164"/>
    </row>
    <row r="103" spans="2:10">
      <c r="B103" s="164"/>
      <c r="C103" s="164"/>
      <c r="D103" s="164"/>
      <c r="E103" s="164"/>
      <c r="F103" s="164"/>
      <c r="G103" s="164"/>
      <c r="H103" s="164"/>
      <c r="I103" s="164"/>
      <c r="J103" s="164"/>
    </row>
    <row r="104" spans="2:10">
      <c r="B104" s="164"/>
      <c r="C104" s="164"/>
      <c r="D104" s="164"/>
      <c r="E104" s="164"/>
      <c r="F104" s="164"/>
      <c r="G104" s="164"/>
      <c r="H104" s="164"/>
      <c r="I104" s="164"/>
      <c r="J104" s="164"/>
    </row>
    <row r="105" spans="2:10">
      <c r="B105" s="169" t="s">
        <v>335</v>
      </c>
      <c r="C105" s="169"/>
      <c r="D105" s="169"/>
      <c r="E105" s="169"/>
      <c r="F105" s="169"/>
      <c r="G105" s="169"/>
      <c r="H105" s="169"/>
      <c r="I105" s="169"/>
      <c r="J105" s="169"/>
    </row>
    <row r="106" spans="2:10" ht="22.05" customHeight="1">
      <c r="B106" s="169"/>
      <c r="C106" s="169"/>
      <c r="D106" s="169"/>
      <c r="E106" s="169"/>
      <c r="F106" s="169"/>
      <c r="G106" s="169"/>
      <c r="H106" s="169"/>
      <c r="I106" s="169"/>
      <c r="J106" s="169"/>
    </row>
    <row r="107" spans="2:10" ht="16.05" customHeight="1">
      <c r="B107" s="169" t="s">
        <v>336</v>
      </c>
      <c r="C107" s="169"/>
      <c r="D107" s="169"/>
      <c r="E107" s="169"/>
      <c r="F107" s="169"/>
      <c r="G107" s="169"/>
      <c r="H107" s="169"/>
      <c r="I107" s="169"/>
      <c r="J107" s="169"/>
    </row>
    <row r="108" spans="2:10" ht="22.05" customHeight="1">
      <c r="B108" s="169"/>
      <c r="C108" s="169"/>
      <c r="D108" s="169"/>
      <c r="E108" s="169"/>
      <c r="F108" s="169"/>
      <c r="G108" s="169"/>
      <c r="H108" s="169"/>
      <c r="I108" s="169"/>
      <c r="J108" s="169"/>
    </row>
    <row r="109" spans="2:10" ht="21.45" customHeight="1">
      <c r="B109" s="166" t="s">
        <v>30</v>
      </c>
      <c r="C109" s="166"/>
      <c r="D109" s="166"/>
      <c r="E109" s="166"/>
      <c r="F109" s="166"/>
      <c r="G109" s="166"/>
      <c r="H109" s="166"/>
      <c r="I109" s="166"/>
      <c r="J109" s="166"/>
    </row>
    <row r="110" spans="2:10">
      <c r="B110" s="168" t="s">
        <v>31</v>
      </c>
      <c r="C110" s="168"/>
      <c r="D110" s="168"/>
      <c r="E110" s="168"/>
      <c r="F110" s="168"/>
      <c r="G110" s="168"/>
      <c r="H110" s="168"/>
      <c r="I110" s="168"/>
      <c r="J110" s="168"/>
    </row>
    <row r="111" spans="2:10" ht="12" customHeight="1">
      <c r="B111" s="168"/>
      <c r="C111" s="168"/>
      <c r="D111" s="168"/>
      <c r="E111" s="168"/>
      <c r="F111" s="168"/>
      <c r="G111" s="168"/>
      <c r="H111" s="168"/>
      <c r="I111" s="168"/>
      <c r="J111" s="168"/>
    </row>
    <row r="112" spans="2:10" ht="16.05" customHeight="1">
      <c r="B112" s="168"/>
      <c r="C112" s="168"/>
      <c r="D112" s="168"/>
      <c r="E112" s="168"/>
      <c r="F112" s="168"/>
      <c r="G112" s="168"/>
      <c r="H112" s="168"/>
      <c r="I112" s="168"/>
      <c r="J112" s="168"/>
    </row>
    <row r="113" spans="2:10">
      <c r="B113" s="168"/>
      <c r="C113" s="168"/>
      <c r="D113" s="168"/>
      <c r="E113" s="168"/>
      <c r="F113" s="168"/>
      <c r="G113" s="168"/>
      <c r="H113" s="168"/>
      <c r="I113" s="168"/>
      <c r="J113" s="168"/>
    </row>
    <row r="114" spans="2:10">
      <c r="B114" s="168"/>
      <c r="C114" s="168"/>
      <c r="D114" s="168"/>
      <c r="E114" s="168"/>
      <c r="F114" s="168"/>
      <c r="G114" s="168"/>
      <c r="H114" s="168"/>
      <c r="I114" s="168"/>
      <c r="J114" s="168"/>
    </row>
    <row r="115" spans="2:10">
      <c r="B115" s="168"/>
      <c r="C115" s="168"/>
      <c r="D115" s="168"/>
      <c r="E115" s="168"/>
      <c r="F115" s="168"/>
      <c r="G115" s="168"/>
      <c r="H115" s="168"/>
      <c r="I115" s="168"/>
      <c r="J115" s="168"/>
    </row>
    <row r="116" spans="2:10">
      <c r="B116" s="168"/>
      <c r="C116" s="168"/>
      <c r="D116" s="168"/>
      <c r="E116" s="168"/>
      <c r="F116" s="168"/>
      <c r="G116" s="168"/>
      <c r="H116" s="168"/>
      <c r="I116" s="168"/>
      <c r="J116" s="168"/>
    </row>
    <row r="117" spans="2:10">
      <c r="B117" s="168"/>
      <c r="C117" s="168"/>
      <c r="D117" s="168"/>
      <c r="E117" s="168"/>
      <c r="F117" s="168"/>
      <c r="G117" s="168"/>
      <c r="H117" s="168"/>
      <c r="I117" s="168"/>
      <c r="J117" s="168"/>
    </row>
    <row r="118" spans="2:10">
      <c r="B118" s="168"/>
      <c r="C118" s="168"/>
      <c r="D118" s="168"/>
      <c r="E118" s="168"/>
      <c r="F118" s="168"/>
      <c r="G118" s="168"/>
      <c r="H118" s="168"/>
      <c r="I118" s="168"/>
      <c r="J118" s="168"/>
    </row>
    <row r="119" spans="2:10">
      <c r="B119" s="157"/>
      <c r="C119" s="157"/>
      <c r="D119" s="157"/>
      <c r="E119" s="157"/>
      <c r="F119" s="157"/>
      <c r="G119" s="157"/>
      <c r="H119" s="157"/>
      <c r="I119" s="157"/>
      <c r="J119" s="157"/>
    </row>
    <row r="120" spans="2:10">
      <c r="B120" s="157"/>
      <c r="C120" s="157"/>
      <c r="D120" s="157"/>
      <c r="E120" s="157"/>
      <c r="F120" s="157"/>
      <c r="G120" s="157"/>
      <c r="H120" s="157"/>
      <c r="I120" s="157"/>
      <c r="J120" s="157"/>
    </row>
    <row r="123" spans="2:10">
      <c r="B123" s="167" t="s">
        <v>32</v>
      </c>
      <c r="C123" s="167"/>
      <c r="D123" s="167"/>
      <c r="E123" s="167"/>
      <c r="F123" s="167"/>
      <c r="G123" s="167"/>
      <c r="H123" s="167"/>
      <c r="I123" s="167"/>
      <c r="J123" s="167"/>
    </row>
    <row r="124" spans="2:10" ht="31.95" customHeight="1"/>
    <row r="127" spans="2:10" ht="16.05" customHeight="1">
      <c r="B127" s="144"/>
      <c r="C127" s="144"/>
      <c r="D127" s="144"/>
      <c r="E127" s="144"/>
      <c r="F127" s="144"/>
      <c r="G127" s="144"/>
      <c r="H127" s="144"/>
      <c r="I127" s="144"/>
      <c r="J127" s="144"/>
    </row>
    <row r="128" spans="2:10" ht="21">
      <c r="B128" s="153" t="s">
        <v>7</v>
      </c>
      <c r="C128" s="144"/>
      <c r="D128" s="144"/>
      <c r="E128" s="144"/>
      <c r="F128" s="144"/>
      <c r="G128" s="144"/>
      <c r="H128" s="144"/>
      <c r="I128" s="144"/>
      <c r="J128" s="144"/>
    </row>
    <row r="129" spans="2:21" ht="19.5" customHeight="1">
      <c r="B129" s="151" t="s">
        <v>361</v>
      </c>
      <c r="C129" s="152"/>
      <c r="D129" s="152"/>
      <c r="E129" s="152"/>
      <c r="F129" s="152"/>
      <c r="G129" s="152"/>
      <c r="H129" s="152"/>
      <c r="I129" s="152"/>
      <c r="J129" s="152"/>
    </row>
    <row r="130" spans="2:21">
      <c r="B130" s="165" t="s">
        <v>348</v>
      </c>
      <c r="C130" s="165"/>
      <c r="D130" s="165"/>
      <c r="E130" s="165"/>
      <c r="F130" s="165"/>
      <c r="G130" s="165"/>
      <c r="H130" s="165"/>
      <c r="I130" s="165"/>
      <c r="J130" s="165"/>
    </row>
    <row r="131" spans="2:21">
      <c r="B131" s="165"/>
      <c r="C131" s="165"/>
      <c r="D131" s="165"/>
      <c r="E131" s="165"/>
      <c r="F131" s="165"/>
      <c r="G131" s="165"/>
      <c r="H131" s="165"/>
      <c r="I131" s="165"/>
      <c r="J131" s="165"/>
    </row>
    <row r="132" spans="2:21" ht="13.5" customHeight="1">
      <c r="B132" s="165"/>
      <c r="C132" s="165"/>
      <c r="D132" s="165"/>
      <c r="E132" s="165"/>
      <c r="F132" s="165"/>
      <c r="G132" s="165"/>
      <c r="H132" s="165"/>
      <c r="I132" s="165"/>
      <c r="J132" s="165"/>
    </row>
    <row r="133" spans="2:21">
      <c r="B133" s="139"/>
      <c r="C133" s="139"/>
      <c r="D133" s="139"/>
      <c r="E133" s="139"/>
      <c r="F133" s="139"/>
      <c r="G133" s="139"/>
      <c r="H133" s="139"/>
      <c r="I133" s="139"/>
      <c r="J133" s="139"/>
    </row>
    <row r="134" spans="2:21" ht="21">
      <c r="B134" s="153" t="s">
        <v>325</v>
      </c>
      <c r="C134" s="139"/>
      <c r="D134" s="139"/>
      <c r="E134" s="139"/>
      <c r="F134" s="139"/>
      <c r="G134" s="139"/>
      <c r="H134" s="139"/>
      <c r="I134" s="139"/>
      <c r="J134" s="139"/>
    </row>
    <row r="135" spans="2:21" ht="15.45" customHeight="1">
      <c r="B135" s="154" t="s">
        <v>343</v>
      </c>
      <c r="C135" s="139"/>
      <c r="D135" s="139"/>
      <c r="E135" s="139"/>
      <c r="F135" s="139"/>
      <c r="G135" s="139"/>
      <c r="H135" s="139"/>
      <c r="I135" s="139"/>
      <c r="J135" s="139"/>
    </row>
    <row r="136" spans="2:21" ht="15.45" customHeight="1">
      <c r="B136" s="163" t="s">
        <v>328</v>
      </c>
      <c r="C136" s="163"/>
      <c r="D136" s="163"/>
      <c r="E136" s="163"/>
      <c r="F136" s="163"/>
      <c r="G136" s="163"/>
      <c r="H136" s="163"/>
      <c r="I136" s="163"/>
      <c r="J136" s="163"/>
    </row>
    <row r="137" spans="2:21" ht="15.45" customHeight="1">
      <c r="B137" s="163"/>
      <c r="C137" s="163"/>
      <c r="D137" s="163"/>
      <c r="E137" s="163"/>
      <c r="F137" s="163"/>
      <c r="G137" s="163"/>
      <c r="H137" s="163"/>
      <c r="I137" s="163"/>
      <c r="J137" s="163"/>
    </row>
    <row r="138" spans="2:21" ht="15.45" customHeight="1">
      <c r="B138" s="154" t="s">
        <v>327</v>
      </c>
      <c r="C138" s="155"/>
      <c r="D138" s="155"/>
      <c r="E138" s="155"/>
      <c r="F138" s="155"/>
      <c r="G138" s="155"/>
      <c r="H138" s="155"/>
      <c r="I138" s="155"/>
      <c r="J138" s="155"/>
    </row>
    <row r="139" spans="2:21">
      <c r="B139" s="155"/>
      <c r="C139" s="155"/>
      <c r="D139" s="155"/>
      <c r="E139" s="155"/>
      <c r="F139" s="155"/>
      <c r="G139" s="155"/>
      <c r="H139" s="155"/>
      <c r="I139" s="155"/>
      <c r="J139" s="155"/>
    </row>
    <row r="140" spans="2:21" ht="21">
      <c r="B140" s="143" t="s">
        <v>10</v>
      </c>
    </row>
    <row r="142" spans="2:21" ht="18">
      <c r="B142" s="156" t="s">
        <v>337</v>
      </c>
      <c r="C142" s="162" t="s">
        <v>33</v>
      </c>
      <c r="D142" s="162"/>
      <c r="E142" s="162"/>
      <c r="F142" s="162"/>
      <c r="G142" s="162"/>
      <c r="H142" s="162"/>
      <c r="I142" s="162"/>
      <c r="J142" s="162"/>
    </row>
    <row r="143" spans="2:21" ht="18">
      <c r="B143" s="156" t="s">
        <v>338</v>
      </c>
      <c r="C143" s="162" t="s">
        <v>34</v>
      </c>
      <c r="D143" s="162"/>
      <c r="E143" s="162"/>
      <c r="F143" s="162"/>
      <c r="G143" s="162"/>
      <c r="H143" s="162"/>
      <c r="I143" s="162"/>
      <c r="J143" s="162"/>
      <c r="N143" s="144"/>
      <c r="O143" s="144"/>
      <c r="P143" s="144"/>
      <c r="Q143" s="144"/>
      <c r="R143" s="144"/>
      <c r="S143" s="144"/>
      <c r="T143" s="144"/>
      <c r="U143" s="144"/>
    </row>
    <row r="144" spans="2:21" ht="18" customHeight="1">
      <c r="B144" s="156" t="s">
        <v>339</v>
      </c>
      <c r="C144" s="162" t="s">
        <v>35</v>
      </c>
      <c r="D144" s="162"/>
      <c r="E144" s="162"/>
      <c r="F144" s="162"/>
      <c r="G144" s="162"/>
      <c r="H144" s="162"/>
      <c r="I144" s="162"/>
      <c r="J144" s="162"/>
      <c r="M144" s="139"/>
      <c r="N144" s="139"/>
      <c r="O144" s="139"/>
      <c r="P144" s="139"/>
      <c r="Q144" s="139"/>
      <c r="R144" s="139"/>
      <c r="S144" s="139"/>
      <c r="T144" s="139"/>
      <c r="U144" s="139"/>
    </row>
    <row r="145" spans="2:21" ht="18" customHeight="1">
      <c r="B145" s="156" t="s">
        <v>36</v>
      </c>
      <c r="C145" s="162" t="s">
        <v>37</v>
      </c>
      <c r="D145" s="162"/>
      <c r="E145" s="162"/>
      <c r="F145" s="162"/>
      <c r="G145" s="162"/>
      <c r="H145" s="162"/>
      <c r="I145" s="162"/>
      <c r="J145" s="162"/>
      <c r="M145" s="139"/>
      <c r="N145" s="139"/>
      <c r="O145" s="139"/>
      <c r="P145" s="139"/>
      <c r="Q145" s="139"/>
      <c r="R145" s="139"/>
      <c r="S145" s="139"/>
      <c r="T145" s="139"/>
      <c r="U145" s="139"/>
    </row>
    <row r="146" spans="2:21" ht="18" customHeight="1">
      <c r="B146" s="156" t="s">
        <v>38</v>
      </c>
      <c r="C146" s="162" t="s">
        <v>39</v>
      </c>
      <c r="D146" s="162"/>
      <c r="E146" s="162"/>
      <c r="F146" s="162"/>
      <c r="G146" s="162"/>
      <c r="H146" s="162"/>
      <c r="I146" s="162"/>
      <c r="J146" s="162"/>
      <c r="M146" s="139"/>
      <c r="N146" s="139"/>
      <c r="O146" s="139"/>
      <c r="P146" s="139"/>
      <c r="Q146" s="139"/>
      <c r="R146" s="139"/>
      <c r="S146" s="139"/>
      <c r="T146" s="139"/>
      <c r="U146" s="139"/>
    </row>
    <row r="147" spans="2:21" ht="18" customHeight="1">
      <c r="B147" s="156" t="s">
        <v>40</v>
      </c>
      <c r="C147" s="162" t="s">
        <v>41</v>
      </c>
      <c r="D147" s="162"/>
      <c r="E147" s="162"/>
      <c r="F147" s="162"/>
      <c r="G147" s="162"/>
      <c r="H147" s="162"/>
      <c r="I147" s="162"/>
      <c r="J147" s="162"/>
      <c r="M147" s="139"/>
      <c r="N147" s="139"/>
      <c r="O147" s="139"/>
      <c r="P147" s="139"/>
      <c r="Q147" s="139"/>
      <c r="R147" s="139"/>
      <c r="S147" s="139"/>
      <c r="T147" s="139"/>
      <c r="U147" s="139"/>
    </row>
    <row r="148" spans="2:21" ht="18" customHeight="1">
      <c r="B148" s="156" t="s">
        <v>42</v>
      </c>
      <c r="C148" s="162" t="s">
        <v>43</v>
      </c>
      <c r="D148" s="162"/>
      <c r="E148" s="162"/>
      <c r="F148" s="162"/>
      <c r="G148" s="162"/>
      <c r="H148" s="162"/>
      <c r="I148" s="162"/>
      <c r="J148" s="162"/>
      <c r="M148" s="139"/>
      <c r="N148" s="139"/>
      <c r="O148" s="139"/>
      <c r="P148" s="139"/>
      <c r="Q148" s="139"/>
      <c r="R148" s="139"/>
      <c r="S148" s="139"/>
      <c r="T148" s="139"/>
      <c r="U148" s="139"/>
    </row>
    <row r="149" spans="2:21" ht="18" customHeight="1">
      <c r="B149" s="156" t="s">
        <v>44</v>
      </c>
      <c r="C149" s="162" t="s">
        <v>45</v>
      </c>
      <c r="D149" s="162"/>
      <c r="E149" s="162"/>
      <c r="F149" s="162"/>
      <c r="G149" s="162"/>
      <c r="H149" s="162"/>
      <c r="I149" s="162"/>
      <c r="J149" s="162"/>
    </row>
    <row r="150" spans="2:21" ht="18" customHeight="1">
      <c r="B150" s="156" t="s">
        <v>46</v>
      </c>
      <c r="C150" s="162" t="s">
        <v>47</v>
      </c>
      <c r="D150" s="162"/>
      <c r="E150" s="162"/>
      <c r="F150" s="162"/>
      <c r="G150" s="162"/>
      <c r="H150" s="162"/>
      <c r="I150" s="162"/>
      <c r="J150" s="162"/>
    </row>
    <row r="151" spans="2:21" ht="18" customHeight="1">
      <c r="B151" s="156" t="s">
        <v>48</v>
      </c>
      <c r="C151" s="162" t="s">
        <v>49</v>
      </c>
      <c r="D151" s="162"/>
      <c r="E151" s="162"/>
      <c r="F151" s="162"/>
      <c r="G151" s="162"/>
      <c r="H151" s="162"/>
      <c r="I151" s="162"/>
      <c r="J151" s="162"/>
    </row>
    <row r="152" spans="2:21" ht="18" customHeight="1">
      <c r="B152" s="156" t="s">
        <v>50</v>
      </c>
      <c r="C152" s="162" t="s">
        <v>51</v>
      </c>
      <c r="D152" s="162"/>
      <c r="E152" s="162"/>
      <c r="F152" s="162"/>
      <c r="G152" s="162"/>
      <c r="H152" s="162"/>
      <c r="I152" s="162"/>
      <c r="J152" s="162"/>
    </row>
    <row r="153" spans="2:21" ht="18" customHeight="1">
      <c r="B153" s="156" t="s">
        <v>52</v>
      </c>
      <c r="C153" s="162" t="s">
        <v>53</v>
      </c>
      <c r="D153" s="162"/>
      <c r="E153" s="162"/>
      <c r="F153" s="162"/>
      <c r="G153" s="162"/>
      <c r="H153" s="162"/>
      <c r="I153" s="162"/>
      <c r="J153" s="162"/>
    </row>
    <row r="154" spans="2:21" ht="18" customHeight="1">
      <c r="B154" s="156" t="s">
        <v>54</v>
      </c>
      <c r="C154" s="162" t="s">
        <v>55</v>
      </c>
      <c r="D154" s="162"/>
      <c r="E154" s="162"/>
      <c r="F154" s="162"/>
      <c r="G154" s="162"/>
      <c r="H154" s="162"/>
      <c r="I154" s="162"/>
      <c r="J154" s="162"/>
    </row>
    <row r="155" spans="2:21" ht="18" customHeight="1">
      <c r="B155" s="156" t="s">
        <v>56</v>
      </c>
      <c r="C155" s="162" t="s">
        <v>57</v>
      </c>
      <c r="D155" s="162"/>
      <c r="E155" s="162"/>
      <c r="F155" s="162"/>
      <c r="G155" s="162"/>
      <c r="H155" s="162"/>
      <c r="I155" s="162"/>
      <c r="J155" s="162"/>
    </row>
    <row r="156" spans="2:21" ht="18" customHeight="1">
      <c r="B156" s="156" t="s">
        <v>58</v>
      </c>
      <c r="C156" s="162" t="s">
        <v>59</v>
      </c>
      <c r="D156" s="162"/>
      <c r="E156" s="162"/>
      <c r="F156" s="162"/>
      <c r="G156" s="162"/>
      <c r="H156" s="162"/>
      <c r="I156" s="162"/>
      <c r="J156" s="162"/>
    </row>
    <row r="157" spans="2:21" ht="18" customHeight="1">
      <c r="B157" s="156" t="s">
        <v>60</v>
      </c>
      <c r="C157" s="162" t="s">
        <v>61</v>
      </c>
      <c r="D157" s="162"/>
      <c r="E157" s="162"/>
      <c r="F157" s="162"/>
      <c r="G157" s="162"/>
      <c r="H157" s="162"/>
      <c r="I157" s="162"/>
      <c r="J157" s="162"/>
    </row>
    <row r="158" spans="2:21" ht="18" customHeight="1">
      <c r="B158" s="156" t="s">
        <v>62</v>
      </c>
      <c r="C158" s="161" t="s">
        <v>63</v>
      </c>
      <c r="D158" s="161"/>
      <c r="E158" s="161"/>
      <c r="F158" s="161"/>
      <c r="G158" s="161"/>
      <c r="H158" s="161"/>
      <c r="I158" s="161"/>
      <c r="J158" s="161"/>
    </row>
    <row r="159" spans="2:21" ht="18" customHeight="1">
      <c r="B159" s="156" t="s">
        <v>64</v>
      </c>
      <c r="C159" s="159" t="s">
        <v>65</v>
      </c>
      <c r="D159" s="159"/>
      <c r="E159" s="159"/>
      <c r="F159" s="159"/>
      <c r="G159" s="158"/>
      <c r="H159" s="158"/>
      <c r="I159" s="158"/>
      <c r="J159" s="158"/>
    </row>
    <row r="160" spans="2:21" ht="18" customHeight="1">
      <c r="B160" s="156" t="s">
        <v>340</v>
      </c>
      <c r="C160" s="159" t="s">
        <v>66</v>
      </c>
      <c r="D160" s="159"/>
      <c r="E160" s="159"/>
      <c r="F160" s="158"/>
      <c r="G160" s="158"/>
      <c r="H160" s="158"/>
      <c r="I160" s="158"/>
      <c r="J160" s="158"/>
    </row>
    <row r="161" spans="2:10" ht="18" customHeight="1">
      <c r="B161" s="156" t="s">
        <v>67</v>
      </c>
      <c r="C161" s="159" t="s">
        <v>68</v>
      </c>
      <c r="D161" s="159"/>
      <c r="E161" s="159"/>
      <c r="F161" s="158"/>
      <c r="G161" s="158"/>
      <c r="H161" s="158"/>
      <c r="I161" s="158"/>
      <c r="J161" s="158"/>
    </row>
    <row r="162" spans="2:10" ht="18" customHeight="1">
      <c r="B162" s="156" t="s">
        <v>341</v>
      </c>
      <c r="C162" s="159" t="s">
        <v>69</v>
      </c>
      <c r="D162" s="159"/>
      <c r="E162" s="159"/>
      <c r="F162" s="158"/>
      <c r="G162" s="158"/>
      <c r="H162" s="158"/>
      <c r="I162" s="158"/>
      <c r="J162" s="158"/>
    </row>
    <row r="163" spans="2:10" ht="18" customHeight="1">
      <c r="B163" s="156" t="s">
        <v>342</v>
      </c>
      <c r="C163" s="159" t="s">
        <v>70</v>
      </c>
      <c r="D163" s="159"/>
      <c r="E163" s="158"/>
      <c r="F163" s="158"/>
      <c r="G163" s="158"/>
      <c r="H163" s="158"/>
      <c r="I163" s="158"/>
      <c r="J163" s="158"/>
    </row>
    <row r="164" spans="2:10" ht="18" customHeight="1">
      <c r="B164" s="156" t="s">
        <v>71</v>
      </c>
      <c r="C164" s="159" t="s">
        <v>72</v>
      </c>
      <c r="D164" s="159"/>
      <c r="E164" s="158"/>
      <c r="F164" s="158"/>
      <c r="G164" s="158"/>
      <c r="H164" s="158"/>
      <c r="I164" s="158"/>
      <c r="J164" s="158"/>
    </row>
    <row r="165" spans="2:10" ht="18" customHeight="1"/>
    <row r="166" spans="2:10" ht="18" customHeight="1"/>
  </sheetData>
  <mergeCells count="49">
    <mergeCell ref="B4:J8"/>
    <mergeCell ref="B13:J15"/>
    <mergeCell ref="B36:J39"/>
    <mergeCell ref="B40:J48"/>
    <mergeCell ref="B17:J19"/>
    <mergeCell ref="B26:J27"/>
    <mergeCell ref="B30:J31"/>
    <mergeCell ref="B33:J33"/>
    <mergeCell ref="B34:J35"/>
    <mergeCell ref="C21:J21"/>
    <mergeCell ref="B57:J58"/>
    <mergeCell ref="B59:J60"/>
    <mergeCell ref="B61:J61"/>
    <mergeCell ref="B62:J71"/>
    <mergeCell ref="E52:F52"/>
    <mergeCell ref="E53:F53"/>
    <mergeCell ref="E54:F54"/>
    <mergeCell ref="E55:F55"/>
    <mergeCell ref="B78:J79"/>
    <mergeCell ref="B83:J84"/>
    <mergeCell ref="B86:J86"/>
    <mergeCell ref="C87:J90"/>
    <mergeCell ref="B74:J74"/>
    <mergeCell ref="B91:J94"/>
    <mergeCell ref="B130:J132"/>
    <mergeCell ref="B109:J109"/>
    <mergeCell ref="B123:J123"/>
    <mergeCell ref="B96:J104"/>
    <mergeCell ref="B110:J118"/>
    <mergeCell ref="B105:J106"/>
    <mergeCell ref="B107:J108"/>
    <mergeCell ref="B136:J137"/>
    <mergeCell ref="C149:J149"/>
    <mergeCell ref="C153:J153"/>
    <mergeCell ref="C143:J143"/>
    <mergeCell ref="C142:J142"/>
    <mergeCell ref="C147:J147"/>
    <mergeCell ref="C148:J148"/>
    <mergeCell ref="C146:J146"/>
    <mergeCell ref="C145:J145"/>
    <mergeCell ref="C144:J144"/>
    <mergeCell ref="C158:J158"/>
    <mergeCell ref="C152:J152"/>
    <mergeCell ref="C151:J151"/>
    <mergeCell ref="C150:J150"/>
    <mergeCell ref="C154:J154"/>
    <mergeCell ref="C155:J155"/>
    <mergeCell ref="C156:J156"/>
    <mergeCell ref="C157:J157"/>
  </mergeCells>
  <hyperlinks>
    <hyperlink ref="B10" location="Gen_calc" tooltip="Link to General Calculator User Guide" display="General Calculator" xr:uid="{157C3CE0-E5A6-6B4B-9846-20ACC663C3F9}"/>
    <hyperlink ref="B11" location="user_defined" tooltip="Link to User Entry Calculator User Guide" display="User Entry Calculator" xr:uid="{0E661B8E-432E-7D49-969A-DAB95B716F5B}"/>
    <hyperlink ref="B25" location="Abbr" tooltip="Link to Acronyms and Abbreviations" display="Acronyms and Abbreviations" xr:uid="{1C27047D-D272-CD45-A7E3-3D1926E66123}"/>
    <hyperlink ref="B21" location="Footnotes" tooltip="Link to footnotes" display="Footnotes" xr:uid="{2AA6CFE6-5F5E-8341-B5C8-AFE0FAC05841}"/>
    <hyperlink ref="B23" location="Additional_Resources" display="Additional resources can be found at the bottom of this document about vessel parameters at berth. " xr:uid="{D612D963-5564-4FF2-8005-2ADA8B4600FB}"/>
  </hyperlinks>
  <printOptions horizontalCentered="1" gridLines="1"/>
  <pageMargins left="0.7" right="0.7" top="0.75" bottom="0.75" header="0.3" footer="0.3"/>
  <pageSetup scale="48" fitToHeight="0" orientation="landscape" r:id="rId1"/>
  <headerFooter differentFirst="1">
    <oddFooter>&amp;LShore Power Emissions Calculator, Version 2022a
&amp;A&amp;RPage &amp;P of &amp;N</oddFooter>
    <firstHeader>&amp;L&amp;G&amp;C&amp;"-,Bold"Shore Power Emissions Calculator&amp;"-,Regular"
Version 2022a &amp;ROffice of Transportation and Air Quality
May 2022</firstHeader>
    <firstFooter>&amp;RPage &amp;P of &amp;N</firstFooter>
  </headerFooter>
  <rowBreaks count="2" manualBreakCount="2">
    <brk id="61" max="16383" man="1"/>
    <brk id="11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7"/>
  <sheetViews>
    <sheetView workbookViewId="0">
      <selection activeCell="P6" sqref="P6"/>
    </sheetView>
  </sheetViews>
  <sheetFormatPr defaultColWidth="11" defaultRowHeight="15.6"/>
  <cols>
    <col min="1" max="1" width="14.19921875" customWidth="1"/>
    <col min="2" max="2" width="19.19921875" bestFit="1" customWidth="1"/>
    <col min="3" max="3" width="19.19921875" customWidth="1"/>
    <col min="4" max="4" width="18.19921875" customWidth="1"/>
    <col min="5" max="5" width="19.5" customWidth="1"/>
    <col min="6" max="6" width="17.5" customWidth="1"/>
    <col min="7" max="7" width="18" style="1" customWidth="1"/>
    <col min="8" max="8" width="11.296875" style="1" customWidth="1"/>
    <col min="9" max="9" width="1.19921875" style="18" customWidth="1"/>
    <col min="10" max="10" width="12.296875" customWidth="1"/>
    <col min="11" max="14" width="9.796875" customWidth="1"/>
    <col min="15" max="15" width="1.19921875" style="7" customWidth="1"/>
    <col min="16" max="20" width="10.69921875" customWidth="1"/>
    <col min="21" max="21" width="1.19921875" style="76" customWidth="1"/>
    <col min="22" max="26" width="10.5" customWidth="1"/>
    <col min="27" max="27" width="1" style="7" customWidth="1"/>
    <col min="28" max="28" width="9.796875" customWidth="1"/>
    <col min="29" max="29" width="10.69921875" customWidth="1"/>
    <col min="30" max="30" width="11" customWidth="1"/>
    <col min="31" max="31" width="10.296875" customWidth="1"/>
    <col min="32" max="32" width="11.19921875" customWidth="1"/>
    <col min="34" max="34" width="13" bestFit="1" customWidth="1"/>
  </cols>
  <sheetData>
    <row r="1" spans="1:32">
      <c r="A1" s="33" t="s">
        <v>73</v>
      </c>
      <c r="O1" s="76"/>
      <c r="AA1" s="76"/>
    </row>
    <row r="2" spans="1:32" s="2" customFormat="1" ht="30" customHeight="1">
      <c r="A2" s="24" t="s">
        <v>73</v>
      </c>
      <c r="B2" s="25"/>
      <c r="C2" s="25"/>
      <c r="D2" s="25"/>
      <c r="E2" s="25"/>
      <c r="F2" s="25"/>
      <c r="G2" s="25"/>
      <c r="H2" s="25"/>
      <c r="I2" s="19"/>
      <c r="J2" s="174" t="s">
        <v>74</v>
      </c>
      <c r="K2" s="174"/>
      <c r="L2" s="174"/>
      <c r="M2" s="174"/>
      <c r="N2" s="174"/>
      <c r="O2" s="9"/>
      <c r="P2" s="174" t="s">
        <v>75</v>
      </c>
      <c r="Q2" s="174"/>
      <c r="R2" s="174"/>
      <c r="S2" s="174"/>
      <c r="T2" s="174"/>
      <c r="U2" s="9"/>
      <c r="V2" s="175" t="s">
        <v>76</v>
      </c>
      <c r="W2" s="175"/>
      <c r="X2" s="175"/>
      <c r="Y2" s="175"/>
      <c r="Z2" s="175"/>
      <c r="AA2" s="57"/>
      <c r="AB2" s="175" t="s">
        <v>77</v>
      </c>
      <c r="AC2" s="175"/>
      <c r="AD2" s="175"/>
      <c r="AE2" s="175"/>
      <c r="AF2" s="175"/>
    </row>
    <row r="3" spans="1:32" s="2" customFormat="1" ht="43.05" customHeight="1" thickBot="1">
      <c r="A3" s="4" t="s">
        <v>78</v>
      </c>
      <c r="B3" s="4" t="s">
        <v>79</v>
      </c>
      <c r="C3" s="4" t="s">
        <v>80</v>
      </c>
      <c r="D3" s="4" t="s">
        <v>81</v>
      </c>
      <c r="E3" s="4" t="s">
        <v>82</v>
      </c>
      <c r="F3" s="4" t="s">
        <v>83</v>
      </c>
      <c r="G3" s="5" t="s">
        <v>84</v>
      </c>
      <c r="H3" s="111" t="s">
        <v>85</v>
      </c>
      <c r="I3" s="20"/>
      <c r="J3" s="6" t="s">
        <v>67</v>
      </c>
      <c r="K3" s="115" t="s">
        <v>86</v>
      </c>
      <c r="L3" s="115" t="s">
        <v>87</v>
      </c>
      <c r="M3" s="115" t="s">
        <v>88</v>
      </c>
      <c r="N3" s="116" t="s">
        <v>89</v>
      </c>
      <c r="O3" s="10"/>
      <c r="P3" s="6" t="s">
        <v>67</v>
      </c>
      <c r="Q3" s="115" t="s">
        <v>86</v>
      </c>
      <c r="R3" s="115" t="s">
        <v>87</v>
      </c>
      <c r="S3" s="115" t="s">
        <v>88</v>
      </c>
      <c r="T3" s="116" t="s">
        <v>89</v>
      </c>
      <c r="U3" s="10"/>
      <c r="V3" s="6" t="s">
        <v>67</v>
      </c>
      <c r="W3" s="115" t="s">
        <v>86</v>
      </c>
      <c r="X3" s="115" t="s">
        <v>87</v>
      </c>
      <c r="Y3" s="115" t="s">
        <v>88</v>
      </c>
      <c r="Z3" s="116" t="s">
        <v>89</v>
      </c>
      <c r="AA3" s="57"/>
      <c r="AB3" s="6" t="s">
        <v>67</v>
      </c>
      <c r="AC3" s="115" t="s">
        <v>86</v>
      </c>
      <c r="AD3" s="115" t="s">
        <v>87</v>
      </c>
      <c r="AE3" s="115" t="s">
        <v>88</v>
      </c>
      <c r="AF3" s="116" t="s">
        <v>89</v>
      </c>
    </row>
    <row r="4" spans="1:32" ht="16.95" customHeight="1">
      <c r="A4" s="76" t="s">
        <v>90</v>
      </c>
      <c r="B4" s="76" t="s">
        <v>90</v>
      </c>
      <c r="C4" s="76" t="s">
        <v>90</v>
      </c>
      <c r="D4" s="76" t="s">
        <v>91</v>
      </c>
      <c r="E4" s="76" t="s">
        <v>91</v>
      </c>
      <c r="F4" s="75" t="s">
        <v>92</v>
      </c>
      <c r="G4" s="3" t="s">
        <v>93</v>
      </c>
      <c r="H4" s="3" t="s">
        <v>93</v>
      </c>
      <c r="J4" s="3" t="s">
        <v>93</v>
      </c>
      <c r="K4" s="3" t="s">
        <v>93</v>
      </c>
      <c r="L4" s="3" t="s">
        <v>93</v>
      </c>
      <c r="M4" s="3" t="s">
        <v>93</v>
      </c>
      <c r="N4" s="3" t="s">
        <v>93</v>
      </c>
      <c r="O4" s="76"/>
      <c r="P4" s="3" t="s">
        <v>93</v>
      </c>
      <c r="Q4" s="3" t="s">
        <v>93</v>
      </c>
      <c r="R4" s="3" t="s">
        <v>93</v>
      </c>
      <c r="S4" s="3" t="s">
        <v>93</v>
      </c>
      <c r="T4" s="3" t="s">
        <v>93</v>
      </c>
      <c r="V4" s="8" t="s">
        <v>93</v>
      </c>
      <c r="W4" s="8" t="s">
        <v>93</v>
      </c>
      <c r="X4" s="8" t="s">
        <v>93</v>
      </c>
      <c r="Y4" s="8" t="s">
        <v>93</v>
      </c>
      <c r="Z4" s="8" t="s">
        <v>93</v>
      </c>
      <c r="AA4" s="76"/>
      <c r="AB4" s="8" t="s">
        <v>93</v>
      </c>
      <c r="AC4" s="8" t="s">
        <v>93</v>
      </c>
      <c r="AD4" s="8" t="s">
        <v>93</v>
      </c>
      <c r="AE4" s="8" t="s">
        <v>93</v>
      </c>
      <c r="AF4" s="8" t="s">
        <v>93</v>
      </c>
    </row>
    <row r="5" spans="1:32">
      <c r="A5" s="63"/>
      <c r="B5" s="63"/>
      <c r="C5" s="63"/>
      <c r="D5" s="63"/>
      <c r="E5" s="63"/>
      <c r="F5" s="72" t="str">
        <f>IF(ISBLANK(B5),"",VLOOKUP(B5,'Vessel Type'!$C$3:$G$57,4,FALSE))</f>
        <v/>
      </c>
      <c r="G5" s="65" t="str">
        <f t="shared" ref="G5:G24" si="0">IF(ISBLANK(B5),"",D5*E5*F5)</f>
        <v/>
      </c>
      <c r="H5" s="112" t="str">
        <f>IF(ISBLANK(B5),"",VLOOKUP(A5,'eGRID2018 Region'!$A$5:$J$30,10,FALSE))</f>
        <v/>
      </c>
      <c r="J5" s="128" t="str">
        <f>IF(ISBLANK(B5), "", ROUND((VLOOKUP(C5,'Vessel Fuel Emission Factors'!$C$8:$J$20,2,FALSE)*$G5/1000000), 3))</f>
        <v/>
      </c>
      <c r="K5" s="128" t="str">
        <f>IF(ISBLANK(B5), "",  ROUND((VLOOKUP(C5,'Vessel Fuel Emission Factors'!$C$8:$J$20,3,FALSE)*$G5/1000000),3))</f>
        <v/>
      </c>
      <c r="L5" s="128" t="str">
        <f>IF(ISBLANK(B5), "",  ROUND((VLOOKUP(C5,'Vessel Fuel Emission Factors'!$C$8:$J$20,6,FALSE)*$G5/1000000),3))</f>
        <v/>
      </c>
      <c r="M5" s="65" t="str">
        <f>IF(ISBLANK(B5), "",  ROUND((VLOOKUP(C5,'Vessel Fuel Emission Factors'!$C$8:$J$20,4,FALSE)*$G5/1000000),0))</f>
        <v/>
      </c>
      <c r="N5" s="65" t="str">
        <f>IF(ISBLANK(B5), "",  ROUND((VLOOKUP(C5,'Vessel Fuel Emission Factors'!$C$8:$J$20,8,FALSE)*$G5/1000000),0))</f>
        <v/>
      </c>
      <c r="O5" s="70"/>
      <c r="P5" s="130" t="str">
        <f>IF(ISBLANK(B5), "", ROUND((VLOOKUP($A5, 'eGRID2018 Region'!$A$4:$J$30, 3, FALSE)*$G5/(1-$H5))/1000000,3))</f>
        <v/>
      </c>
      <c r="Q5" s="130" t="str">
        <f>IF(ISBLANK(B5), "", ROUND((VLOOKUP($A5, 'eGRID2018 Region'!$A$4:$J$30, 4, FALSE)*$G5/(1-$H5))/1000000,3))</f>
        <v/>
      </c>
      <c r="R5" s="130" t="str">
        <f>IF(ISBLANK(B5), "", ROUND((VLOOKUP($A5, 'eGRID2018 Region'!$A$4:$J$30, 9, FALSE)*$G5/(1-$H5))/1000000,3))</f>
        <v/>
      </c>
      <c r="S5" s="107" t="str">
        <f>IF(ISBLANK(B5), "", ROUND((VLOOKUP($A5, 'eGRID2018 Region'!$A$4:$J$30, 5, FALSE)*$G5/(1-$H5))/1000000,0))</f>
        <v/>
      </c>
      <c r="T5" s="107" t="str">
        <f>IF(ISBLANK(B5), "", ROUND((VLOOKUP($A5, 'eGRID2018 Region'!$A$4:$J$30, 8, FALSE)*$G5/(1-$H5))/1000000,0))</f>
        <v/>
      </c>
      <c r="U5" s="80"/>
      <c r="V5" s="130" t="str">
        <f>IF(AND(ISBLANK($A5), ISBLANK($B5)), "", ROUND(P5-J5, 3))</f>
        <v/>
      </c>
      <c r="W5" s="130" t="str">
        <f>IF(AND(ISBLANK($A5), ISBLANK($B5)), "", ROUND(Q5-K5,3))</f>
        <v/>
      </c>
      <c r="X5" s="130" t="str">
        <f>IF(AND(ISBLANK($A5), ISBLANK($B5)), "", ROUND(R5-L5,3))</f>
        <v/>
      </c>
      <c r="Y5" s="107" t="str">
        <f>IF(AND(ISBLANK($A5), ISBLANK($B5)), "", ROUND(S5-M5,0))</f>
        <v/>
      </c>
      <c r="Z5" s="107" t="str">
        <f>IF(AND(ISBLANK($A5), ISBLANK($B5)), "", ROUND(T5-N5,0))</f>
        <v/>
      </c>
      <c r="AA5" s="70"/>
      <c r="AB5" s="125" t="str">
        <f>IF(AND(ISBLANK($A5),ISBLANK($B5)),"",IF(J5=0, "Div/0 Error", ROUND((P5-J5)/J5,2)))</f>
        <v/>
      </c>
      <c r="AC5" s="125" t="str">
        <f t="shared" ref="AC5:AF20" si="1">IF(AND(ISBLANK($A5),ISBLANK($B5)),"",IF(K5=0, "Div/0 Error", ROUND((Q5-K5)/K5,2)))</f>
        <v/>
      </c>
      <c r="AD5" s="125" t="str">
        <f t="shared" si="1"/>
        <v/>
      </c>
      <c r="AE5" s="125" t="str">
        <f t="shared" si="1"/>
        <v/>
      </c>
      <c r="AF5" s="125" t="str">
        <f>IF(AND(ISBLANK($A5),ISBLANK($B5)),"",IF(N5=0, "Div/0 Error", ROUND((T5-N5)/N5,2)))</f>
        <v/>
      </c>
    </row>
    <row r="6" spans="1:32">
      <c r="A6" s="64"/>
      <c r="B6" s="64"/>
      <c r="C6" s="64"/>
      <c r="D6" s="64"/>
      <c r="E6" s="64"/>
      <c r="F6" s="72" t="str">
        <f>IF(ISBLANK(B6),"",VLOOKUP(B6,'Vessel Type'!$C$3:$G$57,4,FALSE))</f>
        <v/>
      </c>
      <c r="G6" s="67" t="str">
        <f t="shared" si="0"/>
        <v/>
      </c>
      <c r="H6" s="113" t="str">
        <f>IF(ISBLANK(B6),"",VLOOKUP(A6,'eGRID2018 Region'!$A$5:$J$30,10,FALSE))</f>
        <v/>
      </c>
      <c r="J6" s="129" t="str">
        <f>IF(ISBLANK(B6), "", ROUND((VLOOKUP(C6,'Vessel Fuel Emission Factors'!$C$8:$J$20,2,FALSE)*$G6/1000000), 3))</f>
        <v/>
      </c>
      <c r="K6" s="129" t="str">
        <f>IF(ISBLANK(B6), "",  ROUND((VLOOKUP(C6,'Vessel Fuel Emission Factors'!$C$8:$J$20,3,FALSE)*$G6/1000000),3))</f>
        <v/>
      </c>
      <c r="L6" s="129" t="str">
        <f>IF(ISBLANK(B6), "",  ROUND((VLOOKUP(C6,'Vessel Fuel Emission Factors'!$C$8:$J$20,6,FALSE)*$G6/1000000),3))</f>
        <v/>
      </c>
      <c r="M6" s="67" t="str">
        <f>IF(ISBLANK(B6), "",  ROUND((VLOOKUP(C6,'Vessel Fuel Emission Factors'!$C$8:$J$20,4,FALSE)*$G6/1000000),0))</f>
        <v/>
      </c>
      <c r="N6" s="67" t="str">
        <f>IF(ISBLANK(B6), "",  ROUND((VLOOKUP(C6,'Vessel Fuel Emission Factors'!$C$8:$J$20,8,FALSE)*$G6/1000000),0))</f>
        <v/>
      </c>
      <c r="O6" s="70"/>
      <c r="P6" s="129" t="str">
        <f>IF(ISBLANK(B6), "", ROUND((VLOOKUP($A6, 'eGRID2018 Region'!$A$4:$J$30, 3, FALSE)*$G6/(1-$H6))/1000000,3))</f>
        <v/>
      </c>
      <c r="Q6" s="129" t="str">
        <f>IF(ISBLANK(B6), "", ROUND((VLOOKUP($A6, 'eGRID2018 Region'!$A$4:$J$30, 4, FALSE)*$G6/(1-$H6))/1000000,3))</f>
        <v/>
      </c>
      <c r="R6" s="129" t="str">
        <f>IF(ISBLANK(B6), "", ROUND((VLOOKUP($A6, 'eGRID2018 Region'!$A$4:$J$30, 9, FALSE)*$G6/(1-$H6))/1000000,3))</f>
        <v/>
      </c>
      <c r="S6" s="67" t="str">
        <f>IF(ISBLANK(B6), "", ROUND((VLOOKUP($A6, 'eGRID2018 Region'!$A$4:$J$30, 5, FALSE)*$G6/(1-$H6))/1000000,0))</f>
        <v/>
      </c>
      <c r="T6" s="67" t="str">
        <f>IF(ISBLANK(B6), "", ROUND((VLOOKUP($A6, 'eGRID2018 Region'!$A$4:$J$30, 8, FALSE)*$G6/(1-$H6))/1000000,0))</f>
        <v/>
      </c>
      <c r="U6" s="80"/>
      <c r="V6" s="129" t="str">
        <f t="shared" ref="V6:V24" si="2">IF(AND(ISBLANK($A6), ISBLANK($B6)), "", ROUND(P6-J6, 3))</f>
        <v/>
      </c>
      <c r="W6" s="129" t="str">
        <f t="shared" ref="W6:W24" si="3">IF(AND(ISBLANK($A6), ISBLANK($B6)), "", ROUND(Q6-K6,3))</f>
        <v/>
      </c>
      <c r="X6" s="129" t="str">
        <f t="shared" ref="X6:X24" si="4">IF(AND(ISBLANK($A6), ISBLANK($B6)), "", ROUND(R6-L6,3))</f>
        <v/>
      </c>
      <c r="Y6" s="67" t="str">
        <f t="shared" ref="Y6:Y24" si="5">IF(AND(ISBLANK($A6), ISBLANK($B6)), "", ROUND(S6-M6,0))</f>
        <v/>
      </c>
      <c r="Z6" s="67" t="str">
        <f t="shared" ref="Z6:Z24" si="6">IF(AND(ISBLANK($A6), ISBLANK($B6)), "", ROUND(T6-N6,0))</f>
        <v/>
      </c>
      <c r="AA6" s="70"/>
      <c r="AB6" s="126" t="str">
        <f t="shared" ref="AB6:AF23" si="7">IF(AND(ISBLANK($A6),ISBLANK($B6)),"",IF(J6=0, "Div/0 Error", ROUND((P6-J6)/J6,2)))</f>
        <v/>
      </c>
      <c r="AC6" s="126" t="str">
        <f t="shared" si="1"/>
        <v/>
      </c>
      <c r="AD6" s="126" t="str">
        <f t="shared" si="1"/>
        <v/>
      </c>
      <c r="AE6" s="126" t="str">
        <f t="shared" si="1"/>
        <v/>
      </c>
      <c r="AF6" s="126" t="str">
        <f t="shared" si="1"/>
        <v/>
      </c>
    </row>
    <row r="7" spans="1:32">
      <c r="A7" s="63"/>
      <c r="B7" s="63"/>
      <c r="C7" s="63"/>
      <c r="D7" s="63"/>
      <c r="E7" s="63"/>
      <c r="F7" s="72" t="str">
        <f>IF(ISBLANK(B7),"",VLOOKUP(B7,'Vessel Type'!$C$3:$G$57,4,FALSE))</f>
        <v/>
      </c>
      <c r="G7" s="65" t="str">
        <f t="shared" si="0"/>
        <v/>
      </c>
      <c r="H7" s="112" t="str">
        <f>IF(ISBLANK(B7),"",VLOOKUP(A7,'eGRID2018 Region'!$A$5:$J$30,10,FALSE))</f>
        <v/>
      </c>
      <c r="J7" s="128" t="str">
        <f>IF(ISBLANK(B7), "", ROUND((VLOOKUP(C7,'Vessel Fuel Emission Factors'!$C$8:$J$20,2,FALSE)*$G7/1000000), 3))</f>
        <v/>
      </c>
      <c r="K7" s="128" t="str">
        <f>IF(ISBLANK(B7), "",  ROUND((VLOOKUP(C7,'Vessel Fuel Emission Factors'!$C$8:$J$20,3,FALSE)*$G7/1000000),3))</f>
        <v/>
      </c>
      <c r="L7" s="128" t="str">
        <f>IF(ISBLANK(B7), "",  ROUND((VLOOKUP(C7,'Vessel Fuel Emission Factors'!$C$8:$J$20,6,FALSE)*$G7/1000000),3))</f>
        <v/>
      </c>
      <c r="M7" s="65" t="str">
        <f>IF(ISBLANK(B7), "",  ROUND((VLOOKUP(C7,'Vessel Fuel Emission Factors'!$C$8:$J$20,4,FALSE)*$G7/1000000),0))</f>
        <v/>
      </c>
      <c r="N7" s="65" t="str">
        <f>IF(ISBLANK(B7), "",  ROUND((VLOOKUP(C7,'Vessel Fuel Emission Factors'!$C$8:$J$20,8,FALSE)*$G7/1000000),0))</f>
        <v/>
      </c>
      <c r="O7" s="70"/>
      <c r="P7" s="128" t="str">
        <f>IF(ISBLANK(B7), "", ROUND((VLOOKUP($A7, 'eGRID2018 Region'!$A$4:$J$30, 3, FALSE)*$G7/(1-$H7))/1000000,3))</f>
        <v/>
      </c>
      <c r="Q7" s="128" t="str">
        <f>IF(ISBLANK(B7), "", ROUND((VLOOKUP($A7, 'eGRID2018 Region'!$A$4:$J$30, 4, FALSE)*$G7/(1-$H7))/1000000,3))</f>
        <v/>
      </c>
      <c r="R7" s="128" t="str">
        <f>IF(ISBLANK(B7), "", ROUND((VLOOKUP($A7, 'eGRID2018 Region'!$A$4:$J$30, 9, FALSE)*$G7/(1-$H7))/1000000,3))</f>
        <v/>
      </c>
      <c r="S7" s="65" t="str">
        <f>IF(ISBLANK(B7), "", ROUND((VLOOKUP($A7, 'eGRID2018 Region'!$A$4:$J$30, 5, FALSE)*$G7/(1-$H7))/1000000,0))</f>
        <v/>
      </c>
      <c r="T7" s="65" t="str">
        <f>IF(ISBLANK(B7), "", ROUND((VLOOKUP($A7, 'eGRID2018 Region'!$A$4:$J$30, 8, FALSE)*$G7/(1-$H7))/1000000,0))</f>
        <v/>
      </c>
      <c r="U7" s="80"/>
      <c r="V7" s="128" t="str">
        <f t="shared" si="2"/>
        <v/>
      </c>
      <c r="W7" s="128" t="str">
        <f t="shared" si="3"/>
        <v/>
      </c>
      <c r="X7" s="128" t="str">
        <f t="shared" si="4"/>
        <v/>
      </c>
      <c r="Y7" s="65" t="str">
        <f t="shared" si="5"/>
        <v/>
      </c>
      <c r="Z7" s="65" t="str">
        <f t="shared" si="6"/>
        <v/>
      </c>
      <c r="AA7" s="70"/>
      <c r="AB7" s="125" t="str">
        <f t="shared" si="7"/>
        <v/>
      </c>
      <c r="AC7" s="125" t="str">
        <f t="shared" si="1"/>
        <v/>
      </c>
      <c r="AD7" s="125" t="str">
        <f t="shared" si="1"/>
        <v/>
      </c>
      <c r="AE7" s="125" t="str">
        <f t="shared" si="1"/>
        <v/>
      </c>
      <c r="AF7" s="125" t="str">
        <f t="shared" si="1"/>
        <v/>
      </c>
    </row>
    <row r="8" spans="1:32">
      <c r="A8" s="64"/>
      <c r="B8" s="64"/>
      <c r="C8" s="64"/>
      <c r="D8" s="64"/>
      <c r="E8" s="64"/>
      <c r="F8" s="72" t="str">
        <f>IF(ISBLANK(B8),"",VLOOKUP(B8,'Vessel Type'!$C$3:$G$57,4,FALSE))</f>
        <v/>
      </c>
      <c r="G8" s="67" t="str">
        <f t="shared" si="0"/>
        <v/>
      </c>
      <c r="H8" s="113" t="str">
        <f>IF(ISBLANK(B8),"",VLOOKUP(A8,'eGRID2018 Region'!$A$5:$J$30,10,FALSE))</f>
        <v/>
      </c>
      <c r="J8" s="129" t="str">
        <f>IF(ISBLANK(B8), "", ROUND((VLOOKUP(C8,'Vessel Fuel Emission Factors'!$C$8:$J$20,2,FALSE)*$G8/1000000), 3))</f>
        <v/>
      </c>
      <c r="K8" s="129" t="str">
        <f>IF(ISBLANK(B8), "",  ROUND((VLOOKUP(C8,'Vessel Fuel Emission Factors'!$C$8:$J$20,3,FALSE)*$G8/1000000),3))</f>
        <v/>
      </c>
      <c r="L8" s="129" t="str">
        <f>IF(ISBLANK(B8), "",  ROUND((VLOOKUP(C8,'Vessel Fuel Emission Factors'!$C$8:$J$20,6,FALSE)*$G8/1000000),3))</f>
        <v/>
      </c>
      <c r="M8" s="67" t="str">
        <f>IF(ISBLANK(B8), "",  ROUND((VLOOKUP(C8,'Vessel Fuel Emission Factors'!$C$8:$J$20,4,FALSE)*$G8/1000000),0))</f>
        <v/>
      </c>
      <c r="N8" s="67" t="str">
        <f>IF(ISBLANK(B8), "",  ROUND((VLOOKUP(C8,'Vessel Fuel Emission Factors'!$C$8:$J$20,8,FALSE)*$G8/1000000),0))</f>
        <v/>
      </c>
      <c r="O8" s="70"/>
      <c r="P8" s="129" t="str">
        <f>IF(ISBLANK(B8), "", ROUND((VLOOKUP($A8, 'eGRID2018 Region'!$A$4:$J$30, 3, FALSE)*$G8/(1-$H8))/1000000,3))</f>
        <v/>
      </c>
      <c r="Q8" s="129" t="str">
        <f>IF(ISBLANK(B8), "", ROUND((VLOOKUP($A8, 'eGRID2018 Region'!$A$4:$J$30, 4, FALSE)*$G8/(1-$H8))/1000000,3))</f>
        <v/>
      </c>
      <c r="R8" s="129" t="str">
        <f>IF(ISBLANK(B8), "", ROUND((VLOOKUP($A8, 'eGRID2018 Region'!$A$4:$J$30, 9, FALSE)*$G8/(1-$H8))/1000000,3))</f>
        <v/>
      </c>
      <c r="S8" s="67" t="str">
        <f>IF(ISBLANK(B8), "", ROUND((VLOOKUP($A8, 'eGRID2018 Region'!$A$4:$J$30, 5, FALSE)*$G8/(1-$H8))/1000000,0))</f>
        <v/>
      </c>
      <c r="T8" s="67" t="str">
        <f>IF(ISBLANK(B8), "", ROUND((VLOOKUP($A8, 'eGRID2018 Region'!$A$4:$J$30, 8, FALSE)*$G8/(1-$H8))/1000000,0))</f>
        <v/>
      </c>
      <c r="U8" s="80"/>
      <c r="V8" s="129" t="str">
        <f t="shared" si="2"/>
        <v/>
      </c>
      <c r="W8" s="129" t="str">
        <f t="shared" si="3"/>
        <v/>
      </c>
      <c r="X8" s="129" t="str">
        <f t="shared" si="4"/>
        <v/>
      </c>
      <c r="Y8" s="67" t="str">
        <f t="shared" si="5"/>
        <v/>
      </c>
      <c r="Z8" s="67" t="str">
        <f t="shared" si="6"/>
        <v/>
      </c>
      <c r="AA8" s="70"/>
      <c r="AB8" s="126" t="str">
        <f t="shared" si="7"/>
        <v/>
      </c>
      <c r="AC8" s="126" t="str">
        <f t="shared" si="1"/>
        <v/>
      </c>
      <c r="AD8" s="126" t="str">
        <f t="shared" si="1"/>
        <v/>
      </c>
      <c r="AE8" s="126" t="str">
        <f t="shared" si="1"/>
        <v/>
      </c>
      <c r="AF8" s="126" t="str">
        <f t="shared" si="1"/>
        <v/>
      </c>
    </row>
    <row r="9" spans="1:32">
      <c r="A9" s="63"/>
      <c r="B9" s="63"/>
      <c r="C9" s="63"/>
      <c r="D9" s="63"/>
      <c r="E9" s="63"/>
      <c r="F9" s="72" t="str">
        <f>IF(ISBLANK(B9),"",VLOOKUP(B9,'Vessel Type'!$C$3:$G$57,4,FALSE))</f>
        <v/>
      </c>
      <c r="G9" s="65" t="str">
        <f t="shared" si="0"/>
        <v/>
      </c>
      <c r="H9" s="112" t="str">
        <f>IF(ISBLANK(B9),"",VLOOKUP(A9,'eGRID2018 Region'!$A$5:$J$30,10,FALSE))</f>
        <v/>
      </c>
      <c r="J9" s="128" t="str">
        <f>IF(ISBLANK(B9), "", ROUND((VLOOKUP(C9,'Vessel Fuel Emission Factors'!$C$8:$J$20,2,FALSE)*$G9/1000000), 3))</f>
        <v/>
      </c>
      <c r="K9" s="128" t="str">
        <f>IF(ISBLANK(B9), "",  ROUND((VLOOKUP(C9,'Vessel Fuel Emission Factors'!$C$8:$J$20,3,FALSE)*$G9/1000000),3))</f>
        <v/>
      </c>
      <c r="L9" s="128" t="str">
        <f>IF(ISBLANK(B9), "",  ROUND((VLOOKUP(C9,'Vessel Fuel Emission Factors'!$C$8:$J$20,6,FALSE)*$G9/1000000),3))</f>
        <v/>
      </c>
      <c r="M9" s="65" t="str">
        <f>IF(ISBLANK(B9), "",  ROUND((VLOOKUP(C9,'Vessel Fuel Emission Factors'!$C$8:$J$20,4,FALSE)*$G9/1000000),0))</f>
        <v/>
      </c>
      <c r="N9" s="65" t="str">
        <f>IF(ISBLANK(B9), "",  ROUND((VLOOKUP(C9,'Vessel Fuel Emission Factors'!$C$8:$J$20,8,FALSE)*$G9/1000000),0))</f>
        <v/>
      </c>
      <c r="O9" s="70"/>
      <c r="P9" s="128" t="str">
        <f>IF(ISBLANK(B9), "", ROUND((VLOOKUP($A9, 'eGRID2018 Region'!$A$4:$J$30, 3, FALSE)*$G9/(1-$H9))/1000000,3))</f>
        <v/>
      </c>
      <c r="Q9" s="128" t="str">
        <f>IF(ISBLANK(B9), "", ROUND((VLOOKUP($A9, 'eGRID2018 Region'!$A$4:$J$30, 4, FALSE)*$G9/(1-$H9))/1000000,3))</f>
        <v/>
      </c>
      <c r="R9" s="128" t="str">
        <f>IF(ISBLANK(B9), "", ROUND((VLOOKUP($A9, 'eGRID2018 Region'!$A$4:$J$30, 9, FALSE)*$G9/(1-$H9))/1000000,3))</f>
        <v/>
      </c>
      <c r="S9" s="65" t="str">
        <f>IF(ISBLANK(B9), "", ROUND((VLOOKUP($A9, 'eGRID2018 Region'!$A$4:$J$30, 5, FALSE)*$G9/(1-$H9))/1000000,0))</f>
        <v/>
      </c>
      <c r="T9" s="65" t="str">
        <f>IF(ISBLANK(B9), "", ROUND((VLOOKUP($A9, 'eGRID2018 Region'!$A$4:$J$30, 8, FALSE)*$G9/(1-$H9))/1000000,0))</f>
        <v/>
      </c>
      <c r="U9" s="80"/>
      <c r="V9" s="128" t="str">
        <f t="shared" si="2"/>
        <v/>
      </c>
      <c r="W9" s="128" t="str">
        <f t="shared" si="3"/>
        <v/>
      </c>
      <c r="X9" s="128" t="str">
        <f t="shared" si="4"/>
        <v/>
      </c>
      <c r="Y9" s="65" t="str">
        <f t="shared" si="5"/>
        <v/>
      </c>
      <c r="Z9" s="65" t="str">
        <f t="shared" si="6"/>
        <v/>
      </c>
      <c r="AA9" s="70"/>
      <c r="AB9" s="125" t="str">
        <f t="shared" si="7"/>
        <v/>
      </c>
      <c r="AC9" s="125" t="str">
        <f t="shared" si="1"/>
        <v/>
      </c>
      <c r="AD9" s="125" t="str">
        <f t="shared" si="1"/>
        <v/>
      </c>
      <c r="AE9" s="125" t="str">
        <f t="shared" si="1"/>
        <v/>
      </c>
      <c r="AF9" s="125" t="str">
        <f t="shared" si="1"/>
        <v/>
      </c>
    </row>
    <row r="10" spans="1:32">
      <c r="A10" s="64"/>
      <c r="B10" s="64"/>
      <c r="C10" s="64"/>
      <c r="D10" s="64"/>
      <c r="E10" s="64"/>
      <c r="F10" s="72" t="str">
        <f>IF(ISBLANK(B10),"",VLOOKUP(B10,'Vessel Type'!$C$3:$G$57,4,FALSE))</f>
        <v/>
      </c>
      <c r="G10" s="67" t="str">
        <f t="shared" si="0"/>
        <v/>
      </c>
      <c r="H10" s="113" t="str">
        <f>IF(ISBLANK(B10),"",VLOOKUP(A10,'eGRID2018 Region'!$A$5:$J$30,10,FALSE))</f>
        <v/>
      </c>
      <c r="J10" s="129" t="str">
        <f>IF(ISBLANK(B10), "", ROUND((VLOOKUP(C10,'Vessel Fuel Emission Factors'!$C$8:$J$20,2,FALSE)*$G10/1000000), 3))</f>
        <v/>
      </c>
      <c r="K10" s="129" t="str">
        <f>IF(ISBLANK(B10), "",  ROUND((VLOOKUP(C10,'Vessel Fuel Emission Factors'!$C$8:$J$20,3,FALSE)*$G10/1000000),3))</f>
        <v/>
      </c>
      <c r="L10" s="129" t="str">
        <f>IF(ISBLANK(B10), "",  ROUND((VLOOKUP(C10,'Vessel Fuel Emission Factors'!$C$8:$J$20,6,FALSE)*$G10/1000000),3))</f>
        <v/>
      </c>
      <c r="M10" s="67" t="str">
        <f>IF(ISBLANK(B10), "",  ROUND((VLOOKUP(C10,'Vessel Fuel Emission Factors'!$C$8:$J$20,4,FALSE)*$G10/1000000),0))</f>
        <v/>
      </c>
      <c r="N10" s="67" t="str">
        <f>IF(ISBLANK(B10), "",  ROUND((VLOOKUP(C10,'Vessel Fuel Emission Factors'!$C$8:$J$20,8,FALSE)*$G10/1000000),0))</f>
        <v/>
      </c>
      <c r="O10" s="70"/>
      <c r="P10" s="129" t="str">
        <f>IF(ISBLANK(B10), "", ROUND((VLOOKUP($A10, 'eGRID2018 Region'!$A$4:$J$30, 3, FALSE)*$G10/(1-$H10))/1000000,3))</f>
        <v/>
      </c>
      <c r="Q10" s="129" t="str">
        <f>IF(ISBLANK(B10), "", ROUND((VLOOKUP($A10, 'eGRID2018 Region'!$A$4:$J$30, 4, FALSE)*$G10/(1-$H10))/1000000,3))</f>
        <v/>
      </c>
      <c r="R10" s="129" t="str">
        <f>IF(ISBLANK(B10), "", ROUND((VLOOKUP($A10, 'eGRID2018 Region'!$A$4:$J$30, 9, FALSE)*$G10/(1-$H10))/1000000,3))</f>
        <v/>
      </c>
      <c r="S10" s="67" t="str">
        <f>IF(ISBLANK(B10), "", ROUND((VLOOKUP($A10, 'eGRID2018 Region'!$A$4:$J$30, 5, FALSE)*$G10/(1-$H10))/1000000,0))</f>
        <v/>
      </c>
      <c r="T10" s="67" t="str">
        <f>IF(ISBLANK(B10), "", ROUND((VLOOKUP($A10, 'eGRID2018 Region'!$A$4:$J$30, 8, FALSE)*$G10/(1-$H10))/1000000,0))</f>
        <v/>
      </c>
      <c r="U10" s="80"/>
      <c r="V10" s="129" t="str">
        <f t="shared" si="2"/>
        <v/>
      </c>
      <c r="W10" s="129" t="str">
        <f t="shared" si="3"/>
        <v/>
      </c>
      <c r="X10" s="129" t="str">
        <f t="shared" si="4"/>
        <v/>
      </c>
      <c r="Y10" s="67" t="str">
        <f t="shared" si="5"/>
        <v/>
      </c>
      <c r="Z10" s="67" t="str">
        <f t="shared" si="6"/>
        <v/>
      </c>
      <c r="AA10" s="70"/>
      <c r="AB10" s="126" t="str">
        <f t="shared" si="7"/>
        <v/>
      </c>
      <c r="AC10" s="126" t="str">
        <f t="shared" si="1"/>
        <v/>
      </c>
      <c r="AD10" s="126" t="str">
        <f t="shared" si="1"/>
        <v/>
      </c>
      <c r="AE10" s="126" t="str">
        <f t="shared" si="1"/>
        <v/>
      </c>
      <c r="AF10" s="126" t="str">
        <f t="shared" si="1"/>
        <v/>
      </c>
    </row>
    <row r="11" spans="1:32">
      <c r="A11" s="63"/>
      <c r="B11" s="63"/>
      <c r="C11" s="63"/>
      <c r="D11" s="63"/>
      <c r="E11" s="63"/>
      <c r="F11" s="72" t="str">
        <f>IF(ISBLANK(B11),"",VLOOKUP(B11,'Vessel Type'!$C$3:$G$57,4,FALSE))</f>
        <v/>
      </c>
      <c r="G11" s="65" t="str">
        <f t="shared" si="0"/>
        <v/>
      </c>
      <c r="H11" s="112" t="str">
        <f>IF(ISBLANK(B11),"",VLOOKUP(A11,'eGRID2018 Region'!$A$5:$J$30,10,FALSE))</f>
        <v/>
      </c>
      <c r="J11" s="128" t="str">
        <f>IF(ISBLANK(B11), "", ROUND((VLOOKUP(C11,'Vessel Fuel Emission Factors'!$C$8:$J$20,2,FALSE)*$G11/1000000), 3))</f>
        <v/>
      </c>
      <c r="K11" s="128" t="str">
        <f>IF(ISBLANK(B11), "",  ROUND((VLOOKUP(C11,'Vessel Fuel Emission Factors'!$C$8:$J$20,3,FALSE)*$G11/1000000),3))</f>
        <v/>
      </c>
      <c r="L11" s="128" t="str">
        <f>IF(ISBLANK(B11), "",  ROUND((VLOOKUP(C11,'Vessel Fuel Emission Factors'!$C$8:$J$20,6,FALSE)*$G11/1000000),3))</f>
        <v/>
      </c>
      <c r="M11" s="65" t="str">
        <f>IF(ISBLANK(B11), "",  ROUND((VLOOKUP(C11,'Vessel Fuel Emission Factors'!$C$8:$J$20,4,FALSE)*$G11/1000000),0))</f>
        <v/>
      </c>
      <c r="N11" s="65" t="str">
        <f>IF(ISBLANK(B11), "",  ROUND((VLOOKUP(C11,'Vessel Fuel Emission Factors'!$C$8:$J$20,8,FALSE)*$G11/1000000),0))</f>
        <v/>
      </c>
      <c r="O11" s="70"/>
      <c r="P11" s="128" t="str">
        <f>IF(ISBLANK(B11), "", ROUND((VLOOKUP($A11, 'eGRID2018 Region'!$A$4:$J$30, 3, FALSE)*$G11/(1-$H11))/1000000,3))</f>
        <v/>
      </c>
      <c r="Q11" s="128" t="str">
        <f>IF(ISBLANK(B11), "", ROUND((VLOOKUP($A11, 'eGRID2018 Region'!$A$4:$J$30, 4, FALSE)*$G11/(1-$H11))/1000000,3))</f>
        <v/>
      </c>
      <c r="R11" s="128" t="str">
        <f>IF(ISBLANK(B11), "", ROUND((VLOOKUP($A11, 'eGRID2018 Region'!$A$4:$J$30, 9, FALSE)*$G11/(1-$H11))/1000000,3))</f>
        <v/>
      </c>
      <c r="S11" s="65" t="str">
        <f>IF(ISBLANK(B11), "", ROUND((VLOOKUP($A11, 'eGRID2018 Region'!$A$4:$J$30, 5, FALSE)*$G11/(1-$H11))/1000000,0))</f>
        <v/>
      </c>
      <c r="T11" s="65" t="str">
        <f>IF(ISBLANK(B11), "", ROUND((VLOOKUP($A11, 'eGRID2018 Region'!$A$4:$J$30, 8, FALSE)*$G11/(1-$H11))/1000000,0))</f>
        <v/>
      </c>
      <c r="U11" s="80"/>
      <c r="V11" s="128" t="str">
        <f t="shared" si="2"/>
        <v/>
      </c>
      <c r="W11" s="128" t="str">
        <f t="shared" si="3"/>
        <v/>
      </c>
      <c r="X11" s="128" t="str">
        <f t="shared" si="4"/>
        <v/>
      </c>
      <c r="Y11" s="65" t="str">
        <f t="shared" si="5"/>
        <v/>
      </c>
      <c r="Z11" s="65" t="str">
        <f t="shared" si="6"/>
        <v/>
      </c>
      <c r="AA11" s="70"/>
      <c r="AB11" s="125" t="str">
        <f t="shared" si="7"/>
        <v/>
      </c>
      <c r="AC11" s="125" t="str">
        <f t="shared" si="1"/>
        <v/>
      </c>
      <c r="AD11" s="125" t="str">
        <f t="shared" si="1"/>
        <v/>
      </c>
      <c r="AE11" s="125" t="str">
        <f t="shared" si="1"/>
        <v/>
      </c>
      <c r="AF11" s="125" t="str">
        <f t="shared" si="1"/>
        <v/>
      </c>
    </row>
    <row r="12" spans="1:32">
      <c r="A12" s="64"/>
      <c r="B12" s="64"/>
      <c r="C12" s="64"/>
      <c r="D12" s="64"/>
      <c r="E12" s="64"/>
      <c r="F12" s="72" t="str">
        <f>IF(ISBLANK(B12),"",VLOOKUP(B12,'Vessel Type'!$C$3:$G$57,4,FALSE))</f>
        <v/>
      </c>
      <c r="G12" s="67" t="str">
        <f t="shared" si="0"/>
        <v/>
      </c>
      <c r="H12" s="113" t="str">
        <f>IF(ISBLANK(B12),"",VLOOKUP(A12,'eGRID2018 Region'!$A$5:$J$30,10,FALSE))</f>
        <v/>
      </c>
      <c r="J12" s="129" t="str">
        <f>IF(ISBLANK(B12), "", ROUND((VLOOKUP(C12,'Vessel Fuel Emission Factors'!$C$8:$J$20,2,FALSE)*$G12/1000000), 3))</f>
        <v/>
      </c>
      <c r="K12" s="129" t="str">
        <f>IF(ISBLANK(B12), "",  ROUND((VLOOKUP(C12,'Vessel Fuel Emission Factors'!$C$8:$J$20,3,FALSE)*$G12/1000000),3))</f>
        <v/>
      </c>
      <c r="L12" s="129" t="str">
        <f>IF(ISBLANK(B12), "",  ROUND((VLOOKUP(C12,'Vessel Fuel Emission Factors'!$C$8:$J$20,6,FALSE)*$G12/1000000),3))</f>
        <v/>
      </c>
      <c r="M12" s="67" t="str">
        <f>IF(ISBLANK(B12), "",  ROUND((VLOOKUP(C12,'Vessel Fuel Emission Factors'!$C$8:$J$20,4,FALSE)*$G12/1000000),0))</f>
        <v/>
      </c>
      <c r="N12" s="67" t="str">
        <f>IF(ISBLANK(B12), "",  ROUND((VLOOKUP(C12,'Vessel Fuel Emission Factors'!$C$8:$J$20,8,FALSE)*$G12/1000000),0))</f>
        <v/>
      </c>
      <c r="O12" s="70"/>
      <c r="P12" s="129" t="str">
        <f>IF(ISBLANK(B12), "", ROUND((VLOOKUP($A12, 'eGRID2018 Region'!$A$4:$J$30, 3, FALSE)*$G12/(1-$H12))/1000000,3))</f>
        <v/>
      </c>
      <c r="Q12" s="129" t="str">
        <f>IF(ISBLANK(B12), "", ROUND((VLOOKUP($A12, 'eGRID2018 Region'!$A$4:$J$30, 4, FALSE)*$G12/(1-$H12))/1000000,3))</f>
        <v/>
      </c>
      <c r="R12" s="129" t="str">
        <f>IF(ISBLANK(B12), "", ROUND((VLOOKUP($A12, 'eGRID2018 Region'!$A$4:$J$30, 9, FALSE)*$G12/(1-$H12))/1000000,3))</f>
        <v/>
      </c>
      <c r="S12" s="67" t="str">
        <f>IF(ISBLANK(B12), "", ROUND((VLOOKUP($A12, 'eGRID2018 Region'!$A$4:$J$30, 5, FALSE)*$G12/(1-$H12))/1000000,0))</f>
        <v/>
      </c>
      <c r="T12" s="67" t="str">
        <f>IF(ISBLANK(B12), "", ROUND((VLOOKUP($A12, 'eGRID2018 Region'!$A$4:$J$30, 8, FALSE)*$G12/(1-$H12))/1000000,0))</f>
        <v/>
      </c>
      <c r="U12" s="80"/>
      <c r="V12" s="129" t="str">
        <f t="shared" si="2"/>
        <v/>
      </c>
      <c r="W12" s="129" t="str">
        <f t="shared" si="3"/>
        <v/>
      </c>
      <c r="X12" s="129" t="str">
        <f t="shared" si="4"/>
        <v/>
      </c>
      <c r="Y12" s="67" t="str">
        <f t="shared" si="5"/>
        <v/>
      </c>
      <c r="Z12" s="67" t="str">
        <f t="shared" si="6"/>
        <v/>
      </c>
      <c r="AA12" s="70"/>
      <c r="AB12" s="126" t="str">
        <f t="shared" si="7"/>
        <v/>
      </c>
      <c r="AC12" s="126" t="str">
        <f t="shared" si="1"/>
        <v/>
      </c>
      <c r="AD12" s="126" t="str">
        <f t="shared" si="1"/>
        <v/>
      </c>
      <c r="AE12" s="126" t="str">
        <f t="shared" si="1"/>
        <v/>
      </c>
      <c r="AF12" s="126" t="str">
        <f t="shared" si="1"/>
        <v/>
      </c>
    </row>
    <row r="13" spans="1:32">
      <c r="A13" s="63"/>
      <c r="B13" s="63"/>
      <c r="C13" s="63"/>
      <c r="D13" s="63"/>
      <c r="E13" s="63"/>
      <c r="F13" s="72" t="str">
        <f>IF(ISBLANK(B13),"",VLOOKUP(B13,'Vessel Type'!$C$3:$G$57,4,FALSE))</f>
        <v/>
      </c>
      <c r="G13" s="65" t="str">
        <f t="shared" si="0"/>
        <v/>
      </c>
      <c r="H13" s="112" t="str">
        <f>IF(ISBLANK(B13),"",VLOOKUP(A13,'eGRID2018 Region'!$A$5:$J$30,10,FALSE))</f>
        <v/>
      </c>
      <c r="J13" s="128" t="str">
        <f>IF(ISBLANK(B13), "", ROUND((VLOOKUP(C13,'Vessel Fuel Emission Factors'!$C$8:$J$20,2,FALSE)*$G13/1000000), 3))</f>
        <v/>
      </c>
      <c r="K13" s="128" t="str">
        <f>IF(ISBLANK(B13), "",  ROUND((VLOOKUP(C13,'Vessel Fuel Emission Factors'!$C$8:$J$20,3,FALSE)*$G13/1000000),3))</f>
        <v/>
      </c>
      <c r="L13" s="128" t="str">
        <f>IF(ISBLANK(B13), "",  ROUND((VLOOKUP(C13,'Vessel Fuel Emission Factors'!$C$8:$J$20,6,FALSE)*$G13/1000000),3))</f>
        <v/>
      </c>
      <c r="M13" s="65" t="str">
        <f>IF(ISBLANK(B13), "",  ROUND((VLOOKUP(C13,'Vessel Fuel Emission Factors'!$C$8:$J$20,4,FALSE)*$G13/1000000),0))</f>
        <v/>
      </c>
      <c r="N13" s="65" t="str">
        <f>IF(ISBLANK(B13), "",  ROUND((VLOOKUP(C13,'Vessel Fuel Emission Factors'!$C$8:$J$20,8,FALSE)*$G13/1000000),0))</f>
        <v/>
      </c>
      <c r="O13" s="70"/>
      <c r="P13" s="128" t="str">
        <f>IF(ISBLANK(B13), "", ROUND((VLOOKUP($A13, 'eGRID2018 Region'!$A$4:$J$30, 3, FALSE)*$G13/(1-$H13))/1000000,3))</f>
        <v/>
      </c>
      <c r="Q13" s="128" t="str">
        <f>IF(ISBLANK(B13), "", ROUND((VLOOKUP($A13, 'eGRID2018 Region'!$A$4:$J$30, 4, FALSE)*$G13/(1-$H13))/1000000,3))</f>
        <v/>
      </c>
      <c r="R13" s="128" t="str">
        <f>IF(ISBLANK(B13), "", ROUND((VLOOKUP($A13, 'eGRID2018 Region'!$A$4:$J$30, 9, FALSE)*$G13/(1-$H13))/1000000,3))</f>
        <v/>
      </c>
      <c r="S13" s="65" t="str">
        <f>IF(ISBLANK(B13), "", ROUND((VLOOKUP($A13, 'eGRID2018 Region'!$A$4:$J$30, 5, FALSE)*$G13/(1-$H13))/1000000,0))</f>
        <v/>
      </c>
      <c r="T13" s="65" t="str">
        <f>IF(ISBLANK(B13), "", ROUND((VLOOKUP($A13, 'eGRID2018 Region'!$A$4:$J$30, 8, FALSE)*$G13/(1-$H13))/1000000,0))</f>
        <v/>
      </c>
      <c r="U13" s="80"/>
      <c r="V13" s="128" t="str">
        <f t="shared" si="2"/>
        <v/>
      </c>
      <c r="W13" s="128" t="str">
        <f t="shared" si="3"/>
        <v/>
      </c>
      <c r="X13" s="128" t="str">
        <f t="shared" si="4"/>
        <v/>
      </c>
      <c r="Y13" s="65" t="str">
        <f t="shared" si="5"/>
        <v/>
      </c>
      <c r="Z13" s="65" t="str">
        <f t="shared" si="6"/>
        <v/>
      </c>
      <c r="AA13" s="70"/>
      <c r="AB13" s="125" t="str">
        <f t="shared" si="7"/>
        <v/>
      </c>
      <c r="AC13" s="125" t="str">
        <f t="shared" si="1"/>
        <v/>
      </c>
      <c r="AD13" s="125" t="str">
        <f t="shared" si="1"/>
        <v/>
      </c>
      <c r="AE13" s="125" t="str">
        <f t="shared" si="1"/>
        <v/>
      </c>
      <c r="AF13" s="125" t="str">
        <f t="shared" si="1"/>
        <v/>
      </c>
    </row>
    <row r="14" spans="1:32">
      <c r="A14" s="64"/>
      <c r="B14" s="64"/>
      <c r="C14" s="64"/>
      <c r="D14" s="64"/>
      <c r="E14" s="64"/>
      <c r="F14" s="72" t="str">
        <f>IF(ISBLANK(B14),"",VLOOKUP(B14,'Vessel Type'!$C$3:$G$57,4,FALSE))</f>
        <v/>
      </c>
      <c r="G14" s="67" t="str">
        <f t="shared" si="0"/>
        <v/>
      </c>
      <c r="H14" s="113" t="str">
        <f>IF(ISBLANK(B14),"",VLOOKUP(A14,'eGRID2018 Region'!$A$5:$J$30,10,FALSE))</f>
        <v/>
      </c>
      <c r="J14" s="129" t="str">
        <f>IF(ISBLANK(B14), "", ROUND((VLOOKUP(C14,'Vessel Fuel Emission Factors'!$C$8:$J$20,2,FALSE)*$G14/1000000), 3))</f>
        <v/>
      </c>
      <c r="K14" s="129" t="str">
        <f>IF(ISBLANK(B14), "",  ROUND((VLOOKUP(C14,'Vessel Fuel Emission Factors'!$C$8:$J$20,3,FALSE)*$G14/1000000),3))</f>
        <v/>
      </c>
      <c r="L14" s="129" t="str">
        <f>IF(ISBLANK(B14), "",  ROUND((VLOOKUP(C14,'Vessel Fuel Emission Factors'!$C$8:$J$20,6,FALSE)*$G14/1000000),3))</f>
        <v/>
      </c>
      <c r="M14" s="67" t="str">
        <f>IF(ISBLANK(B14), "",  ROUND((VLOOKUP(C14,'Vessel Fuel Emission Factors'!$C$8:$J$20,4,FALSE)*$G14/1000000),0))</f>
        <v/>
      </c>
      <c r="N14" s="67" t="str">
        <f>IF(ISBLANK(B14), "",  ROUND((VLOOKUP(C14,'Vessel Fuel Emission Factors'!$C$8:$J$20,8,FALSE)*$G14/1000000),0))</f>
        <v/>
      </c>
      <c r="O14" s="70"/>
      <c r="P14" s="129" t="str">
        <f>IF(ISBLANK(B14), "", ROUND((VLOOKUP($A14, 'eGRID2018 Region'!$A$4:$J$30, 3, FALSE)*$G14/(1-$H14))/1000000,3))</f>
        <v/>
      </c>
      <c r="Q14" s="129" t="str">
        <f>IF(ISBLANK(B14), "", ROUND((VLOOKUP($A14, 'eGRID2018 Region'!$A$4:$J$30, 4, FALSE)*$G14/(1-$H14))/1000000,3))</f>
        <v/>
      </c>
      <c r="R14" s="129" t="str">
        <f>IF(ISBLANK(B14), "", ROUND((VLOOKUP($A14, 'eGRID2018 Region'!$A$4:$J$30, 9, FALSE)*$G14/(1-$H14))/1000000,3))</f>
        <v/>
      </c>
      <c r="S14" s="67" t="str">
        <f>IF(ISBLANK(B14), "", ROUND((VLOOKUP($A14, 'eGRID2018 Region'!$A$4:$J$30, 5, FALSE)*$G14/(1-$H14))/1000000,0))</f>
        <v/>
      </c>
      <c r="T14" s="67" t="str">
        <f>IF(ISBLANK(B14), "", ROUND((VLOOKUP($A14, 'eGRID2018 Region'!$A$4:$J$30, 8, FALSE)*$G14/(1-$H14))/1000000,0))</f>
        <v/>
      </c>
      <c r="U14" s="80"/>
      <c r="V14" s="129" t="str">
        <f t="shared" si="2"/>
        <v/>
      </c>
      <c r="W14" s="129" t="str">
        <f t="shared" si="3"/>
        <v/>
      </c>
      <c r="X14" s="129" t="str">
        <f t="shared" si="4"/>
        <v/>
      </c>
      <c r="Y14" s="67" t="str">
        <f t="shared" si="5"/>
        <v/>
      </c>
      <c r="Z14" s="67" t="str">
        <f t="shared" si="6"/>
        <v/>
      </c>
      <c r="AA14" s="70"/>
      <c r="AB14" s="126" t="str">
        <f t="shared" si="7"/>
        <v/>
      </c>
      <c r="AC14" s="126" t="str">
        <f t="shared" si="1"/>
        <v/>
      </c>
      <c r="AD14" s="126" t="str">
        <f t="shared" si="1"/>
        <v/>
      </c>
      <c r="AE14" s="126" t="str">
        <f t="shared" si="1"/>
        <v/>
      </c>
      <c r="AF14" s="126" t="str">
        <f t="shared" si="1"/>
        <v/>
      </c>
    </row>
    <row r="15" spans="1:32">
      <c r="A15" s="63"/>
      <c r="B15" s="63"/>
      <c r="C15" s="63"/>
      <c r="D15" s="63"/>
      <c r="E15" s="63"/>
      <c r="F15" s="72" t="str">
        <f>IF(ISBLANK(B15),"",VLOOKUP(B15,'Vessel Type'!$C$3:$G$57,4,FALSE))</f>
        <v/>
      </c>
      <c r="G15" s="65" t="str">
        <f t="shared" si="0"/>
        <v/>
      </c>
      <c r="H15" s="112" t="str">
        <f>IF(ISBLANK(B15),"",VLOOKUP(A15,'eGRID2018 Region'!$A$5:$J$30,10,FALSE))</f>
        <v/>
      </c>
      <c r="J15" s="128" t="str">
        <f>IF(ISBLANK(B15), "", ROUND((VLOOKUP(C15,'Vessel Fuel Emission Factors'!$C$8:$J$20,2,FALSE)*$G15/1000000), 3))</f>
        <v/>
      </c>
      <c r="K15" s="128" t="str">
        <f>IF(ISBLANK(B15), "",  ROUND((VLOOKUP(C15,'Vessel Fuel Emission Factors'!$C$8:$J$20,3,FALSE)*$G15/1000000),3))</f>
        <v/>
      </c>
      <c r="L15" s="128" t="str">
        <f>IF(ISBLANK(B15), "",  ROUND((VLOOKUP(C15,'Vessel Fuel Emission Factors'!$C$8:$J$20,6,FALSE)*$G15/1000000),3))</f>
        <v/>
      </c>
      <c r="M15" s="65" t="str">
        <f>IF(ISBLANK(B15), "",  ROUND((VLOOKUP(C15,'Vessel Fuel Emission Factors'!$C$8:$J$20,4,FALSE)*$G15/1000000),0))</f>
        <v/>
      </c>
      <c r="N15" s="65" t="str">
        <f>IF(ISBLANK(B15), "",  ROUND((VLOOKUP(C15,'Vessel Fuel Emission Factors'!$C$8:$J$20,8,FALSE)*$G15/1000000),0))</f>
        <v/>
      </c>
      <c r="O15" s="70"/>
      <c r="P15" s="128" t="str">
        <f>IF(ISBLANK(B15), "", ROUND((VLOOKUP($A15, 'eGRID2018 Region'!$A$4:$J$30, 3, FALSE)*$G15/(1-$H15))/1000000,3))</f>
        <v/>
      </c>
      <c r="Q15" s="128" t="str">
        <f>IF(ISBLANK(B15), "", ROUND((VLOOKUP($A15, 'eGRID2018 Region'!$A$4:$J$30, 4, FALSE)*$G15/(1-$H15))/1000000,3))</f>
        <v/>
      </c>
      <c r="R15" s="128" t="str">
        <f>IF(ISBLANK(B15), "", ROUND((VLOOKUP($A15, 'eGRID2018 Region'!$A$4:$J$30, 9, FALSE)*$G15/(1-$H15))/1000000,3))</f>
        <v/>
      </c>
      <c r="S15" s="65" t="str">
        <f>IF(ISBLANK(B15), "", ROUND((VLOOKUP($A15, 'eGRID2018 Region'!$A$4:$J$30, 5, FALSE)*$G15/(1-$H15))/1000000,0))</f>
        <v/>
      </c>
      <c r="T15" s="65" t="str">
        <f>IF(ISBLANK(B15), "", ROUND((VLOOKUP($A15, 'eGRID2018 Region'!$A$4:$J$30, 8, FALSE)*$G15/(1-$H15))/1000000,0))</f>
        <v/>
      </c>
      <c r="U15" s="80"/>
      <c r="V15" s="128" t="str">
        <f t="shared" si="2"/>
        <v/>
      </c>
      <c r="W15" s="128" t="str">
        <f t="shared" si="3"/>
        <v/>
      </c>
      <c r="X15" s="128" t="str">
        <f t="shared" si="4"/>
        <v/>
      </c>
      <c r="Y15" s="65" t="str">
        <f t="shared" si="5"/>
        <v/>
      </c>
      <c r="Z15" s="65" t="str">
        <f t="shared" si="6"/>
        <v/>
      </c>
      <c r="AA15" s="70"/>
      <c r="AB15" s="125" t="str">
        <f t="shared" si="7"/>
        <v/>
      </c>
      <c r="AC15" s="125" t="str">
        <f t="shared" si="1"/>
        <v/>
      </c>
      <c r="AD15" s="125" t="str">
        <f t="shared" si="1"/>
        <v/>
      </c>
      <c r="AE15" s="125" t="str">
        <f t="shared" si="1"/>
        <v/>
      </c>
      <c r="AF15" s="125" t="str">
        <f t="shared" si="1"/>
        <v/>
      </c>
    </row>
    <row r="16" spans="1:32">
      <c r="A16" s="64"/>
      <c r="B16" s="64"/>
      <c r="C16" s="64"/>
      <c r="D16" s="64"/>
      <c r="E16" s="64"/>
      <c r="F16" s="72" t="str">
        <f>IF(ISBLANK(B16),"",VLOOKUP(B16,'Vessel Type'!$C$3:$G$57,4,FALSE))</f>
        <v/>
      </c>
      <c r="G16" s="67" t="str">
        <f t="shared" si="0"/>
        <v/>
      </c>
      <c r="H16" s="113" t="str">
        <f>IF(ISBLANK(B16),"",VLOOKUP(A16,'eGRID2018 Region'!$A$5:$J$30,10,FALSE))</f>
        <v/>
      </c>
      <c r="J16" s="129" t="str">
        <f>IF(ISBLANK(B16), "", ROUND((VLOOKUP(C16,'Vessel Fuel Emission Factors'!$C$8:$J$20,2,FALSE)*$G16/1000000), 3))</f>
        <v/>
      </c>
      <c r="K16" s="129" t="str">
        <f>IF(ISBLANK(B16), "",  ROUND((VLOOKUP(C16,'Vessel Fuel Emission Factors'!$C$8:$J$20,3,FALSE)*$G16/1000000),3))</f>
        <v/>
      </c>
      <c r="L16" s="129" t="str">
        <f>IF(ISBLANK(B16), "",  ROUND((VLOOKUP(C16,'Vessel Fuel Emission Factors'!$C$8:$J$20,6,FALSE)*$G16/1000000),3))</f>
        <v/>
      </c>
      <c r="M16" s="67" t="str">
        <f>IF(ISBLANK(B16), "",  ROUND((VLOOKUP(C16,'Vessel Fuel Emission Factors'!$C$8:$J$20,4,FALSE)*$G16/1000000),0))</f>
        <v/>
      </c>
      <c r="N16" s="67" t="str">
        <f>IF(ISBLANK(B16), "",  ROUND((VLOOKUP(C16,'Vessel Fuel Emission Factors'!$C$8:$J$20,8,FALSE)*$G16/1000000),0))</f>
        <v/>
      </c>
      <c r="O16" s="70"/>
      <c r="P16" s="129" t="str">
        <f>IF(ISBLANK(B16), "", ROUND((VLOOKUP($A16, 'eGRID2018 Region'!$A$4:$J$30, 3, FALSE)*$G16/(1-$H16))/1000000,3))</f>
        <v/>
      </c>
      <c r="Q16" s="129" t="str">
        <f>IF(ISBLANK(B16), "", ROUND((VLOOKUP($A16, 'eGRID2018 Region'!$A$4:$J$30, 4, FALSE)*$G16/(1-$H16))/1000000,3))</f>
        <v/>
      </c>
      <c r="R16" s="129" t="str">
        <f>IF(ISBLANK(B16), "", ROUND((VLOOKUP($A16, 'eGRID2018 Region'!$A$4:$J$30, 9, FALSE)*$G16/(1-$H16))/1000000,3))</f>
        <v/>
      </c>
      <c r="S16" s="67" t="str">
        <f>IF(ISBLANK(B16), "", ROUND((VLOOKUP($A16, 'eGRID2018 Region'!$A$4:$J$30, 5, FALSE)*$G16/(1-$H16))/1000000,0))</f>
        <v/>
      </c>
      <c r="T16" s="67" t="str">
        <f>IF(ISBLANK(B16), "", ROUND((VLOOKUP($A16, 'eGRID2018 Region'!$A$4:$J$30, 8, FALSE)*$G16/(1-$H16))/1000000,0))</f>
        <v/>
      </c>
      <c r="U16" s="80"/>
      <c r="V16" s="129" t="str">
        <f t="shared" si="2"/>
        <v/>
      </c>
      <c r="W16" s="129" t="str">
        <f t="shared" si="3"/>
        <v/>
      </c>
      <c r="X16" s="129" t="str">
        <f t="shared" si="4"/>
        <v/>
      </c>
      <c r="Y16" s="67" t="str">
        <f t="shared" si="5"/>
        <v/>
      </c>
      <c r="Z16" s="67" t="str">
        <f t="shared" si="6"/>
        <v/>
      </c>
      <c r="AA16" s="70"/>
      <c r="AB16" s="126" t="str">
        <f t="shared" si="7"/>
        <v/>
      </c>
      <c r="AC16" s="126" t="str">
        <f t="shared" si="1"/>
        <v/>
      </c>
      <c r="AD16" s="126" t="str">
        <f>IF(AND(ISBLANK($A16),ISBLANK($B16)),"",IF(L16=0, "Div/0 Error", ROUND((R16-L16)/L16,2)))</f>
        <v/>
      </c>
      <c r="AE16" s="126" t="str">
        <f t="shared" si="1"/>
        <v/>
      </c>
      <c r="AF16" s="126" t="str">
        <f t="shared" si="1"/>
        <v/>
      </c>
    </row>
    <row r="17" spans="1:32">
      <c r="A17" s="63"/>
      <c r="B17" s="63"/>
      <c r="C17" s="63"/>
      <c r="D17" s="63"/>
      <c r="E17" s="63"/>
      <c r="F17" s="72" t="str">
        <f>IF(ISBLANK(B17),"",VLOOKUP(B17,'Vessel Type'!$C$3:$G$57,4,FALSE))</f>
        <v/>
      </c>
      <c r="G17" s="65" t="str">
        <f t="shared" si="0"/>
        <v/>
      </c>
      <c r="H17" s="112" t="str">
        <f>IF(ISBLANK(B17),"",VLOOKUP(A17,'eGRID2018 Region'!$A$5:$J$30,10,FALSE))</f>
        <v/>
      </c>
      <c r="J17" s="128" t="str">
        <f>IF(ISBLANK(B17), "", ROUND((VLOOKUP(C17,'Vessel Fuel Emission Factors'!$C$8:$J$20,2,FALSE)*$G17/1000000), 3))</f>
        <v/>
      </c>
      <c r="K17" s="128" t="str">
        <f>IF(ISBLANK(B17), "",  ROUND((VLOOKUP(C17,'Vessel Fuel Emission Factors'!$C$8:$J$20,3,FALSE)*$G17/1000000),3))</f>
        <v/>
      </c>
      <c r="L17" s="128" t="str">
        <f>IF(ISBLANK(B17), "",  ROUND((VLOOKUP(C17,'Vessel Fuel Emission Factors'!$C$8:$J$20,6,FALSE)*$G17/1000000),3))</f>
        <v/>
      </c>
      <c r="M17" s="65" t="str">
        <f>IF(ISBLANK(B17), "",  ROUND((VLOOKUP(C17,'Vessel Fuel Emission Factors'!$C$8:$J$20,4,FALSE)*$G17/1000000),0))</f>
        <v/>
      </c>
      <c r="N17" s="65" t="str">
        <f>IF(ISBLANK(B17), "",  ROUND((VLOOKUP(C17,'Vessel Fuel Emission Factors'!$C$8:$J$20,8,FALSE)*$G17/1000000),0))</f>
        <v/>
      </c>
      <c r="O17" s="70"/>
      <c r="P17" s="128" t="str">
        <f>IF(ISBLANK(B17), "", ROUND((VLOOKUP($A17, 'eGRID2018 Region'!$A$4:$J$30, 3, FALSE)*$G17/(1-$H17))/1000000,3))</f>
        <v/>
      </c>
      <c r="Q17" s="128" t="str">
        <f>IF(ISBLANK(B17), "", ROUND((VLOOKUP($A17, 'eGRID2018 Region'!$A$4:$J$30, 4, FALSE)*$G17/(1-$H17))/1000000,3))</f>
        <v/>
      </c>
      <c r="R17" s="128" t="str">
        <f>IF(ISBLANK(B17), "", ROUND((VLOOKUP($A17, 'eGRID2018 Region'!$A$4:$J$30, 9, FALSE)*$G17/(1-$H17))/1000000,3))</f>
        <v/>
      </c>
      <c r="S17" s="65" t="str">
        <f>IF(ISBLANK(B17), "", ROUND((VLOOKUP($A17, 'eGRID2018 Region'!$A$4:$J$30, 5, FALSE)*$G17/(1-$H17))/1000000,0))</f>
        <v/>
      </c>
      <c r="T17" s="65" t="str">
        <f>IF(ISBLANK(B17), "", ROUND((VLOOKUP($A17, 'eGRID2018 Region'!$A$4:$J$30, 8, FALSE)*$G17/(1-$H17))/1000000,0))</f>
        <v/>
      </c>
      <c r="U17" s="80"/>
      <c r="V17" s="128" t="str">
        <f t="shared" si="2"/>
        <v/>
      </c>
      <c r="W17" s="128" t="str">
        <f t="shared" si="3"/>
        <v/>
      </c>
      <c r="X17" s="128" t="str">
        <f t="shared" si="4"/>
        <v/>
      </c>
      <c r="Y17" s="65" t="str">
        <f t="shared" si="5"/>
        <v/>
      </c>
      <c r="Z17" s="65" t="str">
        <f t="shared" si="6"/>
        <v/>
      </c>
      <c r="AA17" s="70"/>
      <c r="AB17" s="125" t="str">
        <f t="shared" si="7"/>
        <v/>
      </c>
      <c r="AC17" s="125" t="str">
        <f t="shared" si="1"/>
        <v/>
      </c>
      <c r="AD17" s="125" t="str">
        <f t="shared" si="1"/>
        <v/>
      </c>
      <c r="AE17" s="125" t="str">
        <f t="shared" si="1"/>
        <v/>
      </c>
      <c r="AF17" s="125" t="str">
        <f t="shared" si="1"/>
        <v/>
      </c>
    </row>
    <row r="18" spans="1:32">
      <c r="A18" s="64"/>
      <c r="B18" s="64"/>
      <c r="C18" s="64"/>
      <c r="D18" s="64"/>
      <c r="E18" s="64"/>
      <c r="F18" s="72" t="str">
        <f>IF(ISBLANK(B18),"",VLOOKUP(B18,'Vessel Type'!$C$3:$G$57,4,FALSE))</f>
        <v/>
      </c>
      <c r="G18" s="67" t="str">
        <f t="shared" si="0"/>
        <v/>
      </c>
      <c r="H18" s="113" t="str">
        <f>IF(ISBLANK(B18),"",VLOOKUP(A18,'eGRID2018 Region'!$A$5:$J$30,10,FALSE))</f>
        <v/>
      </c>
      <c r="J18" s="129" t="str">
        <f>IF(ISBLANK(B18), "", ROUND((VLOOKUP(C18,'Vessel Fuel Emission Factors'!$C$8:$J$20,2,FALSE)*$G18/1000000), 3))</f>
        <v/>
      </c>
      <c r="K18" s="129" t="str">
        <f>IF(ISBLANK(B18), "",  ROUND((VLOOKUP(C18,'Vessel Fuel Emission Factors'!$C$8:$J$20,3,FALSE)*$G18/1000000),3))</f>
        <v/>
      </c>
      <c r="L18" s="129" t="str">
        <f>IF(ISBLANK(B18), "",  ROUND((VLOOKUP(C18,'Vessel Fuel Emission Factors'!$C$8:$J$20,6,FALSE)*$G18/1000000),3))</f>
        <v/>
      </c>
      <c r="M18" s="67" t="str">
        <f>IF(ISBLANK(B18), "",  ROUND((VLOOKUP(C18,'Vessel Fuel Emission Factors'!$C$8:$J$20,4,FALSE)*$G18/1000000),0))</f>
        <v/>
      </c>
      <c r="N18" s="67" t="str">
        <f>IF(ISBLANK(B18), "",  ROUND((VLOOKUP(C18,'Vessel Fuel Emission Factors'!$C$8:$J$20,8,FALSE)*$G18/1000000),0))</f>
        <v/>
      </c>
      <c r="O18" s="70"/>
      <c r="P18" s="129" t="str">
        <f>IF(ISBLANK(B18), "", ROUND((VLOOKUP($A18, 'eGRID2018 Region'!$A$4:$J$30, 3, FALSE)*$G18/(1-$H18))/1000000,3))</f>
        <v/>
      </c>
      <c r="Q18" s="129" t="str">
        <f>IF(ISBLANK(B18), "", ROUND((VLOOKUP($A18, 'eGRID2018 Region'!$A$4:$J$30, 4, FALSE)*$G18/(1-$H18))/1000000,3))</f>
        <v/>
      </c>
      <c r="R18" s="129" t="str">
        <f>IF(ISBLANK(B18), "", ROUND((VLOOKUP($A18, 'eGRID2018 Region'!$A$4:$J$30, 9, FALSE)*$G18/(1-$H18))/1000000,3))</f>
        <v/>
      </c>
      <c r="S18" s="67" t="str">
        <f>IF(ISBLANK(B18), "", ROUND((VLOOKUP($A18, 'eGRID2018 Region'!$A$4:$J$30, 5, FALSE)*$G18/(1-$H18))/1000000,0))</f>
        <v/>
      </c>
      <c r="T18" s="67" t="str">
        <f>IF(ISBLANK(B18), "", ROUND((VLOOKUP($A18, 'eGRID2018 Region'!$A$4:$J$30, 8, FALSE)*$G18/(1-$H18))/1000000,0))</f>
        <v/>
      </c>
      <c r="U18" s="80"/>
      <c r="V18" s="129" t="str">
        <f t="shared" si="2"/>
        <v/>
      </c>
      <c r="W18" s="129" t="str">
        <f t="shared" si="3"/>
        <v/>
      </c>
      <c r="X18" s="129" t="str">
        <f t="shared" si="4"/>
        <v/>
      </c>
      <c r="Y18" s="67" t="str">
        <f t="shared" si="5"/>
        <v/>
      </c>
      <c r="Z18" s="67" t="str">
        <f t="shared" si="6"/>
        <v/>
      </c>
      <c r="AA18" s="70"/>
      <c r="AB18" s="126" t="str">
        <f t="shared" si="7"/>
        <v/>
      </c>
      <c r="AC18" s="126" t="str">
        <f t="shared" si="1"/>
        <v/>
      </c>
      <c r="AD18" s="126" t="str">
        <f t="shared" si="1"/>
        <v/>
      </c>
      <c r="AE18" s="126" t="str">
        <f t="shared" si="1"/>
        <v/>
      </c>
      <c r="AF18" s="126" t="str">
        <f t="shared" si="1"/>
        <v/>
      </c>
    </row>
    <row r="19" spans="1:32">
      <c r="A19" s="63"/>
      <c r="B19" s="63"/>
      <c r="C19" s="63"/>
      <c r="D19" s="63"/>
      <c r="E19" s="63"/>
      <c r="F19" s="72" t="str">
        <f>IF(ISBLANK(B19),"",VLOOKUP(B19,'Vessel Type'!$C$3:$G$57,4,FALSE))</f>
        <v/>
      </c>
      <c r="G19" s="65" t="str">
        <f t="shared" si="0"/>
        <v/>
      </c>
      <c r="H19" s="112" t="str">
        <f>IF(ISBLANK(B19),"",VLOOKUP(A19,'eGRID2018 Region'!$A$5:$J$30,10,FALSE))</f>
        <v/>
      </c>
      <c r="J19" s="128" t="str">
        <f>IF(ISBLANK(B19), "", ROUND((VLOOKUP(C19,'Vessel Fuel Emission Factors'!$C$8:$J$20,2,FALSE)*$G19/1000000), 3))</f>
        <v/>
      </c>
      <c r="K19" s="128" t="str">
        <f>IF(ISBLANK(B19), "",  ROUND((VLOOKUP(C19,'Vessel Fuel Emission Factors'!$C$8:$J$20,3,FALSE)*$G19/1000000),3))</f>
        <v/>
      </c>
      <c r="L19" s="128" t="str">
        <f>IF(ISBLANK(B19), "",  ROUND((VLOOKUP(C19,'Vessel Fuel Emission Factors'!$C$8:$J$20,6,FALSE)*$G19/1000000),3))</f>
        <v/>
      </c>
      <c r="M19" s="65" t="str">
        <f>IF(ISBLANK(B19), "",  ROUND((VLOOKUP(C19,'Vessel Fuel Emission Factors'!$C$8:$J$20,4,FALSE)*$G19/1000000),0))</f>
        <v/>
      </c>
      <c r="N19" s="65" t="str">
        <f>IF(ISBLANK(B19), "",  ROUND((VLOOKUP(C19,'Vessel Fuel Emission Factors'!$C$8:$J$20,8,FALSE)*$G19/1000000),0))</f>
        <v/>
      </c>
      <c r="O19" s="70"/>
      <c r="P19" s="128" t="str">
        <f>IF(ISBLANK(B19), "", ROUND((VLOOKUP($A19, 'eGRID2018 Region'!$A$4:$J$30, 3, FALSE)*$G19/(1-$H19))/1000000,3))</f>
        <v/>
      </c>
      <c r="Q19" s="128" t="str">
        <f>IF(ISBLANK(B19), "", ROUND((VLOOKUP($A19, 'eGRID2018 Region'!$A$4:$J$30, 4, FALSE)*$G19/(1-$H19))/1000000,3))</f>
        <v/>
      </c>
      <c r="R19" s="128" t="str">
        <f>IF(ISBLANK(B19), "", ROUND((VLOOKUP($A19, 'eGRID2018 Region'!$A$4:$J$30, 9, FALSE)*$G19/(1-$H19))/1000000,3))</f>
        <v/>
      </c>
      <c r="S19" s="65" t="str">
        <f>IF(ISBLANK(B19), "", ROUND((VLOOKUP($A19, 'eGRID2018 Region'!$A$4:$J$30, 5, FALSE)*$G19/(1-$H19))/1000000,0))</f>
        <v/>
      </c>
      <c r="T19" s="65" t="str">
        <f>IF(ISBLANK(B19), "", ROUND((VLOOKUP($A19, 'eGRID2018 Region'!$A$4:$J$30, 8, FALSE)*$G19/(1-$H19))/1000000,0))</f>
        <v/>
      </c>
      <c r="U19" s="80"/>
      <c r="V19" s="128" t="str">
        <f t="shared" si="2"/>
        <v/>
      </c>
      <c r="W19" s="128" t="str">
        <f t="shared" si="3"/>
        <v/>
      </c>
      <c r="X19" s="128" t="str">
        <f t="shared" si="4"/>
        <v/>
      </c>
      <c r="Y19" s="65" t="str">
        <f t="shared" si="5"/>
        <v/>
      </c>
      <c r="Z19" s="65" t="str">
        <f t="shared" si="6"/>
        <v/>
      </c>
      <c r="AA19" s="70"/>
      <c r="AB19" s="125" t="str">
        <f t="shared" si="7"/>
        <v/>
      </c>
      <c r="AC19" s="125" t="str">
        <f t="shared" si="1"/>
        <v/>
      </c>
      <c r="AD19" s="125" t="str">
        <f t="shared" si="1"/>
        <v/>
      </c>
      <c r="AE19" s="125" t="str">
        <f t="shared" si="1"/>
        <v/>
      </c>
      <c r="AF19" s="125" t="str">
        <f t="shared" si="1"/>
        <v/>
      </c>
    </row>
    <row r="20" spans="1:32">
      <c r="A20" s="64"/>
      <c r="B20" s="64"/>
      <c r="C20" s="64"/>
      <c r="D20" s="64"/>
      <c r="E20" s="64"/>
      <c r="F20" s="72" t="str">
        <f>IF(ISBLANK(B20),"",VLOOKUP(B20,'Vessel Type'!$C$3:$G$57,4,FALSE))</f>
        <v/>
      </c>
      <c r="G20" s="67" t="str">
        <f t="shared" si="0"/>
        <v/>
      </c>
      <c r="H20" s="113" t="str">
        <f>IF(ISBLANK(B20),"",VLOOKUP(A20,'eGRID2018 Region'!$A$5:$J$30,10,FALSE))</f>
        <v/>
      </c>
      <c r="J20" s="129" t="str">
        <f>IF(ISBLANK(B20), "", ROUND((VLOOKUP(C20,'Vessel Fuel Emission Factors'!$C$8:$J$20,2,FALSE)*$G20/1000000), 3))</f>
        <v/>
      </c>
      <c r="K20" s="129" t="str">
        <f>IF(ISBLANK(B20), "",  ROUND((VLOOKUP(C20,'Vessel Fuel Emission Factors'!$C$8:$J$20,3,FALSE)*$G20/1000000),3))</f>
        <v/>
      </c>
      <c r="L20" s="129" t="str">
        <f>IF(ISBLANK(B20), "",  ROUND((VLOOKUP(C20,'Vessel Fuel Emission Factors'!$C$8:$J$20,6,FALSE)*$G20/1000000),3))</f>
        <v/>
      </c>
      <c r="M20" s="67" t="str">
        <f>IF(ISBLANK(B20), "",  ROUND((VLOOKUP(C20,'Vessel Fuel Emission Factors'!$C$8:$J$20,4,FALSE)*$G20/1000000),0))</f>
        <v/>
      </c>
      <c r="N20" s="67" t="str">
        <f>IF(ISBLANK(B20), "",  ROUND((VLOOKUP(C20,'Vessel Fuel Emission Factors'!$C$8:$J$20,8,FALSE)*$G20/1000000),0))</f>
        <v/>
      </c>
      <c r="O20" s="70"/>
      <c r="P20" s="129" t="str">
        <f>IF(ISBLANK(B20), "", ROUND((VLOOKUP($A20, 'eGRID2018 Region'!$A$4:$J$30, 3, FALSE)*$G20/(1-$H20))/1000000,3))</f>
        <v/>
      </c>
      <c r="Q20" s="129" t="str">
        <f>IF(ISBLANK(B20), "", ROUND((VLOOKUP($A20, 'eGRID2018 Region'!$A$4:$J$30, 4, FALSE)*$G20/(1-$H20))/1000000,3))</f>
        <v/>
      </c>
      <c r="R20" s="129" t="str">
        <f>IF(ISBLANK(B20), "", ROUND((VLOOKUP($A20, 'eGRID2018 Region'!$A$4:$J$30, 9, FALSE)*$G20/(1-$H20))/1000000,3))</f>
        <v/>
      </c>
      <c r="S20" s="67" t="str">
        <f>IF(ISBLANK(B20), "", ROUND((VLOOKUP($A20, 'eGRID2018 Region'!$A$4:$J$30, 5, FALSE)*$G20/(1-$H20))/1000000,0))</f>
        <v/>
      </c>
      <c r="T20" s="67" t="str">
        <f>IF(ISBLANK(B20), "", ROUND((VLOOKUP($A20, 'eGRID2018 Region'!$A$4:$J$30, 8, FALSE)*$G20/(1-$H20))/1000000,0))</f>
        <v/>
      </c>
      <c r="U20" s="80"/>
      <c r="V20" s="129" t="str">
        <f t="shared" si="2"/>
        <v/>
      </c>
      <c r="W20" s="129" t="str">
        <f t="shared" si="3"/>
        <v/>
      </c>
      <c r="X20" s="129" t="str">
        <f t="shared" si="4"/>
        <v/>
      </c>
      <c r="Y20" s="67" t="str">
        <f t="shared" si="5"/>
        <v/>
      </c>
      <c r="Z20" s="67" t="str">
        <f t="shared" si="6"/>
        <v/>
      </c>
      <c r="AA20" s="70"/>
      <c r="AB20" s="126" t="str">
        <f t="shared" si="7"/>
        <v/>
      </c>
      <c r="AC20" s="126" t="str">
        <f t="shared" si="1"/>
        <v/>
      </c>
      <c r="AD20" s="126" t="str">
        <f t="shared" si="1"/>
        <v/>
      </c>
      <c r="AE20" s="126" t="str">
        <f t="shared" si="1"/>
        <v/>
      </c>
      <c r="AF20" s="126" t="str">
        <f t="shared" si="1"/>
        <v/>
      </c>
    </row>
    <row r="21" spans="1:32">
      <c r="A21" s="63"/>
      <c r="B21" s="63"/>
      <c r="C21" s="63"/>
      <c r="D21" s="63"/>
      <c r="E21" s="63"/>
      <c r="F21" s="72" t="str">
        <f>IF(ISBLANK(B21),"",VLOOKUP(B21,'Vessel Type'!$C$3:$G$57,4,FALSE))</f>
        <v/>
      </c>
      <c r="G21" s="65" t="str">
        <f t="shared" si="0"/>
        <v/>
      </c>
      <c r="H21" s="112" t="str">
        <f>IF(ISBLANK(B21),"",VLOOKUP(A21,'eGRID2018 Region'!$A$5:$J$30,10,FALSE))</f>
        <v/>
      </c>
      <c r="J21" s="128" t="str">
        <f>IF(ISBLANK(B21), "", ROUND((VLOOKUP(C21,'Vessel Fuel Emission Factors'!$C$8:$J$20,2,FALSE)*$G21/1000000), 3))</f>
        <v/>
      </c>
      <c r="K21" s="128" t="str">
        <f>IF(ISBLANK(B21), "",  ROUND((VLOOKUP(C21,'Vessel Fuel Emission Factors'!$C$8:$J$20,3,FALSE)*$G21/1000000),3))</f>
        <v/>
      </c>
      <c r="L21" s="128" t="str">
        <f>IF(ISBLANK(B21), "",  ROUND((VLOOKUP(C21,'Vessel Fuel Emission Factors'!$C$8:$J$20,6,FALSE)*$G21/1000000),3))</f>
        <v/>
      </c>
      <c r="M21" s="65" t="str">
        <f>IF(ISBLANK(B21), "",  ROUND((VLOOKUP(C21,'Vessel Fuel Emission Factors'!$C$8:$J$20,4,FALSE)*$G21/1000000),0))</f>
        <v/>
      </c>
      <c r="N21" s="65" t="str">
        <f>IF(ISBLANK(B21), "",  ROUND((VLOOKUP(C21,'Vessel Fuel Emission Factors'!$C$8:$J$20,8,FALSE)*$G21/1000000),0))</f>
        <v/>
      </c>
      <c r="O21" s="70"/>
      <c r="P21" s="128" t="str">
        <f>IF(ISBLANK(B21), "", ROUND((VLOOKUP($A21, 'eGRID2018 Region'!$A$4:$J$30, 3, FALSE)*$G21/(1-$H21))/1000000,3))</f>
        <v/>
      </c>
      <c r="Q21" s="128" t="str">
        <f>IF(ISBLANK(B21), "", ROUND((VLOOKUP($A21, 'eGRID2018 Region'!$A$4:$J$30, 4, FALSE)*$G21/(1-$H21))/1000000,3))</f>
        <v/>
      </c>
      <c r="R21" s="128" t="str">
        <f>IF(ISBLANK(B21), "", ROUND((VLOOKUP($A21, 'eGRID2018 Region'!$A$4:$J$30, 9, FALSE)*$G21/(1-$H21))/1000000,3))</f>
        <v/>
      </c>
      <c r="S21" s="65" t="str">
        <f>IF(ISBLANK(B21), "", ROUND((VLOOKUP($A21, 'eGRID2018 Region'!$A$4:$J$30, 5, FALSE)*$G21/(1-$H21))/1000000,0))</f>
        <v/>
      </c>
      <c r="T21" s="65" t="str">
        <f>IF(ISBLANK(B21), "", ROUND((VLOOKUP($A21, 'eGRID2018 Region'!$A$4:$J$30, 8, FALSE)*$G21/(1-$H21))/1000000,0))</f>
        <v/>
      </c>
      <c r="U21" s="80"/>
      <c r="V21" s="128" t="str">
        <f t="shared" si="2"/>
        <v/>
      </c>
      <c r="W21" s="128" t="str">
        <f t="shared" si="3"/>
        <v/>
      </c>
      <c r="X21" s="128" t="str">
        <f t="shared" si="4"/>
        <v/>
      </c>
      <c r="Y21" s="65" t="str">
        <f t="shared" si="5"/>
        <v/>
      </c>
      <c r="Z21" s="65" t="str">
        <f t="shared" si="6"/>
        <v/>
      </c>
      <c r="AA21" s="70"/>
      <c r="AB21" s="125" t="str">
        <f t="shared" si="7"/>
        <v/>
      </c>
      <c r="AC21" s="125" t="str">
        <f t="shared" si="7"/>
        <v/>
      </c>
      <c r="AD21" s="125" t="str">
        <f t="shared" si="7"/>
        <v/>
      </c>
      <c r="AE21" s="125" t="str">
        <f t="shared" si="7"/>
        <v/>
      </c>
      <c r="AF21" s="125" t="str">
        <f t="shared" si="7"/>
        <v/>
      </c>
    </row>
    <row r="22" spans="1:32">
      <c r="A22" s="64"/>
      <c r="B22" s="64"/>
      <c r="C22" s="64"/>
      <c r="D22" s="64"/>
      <c r="E22" s="64"/>
      <c r="F22" s="72" t="str">
        <f>IF(ISBLANK(B22),"",VLOOKUP(B22,'Vessel Type'!$C$3:$G$57,4,FALSE))</f>
        <v/>
      </c>
      <c r="G22" s="67" t="str">
        <f t="shared" si="0"/>
        <v/>
      </c>
      <c r="H22" s="113" t="str">
        <f>IF(ISBLANK(B22),"",VLOOKUP(A22,'eGRID2018 Region'!$A$5:$J$30,10,FALSE))</f>
        <v/>
      </c>
      <c r="J22" s="129" t="str">
        <f>IF(ISBLANK(B22), "", ROUND((VLOOKUP(C22,'Vessel Fuel Emission Factors'!$C$8:$J$20,2,FALSE)*$G22/1000000), 3))</f>
        <v/>
      </c>
      <c r="K22" s="129" t="str">
        <f>IF(ISBLANK(B22), "",  ROUND((VLOOKUP(C22,'Vessel Fuel Emission Factors'!$C$8:$J$20,3,FALSE)*$G22/1000000),3))</f>
        <v/>
      </c>
      <c r="L22" s="129" t="str">
        <f>IF(ISBLANK(B22), "",  ROUND((VLOOKUP(C22,'Vessel Fuel Emission Factors'!$C$8:$J$20,6,FALSE)*$G22/1000000),3))</f>
        <v/>
      </c>
      <c r="M22" s="67" t="str">
        <f>IF(ISBLANK(B22), "",  ROUND((VLOOKUP(C22,'Vessel Fuel Emission Factors'!$C$8:$J$20,4,FALSE)*$G22/1000000),0))</f>
        <v/>
      </c>
      <c r="N22" s="67" t="str">
        <f>IF(ISBLANK(B22), "",  ROUND((VLOOKUP(C22,'Vessel Fuel Emission Factors'!$C$8:$J$20,8,FALSE)*$G22/1000000),0))</f>
        <v/>
      </c>
      <c r="O22" s="70"/>
      <c r="P22" s="129" t="str">
        <f>IF(ISBLANK(B22), "", ROUND((VLOOKUP($A22, 'eGRID2018 Region'!$A$4:$J$30, 3, FALSE)*$G22/(1-$H22))/1000000,3))</f>
        <v/>
      </c>
      <c r="Q22" s="129" t="str">
        <f>IF(ISBLANK(B22), "", ROUND((VLOOKUP($A22, 'eGRID2018 Region'!$A$4:$J$30, 4, FALSE)*$G22/(1-$H22))/1000000,3))</f>
        <v/>
      </c>
      <c r="R22" s="129" t="str">
        <f>IF(ISBLANK(B22), "", ROUND((VLOOKUP($A22, 'eGRID2018 Region'!$A$4:$J$30, 9, FALSE)*$G22/(1-$H22))/1000000,3))</f>
        <v/>
      </c>
      <c r="S22" s="67" t="str">
        <f>IF(ISBLANK(B22), "", ROUND((VLOOKUP($A22, 'eGRID2018 Region'!$A$4:$J$30, 5, FALSE)*$G22/(1-$H22))/1000000,0))</f>
        <v/>
      </c>
      <c r="T22" s="67" t="str">
        <f>IF(ISBLANK(B22), "", ROUND((VLOOKUP($A22, 'eGRID2018 Region'!$A$4:$J$30, 8, FALSE)*$G22/(1-$H22))/1000000,0))</f>
        <v/>
      </c>
      <c r="U22" s="80"/>
      <c r="V22" s="129" t="str">
        <f t="shared" si="2"/>
        <v/>
      </c>
      <c r="W22" s="129" t="str">
        <f t="shared" si="3"/>
        <v/>
      </c>
      <c r="X22" s="129" t="str">
        <f t="shared" si="4"/>
        <v/>
      </c>
      <c r="Y22" s="67" t="str">
        <f t="shared" si="5"/>
        <v/>
      </c>
      <c r="Z22" s="67" t="str">
        <f t="shared" si="6"/>
        <v/>
      </c>
      <c r="AA22" s="70"/>
      <c r="AB22" s="126" t="str">
        <f t="shared" si="7"/>
        <v/>
      </c>
      <c r="AC22" s="126" t="str">
        <f t="shared" si="7"/>
        <v/>
      </c>
      <c r="AD22" s="126" t="str">
        <f t="shared" si="7"/>
        <v/>
      </c>
      <c r="AE22" s="126" t="str">
        <f t="shared" si="7"/>
        <v/>
      </c>
      <c r="AF22" s="126" t="str">
        <f t="shared" si="7"/>
        <v/>
      </c>
    </row>
    <row r="23" spans="1:32">
      <c r="A23" s="63"/>
      <c r="B23" s="63"/>
      <c r="C23" s="63"/>
      <c r="D23" s="63"/>
      <c r="E23" s="63"/>
      <c r="F23" s="72" t="str">
        <f>IF(ISBLANK(B23),"",VLOOKUP(B23,'Vessel Type'!$C$3:$G$57,4,FALSE))</f>
        <v/>
      </c>
      <c r="G23" s="65" t="str">
        <f t="shared" si="0"/>
        <v/>
      </c>
      <c r="H23" s="112" t="str">
        <f>IF(ISBLANK(B23),"",VLOOKUP(A23,'eGRID2018 Region'!$A$5:$J$30,10,FALSE))</f>
        <v/>
      </c>
      <c r="J23" s="128" t="str">
        <f>IF(ISBLANK(B23), "", ROUND((VLOOKUP(C23,'Vessel Fuel Emission Factors'!$C$8:$J$20,2,FALSE)*$G23/1000000), 3))</f>
        <v/>
      </c>
      <c r="K23" s="128" t="str">
        <f>IF(ISBLANK(B23), "",  ROUND((VLOOKUP(C23,'Vessel Fuel Emission Factors'!$C$8:$J$20,3,FALSE)*$G23/1000000),3))</f>
        <v/>
      </c>
      <c r="L23" s="128" t="str">
        <f>IF(ISBLANK(B23), "",  ROUND((VLOOKUP(C23,'Vessel Fuel Emission Factors'!$C$8:$J$20,6,FALSE)*$G23/1000000),3))</f>
        <v/>
      </c>
      <c r="M23" s="65" t="str">
        <f>IF(ISBLANK(B23), "",  ROUND((VLOOKUP(C23,'Vessel Fuel Emission Factors'!$C$8:$J$20,4,FALSE)*$G23/1000000),0))</f>
        <v/>
      </c>
      <c r="N23" s="65" t="str">
        <f>IF(ISBLANK(B23), "",  ROUND((VLOOKUP(C23,'Vessel Fuel Emission Factors'!$C$8:$J$20,8,FALSE)*$G23/1000000),0))</f>
        <v/>
      </c>
      <c r="O23" s="70"/>
      <c r="P23" s="128" t="str">
        <f>IF(ISBLANK(B23), "", ROUND((VLOOKUP($A23, 'eGRID2018 Region'!$A$4:$J$30, 3, FALSE)*$G23/(1-$H23))/1000000,3))</f>
        <v/>
      </c>
      <c r="Q23" s="128" t="str">
        <f>IF(ISBLANK(B23), "", ROUND((VLOOKUP($A23, 'eGRID2018 Region'!$A$4:$J$30, 4, FALSE)*$G23/(1-$H23))/1000000,3))</f>
        <v/>
      </c>
      <c r="R23" s="128" t="str">
        <f>IF(ISBLANK(B23), "", ROUND((VLOOKUP($A23, 'eGRID2018 Region'!$A$4:$J$30, 9, FALSE)*$G23/(1-$H23))/1000000,3))</f>
        <v/>
      </c>
      <c r="S23" s="65" t="str">
        <f>IF(ISBLANK(B23), "", ROUND((VLOOKUP($A23, 'eGRID2018 Region'!$A$4:$J$30, 5, FALSE)*$G23/(1-$H23))/1000000,0))</f>
        <v/>
      </c>
      <c r="T23" s="65" t="str">
        <f>IF(ISBLANK(B23), "", ROUND((VLOOKUP($A23, 'eGRID2018 Region'!$A$4:$J$30, 8, FALSE)*$G23/(1-$H23))/1000000,0))</f>
        <v/>
      </c>
      <c r="U23" s="80"/>
      <c r="V23" s="128" t="str">
        <f t="shared" si="2"/>
        <v/>
      </c>
      <c r="W23" s="128" t="str">
        <f t="shared" si="3"/>
        <v/>
      </c>
      <c r="X23" s="128" t="str">
        <f t="shared" si="4"/>
        <v/>
      </c>
      <c r="Y23" s="65" t="str">
        <f t="shared" si="5"/>
        <v/>
      </c>
      <c r="Z23" s="65" t="str">
        <f t="shared" si="6"/>
        <v/>
      </c>
      <c r="AA23" s="70"/>
      <c r="AB23" s="125" t="str">
        <f t="shared" si="7"/>
        <v/>
      </c>
      <c r="AC23" s="125" t="str">
        <f t="shared" si="7"/>
        <v/>
      </c>
      <c r="AD23" s="125" t="str">
        <f t="shared" si="7"/>
        <v/>
      </c>
      <c r="AE23" s="125" t="str">
        <f t="shared" si="7"/>
        <v/>
      </c>
      <c r="AF23" s="125" t="str">
        <f t="shared" si="7"/>
        <v/>
      </c>
    </row>
    <row r="24" spans="1:32">
      <c r="A24" s="64"/>
      <c r="B24" s="64"/>
      <c r="C24" s="64"/>
      <c r="D24" s="64"/>
      <c r="E24" s="64"/>
      <c r="F24" s="72" t="str">
        <f>IF(ISBLANK(B24),"",VLOOKUP(B24,'Vessel Type'!$C$3:$G$57,4,FALSE))</f>
        <v/>
      </c>
      <c r="G24" s="67" t="str">
        <f t="shared" si="0"/>
        <v/>
      </c>
      <c r="H24" s="113" t="str">
        <f>IF(ISBLANK(B24),"",VLOOKUP(A24,'eGRID2018 Region'!$A$5:$J$30,10,FALSE))</f>
        <v/>
      </c>
      <c r="J24" s="129" t="str">
        <f>IF(ISBLANK(B24), "", ROUND((VLOOKUP(C24,'Vessel Fuel Emission Factors'!$C$8:$J$20,2,FALSE)*$G24/1000000), 3))</f>
        <v/>
      </c>
      <c r="K24" s="129" t="str">
        <f>IF(ISBLANK(B24), "",  ROUND((VLOOKUP(C24,'Vessel Fuel Emission Factors'!$C$8:$J$20,3,FALSE)*$G24/1000000),3))</f>
        <v/>
      </c>
      <c r="L24" s="129" t="str">
        <f>IF(ISBLANK(B24), "",  ROUND((VLOOKUP(C24,'Vessel Fuel Emission Factors'!$C$8:$J$20,6,FALSE)*$G24/1000000),3))</f>
        <v/>
      </c>
      <c r="M24" s="67" t="str">
        <f>IF(ISBLANK(B24), "",  ROUND((VLOOKUP(C24,'Vessel Fuel Emission Factors'!$C$8:$J$20,4,FALSE)*$G24/1000000),0))</f>
        <v/>
      </c>
      <c r="N24" s="67" t="str">
        <f>IF(ISBLANK(B24), "",  ROUND((VLOOKUP(C24,'Vessel Fuel Emission Factors'!$C$8:$J$20,8,FALSE)*$G24/1000000),0))</f>
        <v/>
      </c>
      <c r="O24" s="70"/>
      <c r="P24" s="129" t="str">
        <f>IF(ISBLANK(B24), "", ROUND((VLOOKUP($A24, 'eGRID2018 Region'!$A$4:$J$30, 3, FALSE)*$G24/(1-$H24))/1000000,3))</f>
        <v/>
      </c>
      <c r="Q24" s="129" t="str">
        <f>IF(ISBLANK(B24), "", ROUND((VLOOKUP($A24, 'eGRID2018 Region'!$A$4:$J$30, 4, FALSE)*$G24/(1-$H24))/1000000,3))</f>
        <v/>
      </c>
      <c r="R24" s="129" t="str">
        <f>IF(ISBLANK(B24), "", ROUND((VLOOKUP($A24, 'eGRID2018 Region'!$A$4:$J$30, 9, FALSE)*$G24/(1-$H24))/1000000,3))</f>
        <v/>
      </c>
      <c r="S24" s="67" t="str">
        <f>IF(ISBLANK(B24), "", ROUND((VLOOKUP($A24, 'eGRID2018 Region'!$A$4:$J$30, 5, FALSE)*$G24/(1-$H24))/1000000,0))</f>
        <v/>
      </c>
      <c r="T24" s="67" t="str">
        <f>IF(ISBLANK(B24), "", ROUND((VLOOKUP($A24, 'eGRID2018 Region'!$A$4:$J$30, 8, FALSE)*$G24/(1-$H24))/1000000,0))</f>
        <v/>
      </c>
      <c r="U24" s="80"/>
      <c r="V24" s="129" t="str">
        <f t="shared" si="2"/>
        <v/>
      </c>
      <c r="W24" s="129" t="str">
        <f t="shared" si="3"/>
        <v/>
      </c>
      <c r="X24" s="129" t="str">
        <f t="shared" si="4"/>
        <v/>
      </c>
      <c r="Y24" s="67" t="str">
        <f t="shared" si="5"/>
        <v/>
      </c>
      <c r="Z24" s="67" t="str">
        <f t="shared" si="6"/>
        <v/>
      </c>
      <c r="AA24" s="70"/>
      <c r="AB24" s="126" t="str">
        <f>IF(AND(ISBLANK($A24),ISBLANK($B24)),"",IF(J24=0, "Div/0 Error", ROUND((P24-J24)/J24,2)))</f>
        <v/>
      </c>
      <c r="AC24" s="126" t="str">
        <f t="shared" ref="AC24:AE24" si="8">IF(AND(ISBLANK($A24),ISBLANK($B24)),"",IF(K24=0, "Div/0 Error", ROUND((Q24-K24)/K24,2)))</f>
        <v/>
      </c>
      <c r="AD24" s="126" t="str">
        <f t="shared" si="8"/>
        <v/>
      </c>
      <c r="AE24" s="126" t="str">
        <f t="shared" si="8"/>
        <v/>
      </c>
      <c r="AF24" s="126" t="str">
        <f>IF(AND(ISBLANK($A24),ISBLANK($B24)),"",IF(N24=0, "Div/0 Error", ROUND((T24-N24)/N24,2)))</f>
        <v/>
      </c>
    </row>
    <row r="25" spans="1:32">
      <c r="A25" s="76"/>
      <c r="B25" s="76"/>
      <c r="C25" s="76"/>
      <c r="D25" s="76"/>
      <c r="F25" s="76"/>
      <c r="G25" s="12">
        <f>SUMIF(G5:G24, "&lt;&gt;#N/A")</f>
        <v>0</v>
      </c>
      <c r="H25" s="12"/>
      <c r="I25" s="21"/>
      <c r="J25" s="131">
        <f>ROUND(SUMIF(J5:J24, "&lt;&gt;#N/A"),3)</f>
        <v>0</v>
      </c>
      <c r="K25" s="131">
        <f>ROUND(SUMIF(K5:K24, "&lt;&gt;#N/A"),3)</f>
        <v>0</v>
      </c>
      <c r="L25" s="131">
        <f>ROUND(SUMIF(L5:L24, "&lt;&gt;#N/A"), 3)</f>
        <v>0</v>
      </c>
      <c r="M25" s="68">
        <f>ROUND(SUMIF(M5:M24, "&lt;&gt;#N/A"),0)</f>
        <v>0</v>
      </c>
      <c r="N25" s="68">
        <f>ROUND(SUMIF(N5:N24, "&lt;&gt;#N/A"), 0)</f>
        <v>0</v>
      </c>
      <c r="O25" s="69"/>
      <c r="P25" s="131">
        <f>ROUND(SUMIF(P5:P24, "&lt;&gt;#N/A"),3)</f>
        <v>0</v>
      </c>
      <c r="Q25" s="131">
        <f>ROUND(SUMIF(Q5:Q24, "&lt;&gt;#N/A"), 3)</f>
        <v>0</v>
      </c>
      <c r="R25" s="131">
        <f>ROUND(SUMIF(R5:R24, "&lt;&gt;#N/A"), 3)</f>
        <v>0</v>
      </c>
      <c r="S25" s="68">
        <f>ROUND(SUMIF(S5:S24, "&lt;&gt;#N/A"), 0)</f>
        <v>0</v>
      </c>
      <c r="T25" s="68">
        <f>ROUND(SUMIF(T5:T24, "&lt;&gt;#N/A"), 0)</f>
        <v>0</v>
      </c>
      <c r="U25" s="69"/>
      <c r="V25" s="131">
        <f>ROUND(SUMIF(V5:V24, "&lt;&gt;#N/A"), 3)</f>
        <v>0</v>
      </c>
      <c r="W25" s="131">
        <f>ROUND(SUMIF(W5:W24, "&lt;&gt;#N/A"), 3)</f>
        <v>0</v>
      </c>
      <c r="X25" s="131">
        <f>ROUND(SUMIF(X5:X24, "&lt;&gt;#N/A"), 3)</f>
        <v>0</v>
      </c>
      <c r="Y25" s="68">
        <f>ROUND(SUMIF(Y5:Y24, "&lt;&gt;#N/A"), 0)</f>
        <v>0</v>
      </c>
      <c r="Z25" s="68">
        <f>ROUND(SUMIF(Z5:Z24, "&lt;&gt;#N/A"), 0)</f>
        <v>0</v>
      </c>
      <c r="AA25" s="71"/>
      <c r="AB25" s="108" t="str">
        <f>IF(J25 = 0, "", ROUND((P25-J25)/J25, 2))</f>
        <v/>
      </c>
      <c r="AC25" s="108" t="str">
        <f t="shared" ref="AC25:AF25" si="9">IF(K25 = 0, "", ROUND((Q25-K25)/K25, 2))</f>
        <v/>
      </c>
      <c r="AD25" s="108" t="str">
        <f t="shared" si="9"/>
        <v/>
      </c>
      <c r="AE25" s="108" t="str">
        <f t="shared" si="9"/>
        <v/>
      </c>
      <c r="AF25" s="108" t="str">
        <f t="shared" si="9"/>
        <v/>
      </c>
    </row>
    <row r="26" spans="1:32">
      <c r="A26" s="75"/>
      <c r="B26" s="75"/>
      <c r="C26" s="75"/>
      <c r="D26" s="75"/>
      <c r="E26" s="75"/>
      <c r="F26" s="75"/>
      <c r="G26" s="3"/>
      <c r="H26" s="3"/>
      <c r="J26" s="75"/>
      <c r="K26" s="75"/>
      <c r="L26" s="75"/>
      <c r="M26" s="76"/>
      <c r="N26" s="76"/>
      <c r="O26" s="76"/>
      <c r="P26" s="75"/>
      <c r="Q26" s="75"/>
      <c r="R26" s="75"/>
      <c r="S26" s="76"/>
      <c r="T26" s="76"/>
      <c r="V26" s="75"/>
      <c r="W26" s="75"/>
      <c r="X26" s="75"/>
      <c r="Y26" s="76"/>
      <c r="Z26" s="76"/>
      <c r="AA26" s="76"/>
    </row>
    <row r="27" spans="1:32">
      <c r="B27" s="110"/>
      <c r="O27" s="76"/>
      <c r="AA27" s="76"/>
    </row>
  </sheetData>
  <sheetProtection formatCells="0" formatColumns="0" formatRows="0"/>
  <mergeCells count="4">
    <mergeCell ref="P2:T2"/>
    <mergeCell ref="V2:Z2"/>
    <mergeCell ref="AB2:AF2"/>
    <mergeCell ref="J2:N2"/>
  </mergeCells>
  <phoneticPr fontId="15" type="noConversion"/>
  <dataValidations count="5">
    <dataValidation type="list" allowBlank="1" showInputMessage="1" showErrorMessage="1" sqref="B25:C25" xr:uid="{00000000-0002-0000-0000-000000000000}">
      <formula1>VesselType</formula1>
    </dataValidation>
    <dataValidation type="list" allowBlank="1" showInputMessage="1" showErrorMessage="1" sqref="A25" xr:uid="{00000000-0002-0000-0000-000001000000}">
      <formula1>Subregion</formula1>
    </dataValidation>
    <dataValidation type="whole" allowBlank="1" showInputMessage="1" showErrorMessage="1" error="Must enter integer value greater than or equal to 1 and less than 100,000" sqref="D5:D24" xr:uid="{00000000-0002-0000-0000-000002000000}">
      <formula1>1</formula1>
      <formula2>100000</formula2>
    </dataValidation>
    <dataValidation type="whole" allowBlank="1" showInputMessage="1" showErrorMessage="1" error="Must enter integer value greater than or equal to 1 and less than 8,760" sqref="F5:F24" xr:uid="{3C72A1BB-CF06-2144-A286-B9661461275B}">
      <formula1>1</formula1>
      <formula2>8760</formula2>
    </dataValidation>
    <dataValidation type="decimal" allowBlank="1" showInputMessage="1" showErrorMessage="1" error="Must enter value greater than 0 and less than 8,760" sqref="E5:E24" xr:uid="{6297AC7A-51E9-3043-980B-F1D5FEABFA3F}">
      <formula1>0</formula1>
      <formula2>8760</formula2>
    </dataValidation>
  </dataValidations>
  <printOptions horizontalCentered="1"/>
  <pageMargins left="0.75" right="0.75" top="1" bottom="1" header="0.5" footer="0.5"/>
  <pageSetup scale="31" fitToHeight="0" orientation="landscape" horizontalDpi="4294967292" verticalDpi="4294967292" r:id="rId1"/>
  <headerFooter differentFirst="1">
    <oddFooter>&amp;LShore Power Emissions Calculator, Version 2022a
&amp;A&amp;RPage &amp;P of &amp;N</oddFooter>
    <firstFooter>&amp;RPage &amp;P of &amp;N</firstFooter>
  </headerFooter>
  <ignoredErrors>
    <ignoredError sqref="F5" unlockedFormula="1"/>
  </ignoredErrors>
  <drawing r:id="rId2"/>
  <extLst>
    <ext xmlns:x14="http://schemas.microsoft.com/office/spreadsheetml/2009/9/main" uri="{CCE6A557-97BC-4b89-ADB6-D9C93CAAB3DF}">
      <x14:dataValidations xmlns:xm="http://schemas.microsoft.com/office/excel/2006/main" count="3">
        <x14:dataValidation type="list" showInputMessage="1" showErrorMessage="1" promptTitle="Region" xr:uid="{00000000-0002-0000-0000-000003000000}">
          <x14:formula1>
            <xm:f>'eGRID2018 Region'!$A$4:$A$30</xm:f>
          </x14:formula1>
          <xm:sqref>A5:A24</xm:sqref>
        </x14:dataValidation>
        <x14:dataValidation type="list" allowBlank="1" showInputMessage="1" showErrorMessage="1" xr:uid="{F0EC2BC9-EB17-4C48-993E-B683EFE35A1C}">
          <x14:formula1>
            <xm:f>'Vessel Type'!$C$4:$C$57</xm:f>
          </x14:formula1>
          <xm:sqref>B5:B24</xm:sqref>
        </x14:dataValidation>
        <x14:dataValidation type="list" allowBlank="1" showInputMessage="1" showErrorMessage="1" xr:uid="{B054817F-DF18-1B4B-B517-2347E05A3B47}">
          <x14:formula1>
            <xm:f>'Vessel Fuel Emission Factors'!$C$7:$C$20</xm:f>
          </x14:formula1>
          <xm:sqref>C5:C24</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D7A4F-A15B-A841-9609-6CA76D1FB8BE}">
  <sheetPr>
    <pageSetUpPr fitToPage="1"/>
  </sheetPr>
  <dimension ref="A1:AI26"/>
  <sheetViews>
    <sheetView workbookViewId="0">
      <selection activeCell="B5" sqref="B5"/>
    </sheetView>
  </sheetViews>
  <sheetFormatPr defaultColWidth="11" defaultRowHeight="15.6"/>
  <cols>
    <col min="1" max="1" width="13.296875" customWidth="1"/>
    <col min="2" max="2" width="19.19921875" bestFit="1" customWidth="1"/>
    <col min="3" max="3" width="19.19921875" customWidth="1"/>
    <col min="4" max="4" width="18.19921875" customWidth="1"/>
    <col min="5" max="5" width="18.796875" customWidth="1"/>
    <col min="6" max="6" width="18" customWidth="1"/>
    <col min="7" max="7" width="18" style="1" customWidth="1"/>
    <col min="8" max="8" width="11.296875" style="1" customWidth="1"/>
    <col min="9" max="9" width="1.19921875" style="18" customWidth="1"/>
    <col min="10" max="14" width="10.796875" customWidth="1"/>
    <col min="15" max="15" width="1.19921875" style="7" customWidth="1"/>
    <col min="16" max="20" width="10.69921875" customWidth="1"/>
    <col min="21" max="21" width="1.19921875" style="7" customWidth="1"/>
    <col min="22" max="26" width="11.69921875" customWidth="1"/>
    <col min="27" max="27" width="1" style="105" customWidth="1"/>
    <col min="28" max="29" width="11.296875" style="32" customWidth="1"/>
    <col min="30" max="30" width="9.5" style="32" customWidth="1"/>
    <col min="31" max="31" width="10.5" style="32" customWidth="1"/>
    <col min="32" max="32" width="10.796875" style="32" customWidth="1"/>
  </cols>
  <sheetData>
    <row r="1" spans="1:35">
      <c r="A1" s="33" t="s">
        <v>94</v>
      </c>
      <c r="B1" s="33" t="s">
        <v>73</v>
      </c>
      <c r="C1" s="33" t="s">
        <v>73</v>
      </c>
      <c r="D1" s="33" t="s">
        <v>73</v>
      </c>
      <c r="E1" s="33" t="s">
        <v>73</v>
      </c>
      <c r="F1" s="33" t="s">
        <v>73</v>
      </c>
      <c r="G1" s="33" t="s">
        <v>73</v>
      </c>
      <c r="H1" s="33" t="s">
        <v>73</v>
      </c>
      <c r="I1" s="33" t="s">
        <v>73</v>
      </c>
      <c r="J1" s="33" t="s">
        <v>73</v>
      </c>
      <c r="K1" s="33" t="s">
        <v>73</v>
      </c>
      <c r="L1" s="33" t="s">
        <v>73</v>
      </c>
      <c r="M1" s="33" t="s">
        <v>73</v>
      </c>
      <c r="N1" s="33" t="s">
        <v>73</v>
      </c>
      <c r="O1" s="33" t="s">
        <v>73</v>
      </c>
      <c r="P1" s="33" t="s">
        <v>73</v>
      </c>
      <c r="Q1" s="33" t="s">
        <v>73</v>
      </c>
      <c r="R1" s="33" t="s">
        <v>73</v>
      </c>
      <c r="S1" s="33" t="s">
        <v>73</v>
      </c>
      <c r="T1" s="33" t="s">
        <v>73</v>
      </c>
      <c r="U1" s="33" t="s">
        <v>73</v>
      </c>
      <c r="V1" s="33" t="s">
        <v>73</v>
      </c>
      <c r="W1" s="33" t="s">
        <v>73</v>
      </c>
      <c r="X1" s="33" t="s">
        <v>73</v>
      </c>
      <c r="Y1" s="33" t="s">
        <v>73</v>
      </c>
      <c r="Z1" s="33" t="s">
        <v>73</v>
      </c>
      <c r="AA1" s="104" t="s">
        <v>73</v>
      </c>
      <c r="AB1" s="33" t="s">
        <v>73</v>
      </c>
      <c r="AC1" s="33" t="s">
        <v>73</v>
      </c>
      <c r="AD1" s="33" t="s">
        <v>73</v>
      </c>
      <c r="AE1" s="33" t="s">
        <v>73</v>
      </c>
      <c r="AF1" s="33" t="s">
        <v>73</v>
      </c>
    </row>
    <row r="2" spans="1:35" s="2" customFormat="1" ht="30" customHeight="1">
      <c r="A2" s="24" t="s">
        <v>94</v>
      </c>
      <c r="B2" s="25"/>
      <c r="C2" s="25"/>
      <c r="D2" s="25"/>
      <c r="E2" s="25"/>
      <c r="F2" s="25"/>
      <c r="H2" s="25"/>
      <c r="I2" s="19"/>
      <c r="J2" s="174" t="s">
        <v>74</v>
      </c>
      <c r="K2" s="174"/>
      <c r="L2" s="174"/>
      <c r="M2" s="174"/>
      <c r="N2" s="174"/>
      <c r="O2" s="9"/>
      <c r="P2" s="174" t="s">
        <v>75</v>
      </c>
      <c r="Q2" s="174"/>
      <c r="R2" s="174"/>
      <c r="S2" s="174"/>
      <c r="T2" s="174"/>
      <c r="U2" s="9"/>
      <c r="V2" s="175" t="s">
        <v>76</v>
      </c>
      <c r="W2" s="175"/>
      <c r="X2" s="175"/>
      <c r="Y2" s="175"/>
      <c r="Z2" s="175"/>
      <c r="AA2" s="57"/>
      <c r="AB2" s="175" t="s">
        <v>77</v>
      </c>
      <c r="AC2" s="175"/>
      <c r="AD2" s="175"/>
      <c r="AE2" s="175"/>
      <c r="AF2" s="175"/>
    </row>
    <row r="3" spans="1:35" s="2" customFormat="1" ht="33" thickBot="1">
      <c r="A3" s="4" t="s">
        <v>78</v>
      </c>
      <c r="B3" s="4" t="s">
        <v>79</v>
      </c>
      <c r="C3" s="4" t="s">
        <v>80</v>
      </c>
      <c r="D3" s="4" t="s">
        <v>81</v>
      </c>
      <c r="E3" s="4" t="s">
        <v>82</v>
      </c>
      <c r="F3" s="4" t="s">
        <v>83</v>
      </c>
      <c r="G3" s="5" t="s">
        <v>84</v>
      </c>
      <c r="H3" s="111" t="s">
        <v>85</v>
      </c>
      <c r="I3" s="20"/>
      <c r="J3" s="6" t="s">
        <v>67</v>
      </c>
      <c r="K3" s="115" t="s">
        <v>86</v>
      </c>
      <c r="L3" s="115" t="s">
        <v>87</v>
      </c>
      <c r="M3" s="115" t="s">
        <v>88</v>
      </c>
      <c r="N3" s="116" t="s">
        <v>89</v>
      </c>
      <c r="O3" s="10"/>
      <c r="P3" s="6" t="s">
        <v>67</v>
      </c>
      <c r="Q3" s="115" t="s">
        <v>86</v>
      </c>
      <c r="R3" s="115" t="s">
        <v>87</v>
      </c>
      <c r="S3" s="115" t="s">
        <v>88</v>
      </c>
      <c r="T3" s="116" t="s">
        <v>89</v>
      </c>
      <c r="U3" s="10"/>
      <c r="V3" s="6" t="s">
        <v>67</v>
      </c>
      <c r="W3" s="115" t="s">
        <v>86</v>
      </c>
      <c r="X3" s="115" t="s">
        <v>87</v>
      </c>
      <c r="Y3" s="115" t="s">
        <v>88</v>
      </c>
      <c r="Z3" s="116" t="s">
        <v>89</v>
      </c>
      <c r="AA3" s="57"/>
      <c r="AB3" s="6" t="s">
        <v>67</v>
      </c>
      <c r="AC3" s="115" t="s">
        <v>86</v>
      </c>
      <c r="AD3" s="115" t="s">
        <v>87</v>
      </c>
      <c r="AE3" s="115" t="s">
        <v>88</v>
      </c>
      <c r="AF3" s="116" t="s">
        <v>89</v>
      </c>
    </row>
    <row r="4" spans="1:35">
      <c r="A4" s="76" t="s">
        <v>90</v>
      </c>
      <c r="B4" s="76" t="s">
        <v>90</v>
      </c>
      <c r="C4" s="76" t="s">
        <v>90</v>
      </c>
      <c r="D4" s="76" t="s">
        <v>95</v>
      </c>
      <c r="E4" s="76" t="s">
        <v>95</v>
      </c>
      <c r="F4" s="75" t="s">
        <v>92</v>
      </c>
      <c r="G4" s="3" t="s">
        <v>93</v>
      </c>
      <c r="H4" s="3" t="s">
        <v>93</v>
      </c>
      <c r="J4" s="3" t="s">
        <v>93</v>
      </c>
      <c r="K4" s="3" t="s">
        <v>93</v>
      </c>
      <c r="L4" s="3" t="s">
        <v>93</v>
      </c>
      <c r="M4" s="3" t="s">
        <v>93</v>
      </c>
      <c r="N4" s="3" t="s">
        <v>93</v>
      </c>
      <c r="O4" s="76"/>
      <c r="P4" s="3" t="s">
        <v>93</v>
      </c>
      <c r="Q4" s="3" t="s">
        <v>93</v>
      </c>
      <c r="R4" s="3" t="s">
        <v>93</v>
      </c>
      <c r="S4" s="3" t="s">
        <v>93</v>
      </c>
      <c r="T4" s="3" t="s">
        <v>93</v>
      </c>
      <c r="U4" s="76"/>
      <c r="V4" s="8" t="s">
        <v>93</v>
      </c>
      <c r="W4" s="8" t="s">
        <v>93</v>
      </c>
      <c r="X4" s="8" t="s">
        <v>93</v>
      </c>
      <c r="Y4" s="8" t="s">
        <v>93</v>
      </c>
      <c r="Z4" s="8" t="s">
        <v>93</v>
      </c>
      <c r="AA4" s="76"/>
      <c r="AB4" s="31" t="s">
        <v>93</v>
      </c>
      <c r="AC4" s="31" t="s">
        <v>93</v>
      </c>
      <c r="AD4" s="31" t="s">
        <v>93</v>
      </c>
      <c r="AE4" s="31" t="s">
        <v>93</v>
      </c>
      <c r="AF4" s="31" t="s">
        <v>93</v>
      </c>
    </row>
    <row r="5" spans="1:35">
      <c r="A5" s="63"/>
      <c r="B5" s="63"/>
      <c r="C5" s="63"/>
      <c r="D5" s="63"/>
      <c r="E5" s="63"/>
      <c r="F5" s="76" t="str">
        <f>IF(ISBLANK(B5),"",VLOOKUP(B5,'Vessel Type'!$C$3:$G$67,4,FALSE))</f>
        <v/>
      </c>
      <c r="G5" s="11" t="str">
        <f t="shared" ref="G5:G24" si="0">IF(ISBLANK(B5),"",D5*E5*F5)</f>
        <v/>
      </c>
      <c r="H5" s="112" t="str">
        <f>IF(ISBLANK(A5), "", VLOOKUP(A5, 'eGRID2018 Region'!$A$4:$J$32,10,FALSE))</f>
        <v/>
      </c>
      <c r="J5" s="132" t="str">
        <f>IF(ISBLANK(B5), "",  ROUND(VLOOKUP(C5,'Vessel Fuel Emission Factors'!$C$8:$J$22,2,FALSE)*$G5/1000000, 3))</f>
        <v/>
      </c>
      <c r="K5" s="132" t="str">
        <f>IF(ISBLANK(B5), "",  ROUND(VLOOKUP(C5,'Vessel Fuel Emission Factors'!$C$8:$J$22,3,FALSE)*$G5/1000000, 3))</f>
        <v/>
      </c>
      <c r="L5" s="132" t="str">
        <f>IF(ISBLANK(B5), "",  ROUND(VLOOKUP(C5,'Vessel Fuel Emission Factors'!$C$8:$J$22,6,FALSE)*$G5/1000000, 3))</f>
        <v/>
      </c>
      <c r="M5" s="11" t="str">
        <f>IF(ISBLANK(B5), "",  ROUND(VLOOKUP(C5,'Vessel Fuel Emission Factors'!$C$8:$J$22,4,FALSE)*$G5/1000000, 0))</f>
        <v/>
      </c>
      <c r="N5" s="11" t="str">
        <f>IF(ISBLANK(B5),"",ROUND(VLOOKUP(C5,'Vessel Fuel Emission Factors'!$C$8:$J$22,8,FALSE)*$G5/1000000,0))</f>
        <v/>
      </c>
      <c r="O5" s="66"/>
      <c r="P5" s="130" t="str">
        <f>IF(ISBLANK($A5), "", ROUND((VLOOKUP($A5, 'eGRID2018 Region'!$A$4:$J$32, 3, FALSE)*$G5/(1-$H5))/1000000, 3))</f>
        <v/>
      </c>
      <c r="Q5" s="130" t="str">
        <f>IF(ISBLANK($A5),"",ROUND((VLOOKUP($A5, 'eGRID2018 Region'!$A$4:$J$32, 4, FALSE)*$G5/(1-$H5))/1000000, 3))</f>
        <v/>
      </c>
      <c r="R5" s="130" t="str">
        <f>IF(ISBLANK($A5), "",ROUND((VLOOKUP($A5, 'eGRID2018 Region'!$A$4:$J$32, 9, FALSE)*$G5/(1-$H5))/1000000, 3))</f>
        <v/>
      </c>
      <c r="S5" s="107" t="str">
        <f>IF(ISBLANK($A5), "",ROUND((VLOOKUP($A5, 'eGRID2018 Region'!$A$4:$J$32, 5, FALSE)*$G5/(1-$H5))/1000000, 0))</f>
        <v/>
      </c>
      <c r="T5" s="107" t="str">
        <f>IF(ISBLANK($A5), "", ROUND((VLOOKUP($A5, 'eGRID2018 Region'!$A$4:$J$32, 8, FALSE)*$G5/(1-$H5))/1000000, 0))</f>
        <v/>
      </c>
      <c r="U5" s="80"/>
      <c r="V5" s="130" t="str">
        <f>IF(ISBLANK($B5),"",IF(P5="No Data","No Data",ROUND(P5-J5,3)))</f>
        <v/>
      </c>
      <c r="W5" s="130" t="str">
        <f>IF(ISBLANK($B5),"",IF(Q5="No Data","No Data",ROUND(Q5-K5,3)))</f>
        <v/>
      </c>
      <c r="X5" s="130" t="str">
        <f>IF(ISBLANK($B5),"",IF(R5="No Data","No Data",ROUND(R5-L5,3)))</f>
        <v/>
      </c>
      <c r="Y5" s="107" t="str">
        <f>IF(ISBLANK($B5),"",IF(S5="No Data","No Data",ROUND(S5-M5,0)))</f>
        <v/>
      </c>
      <c r="Z5" s="107" t="str">
        <f>IF(ISBLANK($B5),"",IF(T5="No Data","No Data",ROUND(T5-N5,0)))</f>
        <v/>
      </c>
      <c r="AA5" s="70"/>
      <c r="AB5" s="125" t="str">
        <f>IF(ISBLANK($A5),"",IF(J5=0, "Div/0 Error", ROUND((P5-J5)/J5,2)))</f>
        <v/>
      </c>
      <c r="AC5" s="125" t="str">
        <f>IF(ISBLANK($A5),"",IF(K5=0, "Div/0 Error", ROUND((Q5-K5)/K5,2)))</f>
        <v/>
      </c>
      <c r="AD5" s="125" t="str">
        <f>IF(ISBLANK($A5),"",IF(L5=0, "Div/0 Error", ROUND((R5-L5)/L5,2)))</f>
        <v/>
      </c>
      <c r="AE5" s="125" t="str">
        <f>IF(ISBLANK($A5),"",IF(M5=0, "Div/0 Error", ROUND((S5-M5)/M5,2)))</f>
        <v/>
      </c>
      <c r="AF5" s="125" t="str">
        <f>IF(ISBLANK($A5),"",IF(N5=0, "Div/0 Error", ROUND((T5-N5)/N5,2)))</f>
        <v/>
      </c>
      <c r="AH5" s="105"/>
      <c r="AI5" s="105"/>
    </row>
    <row r="6" spans="1:35">
      <c r="A6" s="64"/>
      <c r="B6" s="64"/>
      <c r="C6" s="64"/>
      <c r="D6" s="64"/>
      <c r="E6" s="64"/>
      <c r="F6" s="76" t="str">
        <f>IF(ISBLANK(B6),"",VLOOKUP(B6,'Vessel Type'!$C$3:$G$67,4,FALSE))</f>
        <v/>
      </c>
      <c r="G6" s="28" t="str">
        <f t="shared" si="0"/>
        <v/>
      </c>
      <c r="H6" s="113" t="str">
        <f>IF(ISBLANK(A6), "", VLOOKUP(A6, 'eGRID2018 Region'!$A$4:$J$32,10,FALSE))</f>
        <v/>
      </c>
      <c r="J6" s="133" t="str">
        <f>IF(ISBLANK(B6), "",  ROUND(VLOOKUP(C6,'Vessel Fuel Emission Factors'!$C$8:$J$22,2,FALSE)*$G6/1000000, 3))</f>
        <v/>
      </c>
      <c r="K6" s="133" t="str">
        <f>IF(ISBLANK(B6), "",  ROUND(VLOOKUP(C6,'Vessel Fuel Emission Factors'!$C$8:$J$22,3,FALSE)*$G6/1000000, 3))</f>
        <v/>
      </c>
      <c r="L6" s="133" t="str">
        <f>IF(ISBLANK(B6), "",  ROUND(VLOOKUP(C6,'Vessel Fuel Emission Factors'!$C$8:$J$22,6,FALSE)*$G6/1000000, 3))</f>
        <v/>
      </c>
      <c r="M6" s="28" t="str">
        <f>IF(ISBLANK(B6), "",  ROUND(VLOOKUP(C6,'Vessel Fuel Emission Factors'!$C$8:$J$22,4,FALSE)*$G6/1000000, 0))</f>
        <v/>
      </c>
      <c r="N6" s="28" t="str">
        <f>IF(ISBLANK(B6),"",ROUND(VLOOKUP(C6,'Vessel Fuel Emission Factors'!$C$8:$J$22,8,FALSE)*$G6/1000000,0))</f>
        <v/>
      </c>
      <c r="O6" s="66"/>
      <c r="P6" s="129" t="str">
        <f>IF(ISBLANK($A6), "", ROUND((VLOOKUP($A6, 'eGRID2018 Region'!$A$4:$J$32, 3, FALSE)*$G6/(1-$H6))/1000000, 3))</f>
        <v/>
      </c>
      <c r="Q6" s="129" t="str">
        <f>IF(ISBLANK($A6),"",ROUND((VLOOKUP($A6, 'eGRID2018 Region'!$A$4:$J$32, 4, FALSE)*$G6/(1-$H6))/1000000, 3))</f>
        <v/>
      </c>
      <c r="R6" s="129" t="str">
        <f>IF(ISBLANK($A6), "",ROUND((VLOOKUP($A6, 'eGRID2018 Region'!$A$4:$J$32, 9, FALSE)*$G6/(1-$H6))/1000000, 3))</f>
        <v/>
      </c>
      <c r="S6" s="67" t="str">
        <f>IF(ISBLANK($A6), "",ROUND((VLOOKUP($A6, 'eGRID2018 Region'!$A$4:$J$32, 5, FALSE)*$G6/(1-$H6))/1000000, 0))</f>
        <v/>
      </c>
      <c r="T6" s="67" t="str">
        <f>IF(ISBLANK($A6), "", ROUND((VLOOKUP($A6, 'eGRID2018 Region'!$A$4:$J$32, 8, FALSE)*$G6/(1-$H6))/1000000, 0))</f>
        <v/>
      </c>
      <c r="U6" s="80"/>
      <c r="V6" s="129" t="str">
        <f t="shared" ref="V6:V24" si="1">IF(ISBLANK($B6),"",IF(P6="No Data","No Data",ROUND(P6-J6,3)))</f>
        <v/>
      </c>
      <c r="W6" s="129" t="str">
        <f t="shared" ref="W6:W24" si="2">IF(ISBLANK($B6),"",IF(Q6="No Data","No Data",ROUND(Q6-K6,3)))</f>
        <v/>
      </c>
      <c r="X6" s="129" t="str">
        <f t="shared" ref="X6:X24" si="3">IF(ISBLANK($B6),"",IF(R6="No Data","No Data",ROUND(R6-L6,3)))</f>
        <v/>
      </c>
      <c r="Y6" s="67" t="str">
        <f t="shared" ref="Y6:Y24" si="4">IF(ISBLANK($B6),"",IF(S6="No Data","No Data",ROUND(S6-M6,0)))</f>
        <v/>
      </c>
      <c r="Z6" s="67" t="str">
        <f t="shared" ref="Z6:Z24" si="5">IF(ISBLANK($B6),"",IF(T6="No Data","No Data",ROUND(T6-N6,0)))</f>
        <v/>
      </c>
      <c r="AA6" s="70"/>
      <c r="AB6" s="126" t="str">
        <f t="shared" ref="AB6:AB24" si="6">IF(ISBLANK($A6),"",IF(J6=0, "Div/0 Error", ROUND((P6-J6)/J6,2)))</f>
        <v/>
      </c>
      <c r="AC6" s="126" t="str">
        <f t="shared" ref="AC6:AC24" si="7">IF(ISBLANK($A6),"",IF(K6=0, "Div/0 Error", ROUND((Q6-K6)/K6,2)))</f>
        <v/>
      </c>
      <c r="AD6" s="126" t="str">
        <f t="shared" ref="AD6:AD24" si="8">IF(ISBLANK($A6),"",IF(L6=0, "Div/0 Error", ROUND((R6-L6)/L6,2)))</f>
        <v/>
      </c>
      <c r="AE6" s="126" t="str">
        <f t="shared" ref="AE6:AE24" si="9">IF(ISBLANK($A6),"",IF(M6=0, "Div/0 Error", ROUND((S6-M6)/M6,2)))</f>
        <v/>
      </c>
      <c r="AF6" s="126" t="str">
        <f t="shared" ref="AF6:AF24" si="10">IF(ISBLANK($A6),"",IF(N6=0, "Div/0 Error", ROUND((T6-N6)/N6,2)))</f>
        <v/>
      </c>
      <c r="AH6" s="105"/>
      <c r="AI6" s="105"/>
    </row>
    <row r="7" spans="1:35">
      <c r="A7" s="63"/>
      <c r="B7" s="63"/>
      <c r="C7" s="63"/>
      <c r="D7" s="63"/>
      <c r="E7" s="63"/>
      <c r="F7" s="76" t="str">
        <f>IF(ISBLANK(B7),"",VLOOKUP(B7,'Vessel Type'!$C$3:$G$67,4,FALSE))</f>
        <v/>
      </c>
      <c r="G7" s="11" t="str">
        <f t="shared" si="0"/>
        <v/>
      </c>
      <c r="H7" s="112" t="str">
        <f>IF(ISBLANK(A7), "", VLOOKUP(A7, 'eGRID2018 Region'!$A$4:$J$32,10,FALSE))</f>
        <v/>
      </c>
      <c r="J7" s="132" t="str">
        <f>IF(ISBLANK(B7), "",  ROUND(VLOOKUP(C7,'Vessel Fuel Emission Factors'!$C$8:$J$22,2,FALSE)*$G7/1000000, 3))</f>
        <v/>
      </c>
      <c r="K7" s="132" t="str">
        <f>IF(ISBLANK(B7), "",  ROUND(VLOOKUP(C7,'Vessel Fuel Emission Factors'!$C$8:$J$22,3,FALSE)*$G7/1000000, 3))</f>
        <v/>
      </c>
      <c r="L7" s="132" t="str">
        <f>IF(ISBLANK(B7), "",  ROUND(VLOOKUP(C7,'Vessel Fuel Emission Factors'!$C$8:$J$22,6,FALSE)*$G7/1000000, 3))</f>
        <v/>
      </c>
      <c r="M7" s="11" t="str">
        <f>IF(ISBLANK(B7), "",  ROUND(VLOOKUP(C7,'Vessel Fuel Emission Factors'!$C$8:$J$22,4,FALSE)*$G7/1000000, 0))</f>
        <v/>
      </c>
      <c r="N7" s="11" t="str">
        <f>IF(ISBLANK(B7),"",ROUND(VLOOKUP(C7,'Vessel Fuel Emission Factors'!$C$8:$J$22,8,FALSE)*$G7/1000000,0))</f>
        <v/>
      </c>
      <c r="O7" s="66"/>
      <c r="P7" s="128" t="str">
        <f>IF(ISBLANK($A7), "", ROUND((VLOOKUP($A7, 'eGRID2018 Region'!$A$4:$J$32, 3, FALSE)*$G7/(1-$H7))/1000000, 3))</f>
        <v/>
      </c>
      <c r="Q7" s="128" t="str">
        <f>IF(ISBLANK($A7),"",ROUND((VLOOKUP($A7, 'eGRID2018 Region'!$A$4:$J$32, 4, FALSE)*$G7/(1-$H7))/1000000, 3))</f>
        <v/>
      </c>
      <c r="R7" s="128" t="str">
        <f>IF(ISBLANK($A7), "",ROUND((VLOOKUP($A7, 'eGRID2018 Region'!$A$4:$J$32, 9, FALSE)*$G7/(1-$H7))/1000000, 3))</f>
        <v/>
      </c>
      <c r="S7" s="65" t="str">
        <f>IF(ISBLANK($A7), "",ROUND((VLOOKUP($A7, 'eGRID2018 Region'!$A$4:$J$32, 5, FALSE)*$G7/(1-$H7))/1000000, 0))</f>
        <v/>
      </c>
      <c r="T7" s="65" t="str">
        <f>IF(ISBLANK($A7), "", ROUND((VLOOKUP($A7, 'eGRID2018 Region'!$A$4:$J$32, 8, FALSE)*$G7/(1-$H7))/1000000, 0))</f>
        <v/>
      </c>
      <c r="U7" s="80"/>
      <c r="V7" s="128" t="str">
        <f t="shared" si="1"/>
        <v/>
      </c>
      <c r="W7" s="128" t="str">
        <f t="shared" si="2"/>
        <v/>
      </c>
      <c r="X7" s="128" t="str">
        <f t="shared" si="3"/>
        <v/>
      </c>
      <c r="Y7" s="65" t="str">
        <f t="shared" si="4"/>
        <v/>
      </c>
      <c r="Z7" s="65" t="str">
        <f t="shared" si="5"/>
        <v/>
      </c>
      <c r="AA7" s="70"/>
      <c r="AB7" s="125" t="str">
        <f t="shared" si="6"/>
        <v/>
      </c>
      <c r="AC7" s="125" t="str">
        <f t="shared" si="7"/>
        <v/>
      </c>
      <c r="AD7" s="125" t="str">
        <f t="shared" si="8"/>
        <v/>
      </c>
      <c r="AE7" s="125" t="str">
        <f t="shared" si="9"/>
        <v/>
      </c>
      <c r="AF7" s="125" t="str">
        <f t="shared" si="10"/>
        <v/>
      </c>
      <c r="AH7" s="105"/>
      <c r="AI7" s="105"/>
    </row>
    <row r="8" spans="1:35">
      <c r="A8" s="64"/>
      <c r="B8" s="64"/>
      <c r="C8" s="64"/>
      <c r="D8" s="64"/>
      <c r="E8" s="64"/>
      <c r="F8" s="76" t="str">
        <f>IF(ISBLANK(B8),"",VLOOKUP(B8,'Vessel Type'!$C$3:$G$67,4,FALSE))</f>
        <v/>
      </c>
      <c r="G8" s="28" t="str">
        <f t="shared" si="0"/>
        <v/>
      </c>
      <c r="H8" s="113" t="str">
        <f>IF(ISBLANK(A8), "", VLOOKUP(A8, 'eGRID2018 Region'!$A$4:$J$32,10,FALSE))</f>
        <v/>
      </c>
      <c r="J8" s="133" t="str">
        <f>IF(ISBLANK(B8), "",  ROUND(VLOOKUP(C8,'Vessel Fuel Emission Factors'!$C$8:$J$22,2,FALSE)*$G8/1000000, 3))</f>
        <v/>
      </c>
      <c r="K8" s="133" t="str">
        <f>IF(ISBLANK(B8), "",  ROUND(VLOOKUP(C8,'Vessel Fuel Emission Factors'!$C$8:$J$22,3,FALSE)*$G8/1000000, 3))</f>
        <v/>
      </c>
      <c r="L8" s="133" t="str">
        <f>IF(ISBLANK(B8), "",  ROUND(VLOOKUP(C8,'Vessel Fuel Emission Factors'!$C$8:$J$22,6,FALSE)*$G8/1000000, 3))</f>
        <v/>
      </c>
      <c r="M8" s="28" t="str">
        <f>IF(ISBLANK(B8), "",  ROUND(VLOOKUP(C8,'Vessel Fuel Emission Factors'!$C$8:$J$22,4,FALSE)*$G8/1000000, 0))</f>
        <v/>
      </c>
      <c r="N8" s="28" t="str">
        <f>IF(ISBLANK(B8),"",ROUND(VLOOKUP(C8,'Vessel Fuel Emission Factors'!$C$8:$J$22,8,FALSE)*$G8/1000000,0))</f>
        <v/>
      </c>
      <c r="O8" s="66"/>
      <c r="P8" s="129" t="str">
        <f>IF(ISBLANK($A8), "", ROUND((VLOOKUP($A8, 'eGRID2018 Region'!$A$4:$J$32, 3, FALSE)*$G8/(1-$H8))/1000000, 3))</f>
        <v/>
      </c>
      <c r="Q8" s="129" t="str">
        <f>IF(ISBLANK($A8),"",ROUND((VLOOKUP($A8, 'eGRID2018 Region'!$A$4:$J$32, 4, FALSE)*$G8/(1-$H8))/1000000, 3))</f>
        <v/>
      </c>
      <c r="R8" s="129" t="str">
        <f>IF(ISBLANK($A8), "",ROUND((VLOOKUP($A8, 'eGRID2018 Region'!$A$4:$J$32, 9, FALSE)*$G8/(1-$H8))/1000000, 3))</f>
        <v/>
      </c>
      <c r="S8" s="67" t="str">
        <f>IF(ISBLANK($A8), "",ROUND((VLOOKUP($A8, 'eGRID2018 Region'!$A$4:$J$32, 5, FALSE)*$G8/(1-$H8))/1000000, 0))</f>
        <v/>
      </c>
      <c r="T8" s="67" t="str">
        <f>IF(ISBLANK($A8), "", ROUND((VLOOKUP($A8, 'eGRID2018 Region'!$A$4:$J$32, 8, FALSE)*$G8/(1-$H8))/1000000, 0))</f>
        <v/>
      </c>
      <c r="U8" s="80"/>
      <c r="V8" s="129" t="str">
        <f t="shared" si="1"/>
        <v/>
      </c>
      <c r="W8" s="129" t="str">
        <f t="shared" si="2"/>
        <v/>
      </c>
      <c r="X8" s="129" t="str">
        <f t="shared" si="3"/>
        <v/>
      </c>
      <c r="Y8" s="67" t="str">
        <f t="shared" si="4"/>
        <v/>
      </c>
      <c r="Z8" s="67" t="str">
        <f t="shared" si="5"/>
        <v/>
      </c>
      <c r="AA8" s="70"/>
      <c r="AB8" s="126" t="str">
        <f t="shared" si="6"/>
        <v/>
      </c>
      <c r="AC8" s="126" t="str">
        <f t="shared" si="7"/>
        <v/>
      </c>
      <c r="AD8" s="126" t="str">
        <f t="shared" si="8"/>
        <v/>
      </c>
      <c r="AE8" s="126" t="str">
        <f t="shared" si="9"/>
        <v/>
      </c>
      <c r="AF8" s="126" t="str">
        <f t="shared" si="10"/>
        <v/>
      </c>
      <c r="AH8" s="105"/>
      <c r="AI8" s="105"/>
    </row>
    <row r="9" spans="1:35">
      <c r="A9" s="63"/>
      <c r="B9" s="63"/>
      <c r="C9" s="63"/>
      <c r="D9" s="63"/>
      <c r="E9" s="63"/>
      <c r="F9" s="76" t="str">
        <f>IF(ISBLANK(B9),"",VLOOKUP(B9,'Vessel Type'!$C$3:$G$67,4,FALSE))</f>
        <v/>
      </c>
      <c r="G9" s="11" t="str">
        <f t="shared" si="0"/>
        <v/>
      </c>
      <c r="H9" s="112" t="str">
        <f>IF(ISBLANK(A9), "", VLOOKUP(A9, 'eGRID2018 Region'!$A$4:$J$32,10,FALSE))</f>
        <v/>
      </c>
      <c r="J9" s="132" t="str">
        <f>IF(ISBLANK(B9), "",  ROUND(VLOOKUP(C9,'Vessel Fuel Emission Factors'!$C$8:$J$22,2,FALSE)*$G9/1000000, 3))</f>
        <v/>
      </c>
      <c r="K9" s="132" t="str">
        <f>IF(ISBLANK(B9), "",  ROUND(VLOOKUP(C9,'Vessel Fuel Emission Factors'!$C$8:$J$22,3,FALSE)*$G9/1000000, 3))</f>
        <v/>
      </c>
      <c r="L9" s="132" t="str">
        <f>IF(ISBLANK(B9), "",  ROUND(VLOOKUP(C9,'Vessel Fuel Emission Factors'!$C$8:$J$22,6,FALSE)*$G9/1000000, 3))</f>
        <v/>
      </c>
      <c r="M9" s="11" t="str">
        <f>IF(ISBLANK(B9), "",  ROUND(VLOOKUP(C9,'Vessel Fuel Emission Factors'!$C$8:$J$22,4,FALSE)*$G9/1000000, 0))</f>
        <v/>
      </c>
      <c r="N9" s="11" t="str">
        <f>IF(ISBLANK(B9),"",ROUND(VLOOKUP(C9,'Vessel Fuel Emission Factors'!$C$8:$J$22,8,FALSE)*$G9/1000000,0))</f>
        <v/>
      </c>
      <c r="O9" s="66"/>
      <c r="P9" s="128" t="str">
        <f>IF(ISBLANK($A9), "", ROUND((VLOOKUP($A9, 'eGRID2018 Region'!$A$4:$J$32, 3, FALSE)*$G9/(1-$H9))/1000000, 3))</f>
        <v/>
      </c>
      <c r="Q9" s="128" t="str">
        <f>IF(ISBLANK($A9),"",ROUND((VLOOKUP($A9, 'eGRID2018 Region'!$A$4:$J$32, 4, FALSE)*$G9/(1-$H9))/1000000, 3))</f>
        <v/>
      </c>
      <c r="R9" s="128" t="str">
        <f>IF(ISBLANK($A9), "",ROUND((VLOOKUP($A9, 'eGRID2018 Region'!$A$4:$J$32, 9, FALSE)*$G9/(1-$H9))/1000000, 3))</f>
        <v/>
      </c>
      <c r="S9" s="65" t="str">
        <f>IF(ISBLANK($A9), "",ROUND((VLOOKUP($A9, 'eGRID2018 Region'!$A$4:$J$32, 5, FALSE)*$G9/(1-$H9))/1000000, 0))</f>
        <v/>
      </c>
      <c r="T9" s="65" t="str">
        <f>IF(ISBLANK($A9), "", ROUND((VLOOKUP($A9, 'eGRID2018 Region'!$A$4:$J$32, 8, FALSE)*$G9/(1-$H9))/1000000, 0))</f>
        <v/>
      </c>
      <c r="U9" s="80"/>
      <c r="V9" s="128" t="str">
        <f t="shared" si="1"/>
        <v/>
      </c>
      <c r="W9" s="128" t="str">
        <f t="shared" si="2"/>
        <v/>
      </c>
      <c r="X9" s="128" t="str">
        <f t="shared" si="3"/>
        <v/>
      </c>
      <c r="Y9" s="65" t="str">
        <f t="shared" si="4"/>
        <v/>
      </c>
      <c r="Z9" s="65" t="str">
        <f t="shared" si="5"/>
        <v/>
      </c>
      <c r="AA9" s="70"/>
      <c r="AB9" s="125" t="str">
        <f t="shared" si="6"/>
        <v/>
      </c>
      <c r="AC9" s="125" t="str">
        <f t="shared" si="7"/>
        <v/>
      </c>
      <c r="AD9" s="125" t="str">
        <f t="shared" si="8"/>
        <v/>
      </c>
      <c r="AE9" s="125" t="str">
        <f t="shared" si="9"/>
        <v/>
      </c>
      <c r="AF9" s="125" t="str">
        <f t="shared" si="10"/>
        <v/>
      </c>
      <c r="AH9" s="105"/>
      <c r="AI9" s="105"/>
    </row>
    <row r="10" spans="1:35">
      <c r="A10" s="64"/>
      <c r="B10" s="64"/>
      <c r="C10" s="64"/>
      <c r="D10" s="64"/>
      <c r="E10" s="64"/>
      <c r="F10" s="76" t="str">
        <f>IF(ISBLANK(B10),"",VLOOKUP(B10,'Vessel Type'!$C$3:$G$67,4,FALSE))</f>
        <v/>
      </c>
      <c r="G10" s="28" t="str">
        <f t="shared" si="0"/>
        <v/>
      </c>
      <c r="H10" s="113" t="str">
        <f>IF(ISBLANK(A10), "", VLOOKUP(A10, 'eGRID2018 Region'!$A$4:$J$32,10,FALSE))</f>
        <v/>
      </c>
      <c r="J10" s="133" t="str">
        <f>IF(ISBLANK(B10), "",  ROUND(VLOOKUP(C10,'Vessel Fuel Emission Factors'!$C$8:$J$22,2,FALSE)*$G10/1000000, 3))</f>
        <v/>
      </c>
      <c r="K10" s="133" t="str">
        <f>IF(ISBLANK(B10), "",  ROUND(VLOOKUP(C10,'Vessel Fuel Emission Factors'!$C$8:$J$22,3,FALSE)*$G10/1000000, 3))</f>
        <v/>
      </c>
      <c r="L10" s="133" t="str">
        <f>IF(ISBLANK(B10), "",  ROUND(VLOOKUP(C10,'Vessel Fuel Emission Factors'!$C$8:$J$22,6,FALSE)*$G10/1000000, 3))</f>
        <v/>
      </c>
      <c r="M10" s="28" t="str">
        <f>IF(ISBLANK(B10), "",  ROUND(VLOOKUP(C10,'Vessel Fuel Emission Factors'!$C$8:$J$22,4,FALSE)*$G10/1000000, 0))</f>
        <v/>
      </c>
      <c r="N10" s="28" t="str">
        <f>IF(ISBLANK(B10),"",ROUND(VLOOKUP(C10,'Vessel Fuel Emission Factors'!$C$8:$J$22,8,FALSE)*$G10/1000000,0))</f>
        <v/>
      </c>
      <c r="O10" s="66"/>
      <c r="P10" s="129" t="str">
        <f>IF(ISBLANK($A10), "", ROUND((VLOOKUP($A10, 'eGRID2018 Region'!$A$4:$J$32, 3, FALSE)*$G10/(1-$H10))/1000000, 3))</f>
        <v/>
      </c>
      <c r="Q10" s="129" t="str">
        <f>IF(ISBLANK($A10),"",ROUND((VLOOKUP($A10, 'eGRID2018 Region'!$A$4:$J$32, 4, FALSE)*$G10/(1-$H10))/1000000, 3))</f>
        <v/>
      </c>
      <c r="R10" s="129" t="str">
        <f>IF(ISBLANK($A10), "",ROUND((VLOOKUP($A10, 'eGRID2018 Region'!$A$4:$J$32, 9, FALSE)*$G10/(1-$H10))/1000000, 3))</f>
        <v/>
      </c>
      <c r="S10" s="67" t="str">
        <f>IF(ISBLANK($A10), "",ROUND((VLOOKUP($A10, 'eGRID2018 Region'!$A$4:$J$32, 5, FALSE)*$G10/(1-$H10))/1000000, 0))</f>
        <v/>
      </c>
      <c r="T10" s="67" t="str">
        <f>IF(ISBLANK($A10), "", ROUND((VLOOKUP($A10, 'eGRID2018 Region'!$A$4:$J$32, 8, FALSE)*$G10/(1-$H10))/1000000, 0))</f>
        <v/>
      </c>
      <c r="U10" s="80"/>
      <c r="V10" s="129" t="str">
        <f t="shared" si="1"/>
        <v/>
      </c>
      <c r="W10" s="129" t="str">
        <f t="shared" si="2"/>
        <v/>
      </c>
      <c r="X10" s="129" t="str">
        <f t="shared" si="3"/>
        <v/>
      </c>
      <c r="Y10" s="67" t="str">
        <f t="shared" si="4"/>
        <v/>
      </c>
      <c r="Z10" s="67" t="str">
        <f t="shared" si="5"/>
        <v/>
      </c>
      <c r="AA10" s="70"/>
      <c r="AB10" s="126" t="str">
        <f t="shared" si="6"/>
        <v/>
      </c>
      <c r="AC10" s="126" t="str">
        <f t="shared" si="7"/>
        <v/>
      </c>
      <c r="AD10" s="126" t="str">
        <f t="shared" si="8"/>
        <v/>
      </c>
      <c r="AE10" s="126" t="str">
        <f t="shared" si="9"/>
        <v/>
      </c>
      <c r="AF10" s="126" t="str">
        <f t="shared" si="10"/>
        <v/>
      </c>
      <c r="AH10" s="105"/>
      <c r="AI10" s="105"/>
    </row>
    <row r="11" spans="1:35">
      <c r="A11" s="63"/>
      <c r="B11" s="63"/>
      <c r="C11" s="63"/>
      <c r="D11" s="63"/>
      <c r="E11" s="63"/>
      <c r="F11" s="76" t="str">
        <f>IF(ISBLANK(B11),"",VLOOKUP(B11,'Vessel Type'!$C$3:$G$67,4,FALSE))</f>
        <v/>
      </c>
      <c r="G11" s="11" t="str">
        <f t="shared" si="0"/>
        <v/>
      </c>
      <c r="H11" s="112" t="str">
        <f>IF(ISBLANK(A11), "", VLOOKUP(A11, 'eGRID2018 Region'!$A$4:$J$32,10,FALSE))</f>
        <v/>
      </c>
      <c r="J11" s="132" t="str">
        <f>IF(ISBLANK(B11), "",  ROUND(VLOOKUP(C11,'Vessel Fuel Emission Factors'!$C$8:$J$22,2,FALSE)*$G11/1000000, 3))</f>
        <v/>
      </c>
      <c r="K11" s="132" t="str">
        <f>IF(ISBLANK(B11), "",  ROUND(VLOOKUP(C11,'Vessel Fuel Emission Factors'!$C$8:$J$22,3,FALSE)*$G11/1000000, 3))</f>
        <v/>
      </c>
      <c r="L11" s="132" t="str">
        <f>IF(ISBLANK(B11), "",  ROUND(VLOOKUP(C11,'Vessel Fuel Emission Factors'!$C$8:$J$22,6,FALSE)*$G11/1000000, 3))</f>
        <v/>
      </c>
      <c r="M11" s="11" t="str">
        <f>IF(ISBLANK(B11), "",  ROUND(VLOOKUP(C11,'Vessel Fuel Emission Factors'!$C$8:$J$22,4,FALSE)*$G11/1000000, 0))</f>
        <v/>
      </c>
      <c r="N11" s="11" t="str">
        <f>IF(ISBLANK(B11),"",ROUND(VLOOKUP(C11,'Vessel Fuel Emission Factors'!$C$8:$J$22,8,FALSE)*$G11/1000000,0))</f>
        <v/>
      </c>
      <c r="O11" s="66"/>
      <c r="P11" s="128" t="str">
        <f>IF(ISBLANK($A11), "", ROUND((VLOOKUP($A11, 'eGRID2018 Region'!$A$4:$J$32, 3, FALSE)*$G11/(1-$H11))/1000000, 3))</f>
        <v/>
      </c>
      <c r="Q11" s="128" t="str">
        <f>IF(ISBLANK($A11),"",ROUND((VLOOKUP($A11, 'eGRID2018 Region'!$A$4:$J$32, 4, FALSE)*$G11/(1-$H11))/1000000, 3))</f>
        <v/>
      </c>
      <c r="R11" s="128" t="str">
        <f>IF(ISBLANK($A11), "",ROUND((VLOOKUP($A11, 'eGRID2018 Region'!$A$4:$J$32, 9, FALSE)*$G11/(1-$H11))/1000000, 3))</f>
        <v/>
      </c>
      <c r="S11" s="65" t="str">
        <f>IF(ISBLANK($A11), "",ROUND((VLOOKUP($A11, 'eGRID2018 Region'!$A$4:$J$32, 5, FALSE)*$G11/(1-$H11))/1000000, 0))</f>
        <v/>
      </c>
      <c r="T11" s="65" t="str">
        <f>IF(ISBLANK($A11), "", ROUND((VLOOKUP($A11, 'eGRID2018 Region'!$A$4:$J$32, 8, FALSE)*$G11/(1-$H11))/1000000, 0))</f>
        <v/>
      </c>
      <c r="U11" s="80"/>
      <c r="V11" s="128" t="str">
        <f t="shared" si="1"/>
        <v/>
      </c>
      <c r="W11" s="128" t="str">
        <f t="shared" si="2"/>
        <v/>
      </c>
      <c r="X11" s="128" t="str">
        <f t="shared" si="3"/>
        <v/>
      </c>
      <c r="Y11" s="65" t="str">
        <f t="shared" si="4"/>
        <v/>
      </c>
      <c r="Z11" s="65" t="str">
        <f t="shared" si="5"/>
        <v/>
      </c>
      <c r="AA11" s="70"/>
      <c r="AB11" s="125" t="str">
        <f t="shared" si="6"/>
        <v/>
      </c>
      <c r="AC11" s="125" t="str">
        <f t="shared" si="7"/>
        <v/>
      </c>
      <c r="AD11" s="125" t="str">
        <f t="shared" si="8"/>
        <v/>
      </c>
      <c r="AE11" s="125" t="str">
        <f t="shared" si="9"/>
        <v/>
      </c>
      <c r="AF11" s="125" t="str">
        <f t="shared" si="10"/>
        <v/>
      </c>
      <c r="AH11" s="105"/>
      <c r="AI11" s="105"/>
    </row>
    <row r="12" spans="1:35">
      <c r="A12" s="64"/>
      <c r="B12" s="64"/>
      <c r="C12" s="64"/>
      <c r="D12" s="64"/>
      <c r="E12" s="64"/>
      <c r="F12" s="76" t="str">
        <f>IF(ISBLANK(B12),"",VLOOKUP(B12,'Vessel Type'!$C$3:$G$67,4,FALSE))</f>
        <v/>
      </c>
      <c r="G12" s="28" t="str">
        <f t="shared" si="0"/>
        <v/>
      </c>
      <c r="H12" s="113" t="str">
        <f>IF(ISBLANK(A12), "", VLOOKUP(A12, 'eGRID2018 Region'!$A$4:$J$32,10,FALSE))</f>
        <v/>
      </c>
      <c r="J12" s="133" t="str">
        <f>IF(ISBLANK(B12), "",  ROUND(VLOOKUP(C12,'Vessel Fuel Emission Factors'!$C$8:$J$22,2,FALSE)*$G12/1000000, 3))</f>
        <v/>
      </c>
      <c r="K12" s="133" t="str">
        <f>IF(ISBLANK(B12), "",  ROUND(VLOOKUP(C12,'Vessel Fuel Emission Factors'!$C$8:$J$22,3,FALSE)*$G12/1000000, 3))</f>
        <v/>
      </c>
      <c r="L12" s="133" t="str">
        <f>IF(ISBLANK(B12), "",  ROUND(VLOOKUP(C12,'Vessel Fuel Emission Factors'!$C$8:$J$22,6,FALSE)*$G12/1000000, 3))</f>
        <v/>
      </c>
      <c r="M12" s="28" t="str">
        <f>IF(ISBLANK(B12), "",  ROUND(VLOOKUP(C12,'Vessel Fuel Emission Factors'!$C$8:$J$22,4,FALSE)*$G12/1000000, 0))</f>
        <v/>
      </c>
      <c r="N12" s="28" t="str">
        <f>IF(ISBLANK(B12),"",ROUND(VLOOKUP(C12,'Vessel Fuel Emission Factors'!$C$8:$J$22,8,FALSE)*$G12/1000000,0))</f>
        <v/>
      </c>
      <c r="O12" s="66"/>
      <c r="P12" s="129" t="str">
        <f>IF(ISBLANK($A12), "", ROUND((VLOOKUP($A12, 'eGRID2018 Region'!$A$4:$J$32, 3, FALSE)*$G12/(1-$H12))/1000000, 3))</f>
        <v/>
      </c>
      <c r="Q12" s="129" t="str">
        <f>IF(ISBLANK($A12),"",ROUND((VLOOKUP($A12, 'eGRID2018 Region'!$A$4:$J$32, 4, FALSE)*$G12/(1-$H12))/1000000, 3))</f>
        <v/>
      </c>
      <c r="R12" s="129" t="str">
        <f>IF(ISBLANK($A12), "",ROUND((VLOOKUP($A12, 'eGRID2018 Region'!$A$4:$J$32, 9, FALSE)*$G12/(1-$H12))/1000000, 3))</f>
        <v/>
      </c>
      <c r="S12" s="67" t="str">
        <f>IF(ISBLANK($A12), "",ROUND((VLOOKUP($A12, 'eGRID2018 Region'!$A$4:$J$32, 5, FALSE)*$G12/(1-$H12))/1000000, 0))</f>
        <v/>
      </c>
      <c r="T12" s="67" t="str">
        <f>IF(ISBLANK($A12), "", ROUND((VLOOKUP($A12, 'eGRID2018 Region'!$A$4:$J$32, 8, FALSE)*$G12/(1-$H12))/1000000, 0))</f>
        <v/>
      </c>
      <c r="U12" s="80"/>
      <c r="V12" s="129" t="str">
        <f t="shared" si="1"/>
        <v/>
      </c>
      <c r="W12" s="129" t="str">
        <f t="shared" si="2"/>
        <v/>
      </c>
      <c r="X12" s="129" t="str">
        <f t="shared" si="3"/>
        <v/>
      </c>
      <c r="Y12" s="67" t="str">
        <f t="shared" si="4"/>
        <v/>
      </c>
      <c r="Z12" s="67" t="str">
        <f t="shared" si="5"/>
        <v/>
      </c>
      <c r="AA12" s="70"/>
      <c r="AB12" s="126" t="str">
        <f t="shared" si="6"/>
        <v/>
      </c>
      <c r="AC12" s="126" t="str">
        <f t="shared" si="7"/>
        <v/>
      </c>
      <c r="AD12" s="126" t="str">
        <f t="shared" si="8"/>
        <v/>
      </c>
      <c r="AE12" s="126" t="str">
        <f t="shared" si="9"/>
        <v/>
      </c>
      <c r="AF12" s="126" t="str">
        <f t="shared" si="10"/>
        <v/>
      </c>
      <c r="AH12" s="105"/>
      <c r="AI12" s="105"/>
    </row>
    <row r="13" spans="1:35">
      <c r="A13" s="63"/>
      <c r="B13" s="63"/>
      <c r="C13" s="63"/>
      <c r="D13" s="63"/>
      <c r="E13" s="63"/>
      <c r="F13" s="76" t="str">
        <f>IF(ISBLANK(B13),"",VLOOKUP(B13,'Vessel Type'!$C$3:$G$67,4,FALSE))</f>
        <v/>
      </c>
      <c r="G13" s="11" t="str">
        <f t="shared" si="0"/>
        <v/>
      </c>
      <c r="H13" s="112" t="str">
        <f>IF(ISBLANK(A13), "", VLOOKUP(A13, 'eGRID2018 Region'!$A$4:$J$32,10,FALSE))</f>
        <v/>
      </c>
      <c r="J13" s="132" t="str">
        <f>IF(ISBLANK(B13), "",  ROUND(VLOOKUP(C13,'Vessel Fuel Emission Factors'!$C$8:$J$22,2,FALSE)*$G13/1000000, 3))</f>
        <v/>
      </c>
      <c r="K13" s="132" t="str">
        <f>IF(ISBLANK(B13), "",  ROUND(VLOOKUP(C13,'Vessel Fuel Emission Factors'!$C$8:$J$22,3,FALSE)*$G13/1000000, 3))</f>
        <v/>
      </c>
      <c r="L13" s="132" t="str">
        <f>IF(ISBLANK(B13), "",  ROUND(VLOOKUP(C13,'Vessel Fuel Emission Factors'!$C$8:$J$22,6,FALSE)*$G13/1000000, 3))</f>
        <v/>
      </c>
      <c r="M13" s="11" t="str">
        <f>IF(ISBLANK(B13), "",  ROUND(VLOOKUP(C13,'Vessel Fuel Emission Factors'!$C$8:$J$22,4,FALSE)*$G13/1000000, 0))</f>
        <v/>
      </c>
      <c r="N13" s="11" t="str">
        <f>IF(ISBLANK(B13),"",ROUND(VLOOKUP(C13,'Vessel Fuel Emission Factors'!$C$8:$J$22,8,FALSE)*$G13/1000000,0))</f>
        <v/>
      </c>
      <c r="O13" s="66"/>
      <c r="P13" s="128" t="str">
        <f>IF(ISBLANK($A13), "", ROUND((VLOOKUP($A13, 'eGRID2018 Region'!$A$4:$J$32, 3, FALSE)*$G13/(1-$H13))/1000000, 3))</f>
        <v/>
      </c>
      <c r="Q13" s="128" t="str">
        <f>IF(ISBLANK($A13),"",ROUND((VLOOKUP($A13, 'eGRID2018 Region'!$A$4:$J$32, 4, FALSE)*$G13/(1-$H13))/1000000, 3))</f>
        <v/>
      </c>
      <c r="R13" s="128" t="str">
        <f>IF(ISBLANK($A13), "",ROUND((VLOOKUP($A13, 'eGRID2018 Region'!$A$4:$J$32, 9, FALSE)*$G13/(1-$H13))/1000000, 3))</f>
        <v/>
      </c>
      <c r="S13" s="65" t="str">
        <f>IF(ISBLANK($A13), "",ROUND((VLOOKUP($A13, 'eGRID2018 Region'!$A$4:$J$32, 5, FALSE)*$G13/(1-$H13))/1000000, 0))</f>
        <v/>
      </c>
      <c r="T13" s="65" t="str">
        <f>IF(ISBLANK($A13), "", ROUND((VLOOKUP($A13, 'eGRID2018 Region'!$A$4:$J$32, 8, FALSE)*$G13/(1-$H13))/1000000, 0))</f>
        <v/>
      </c>
      <c r="U13" s="80"/>
      <c r="V13" s="128" t="str">
        <f t="shared" si="1"/>
        <v/>
      </c>
      <c r="W13" s="128" t="str">
        <f t="shared" si="2"/>
        <v/>
      </c>
      <c r="X13" s="128" t="str">
        <f t="shared" si="3"/>
        <v/>
      </c>
      <c r="Y13" s="65" t="str">
        <f t="shared" si="4"/>
        <v/>
      </c>
      <c r="Z13" s="65" t="str">
        <f t="shared" si="5"/>
        <v/>
      </c>
      <c r="AA13" s="70"/>
      <c r="AB13" s="125" t="str">
        <f t="shared" si="6"/>
        <v/>
      </c>
      <c r="AC13" s="125" t="str">
        <f t="shared" si="7"/>
        <v/>
      </c>
      <c r="AD13" s="125" t="str">
        <f t="shared" si="8"/>
        <v/>
      </c>
      <c r="AE13" s="125" t="str">
        <f t="shared" si="9"/>
        <v/>
      </c>
      <c r="AF13" s="125" t="str">
        <f t="shared" si="10"/>
        <v/>
      </c>
      <c r="AH13" s="105"/>
      <c r="AI13" s="105"/>
    </row>
    <row r="14" spans="1:35">
      <c r="A14" s="64"/>
      <c r="B14" s="64"/>
      <c r="C14" s="64"/>
      <c r="D14" s="64"/>
      <c r="E14" s="64"/>
      <c r="F14" s="76" t="str">
        <f>IF(ISBLANK(B14),"",VLOOKUP(B14,'Vessel Type'!$C$3:$G$67,4,FALSE))</f>
        <v/>
      </c>
      <c r="G14" s="28" t="str">
        <f t="shared" si="0"/>
        <v/>
      </c>
      <c r="H14" s="113" t="str">
        <f>IF(ISBLANK(A14), "", VLOOKUP(A14, 'eGRID2018 Region'!$A$4:$J$32,10,FALSE))</f>
        <v/>
      </c>
      <c r="J14" s="133" t="str">
        <f>IF(ISBLANK(B14), "",  ROUND(VLOOKUP(C14,'Vessel Fuel Emission Factors'!$C$8:$J$22,2,FALSE)*$G14/1000000, 3))</f>
        <v/>
      </c>
      <c r="K14" s="133" t="str">
        <f>IF(ISBLANK(B14), "",  ROUND(VLOOKUP(C14,'Vessel Fuel Emission Factors'!$C$8:$J$22,3,FALSE)*$G14/1000000, 3))</f>
        <v/>
      </c>
      <c r="L14" s="133" t="str">
        <f>IF(ISBLANK(B14), "",  ROUND(VLOOKUP(C14,'Vessel Fuel Emission Factors'!$C$8:$J$22,6,FALSE)*$G14/1000000, 3))</f>
        <v/>
      </c>
      <c r="M14" s="28" t="str">
        <f>IF(ISBLANK(B14), "",  ROUND(VLOOKUP(C14,'Vessel Fuel Emission Factors'!$C$8:$J$22,4,FALSE)*$G14/1000000, 0))</f>
        <v/>
      </c>
      <c r="N14" s="28" t="str">
        <f>IF(ISBLANK(B14),"",ROUND(VLOOKUP(C14,'Vessel Fuel Emission Factors'!$C$8:$J$22,8,FALSE)*$G14/1000000,0))</f>
        <v/>
      </c>
      <c r="O14" s="66"/>
      <c r="P14" s="129" t="str">
        <f>IF(ISBLANK($A14), "", ROUND((VLOOKUP($A14, 'eGRID2018 Region'!$A$4:$J$32, 3, FALSE)*$G14/(1-$H14))/1000000, 3))</f>
        <v/>
      </c>
      <c r="Q14" s="129" t="str">
        <f>IF(ISBLANK($A14),"",ROUND((VLOOKUP($A14, 'eGRID2018 Region'!$A$4:$J$32, 4, FALSE)*$G14/(1-$H14))/1000000, 3))</f>
        <v/>
      </c>
      <c r="R14" s="129" t="str">
        <f>IF(ISBLANK($A14), "",ROUND((VLOOKUP($A14, 'eGRID2018 Region'!$A$4:$J$32, 9, FALSE)*$G14/(1-$H14))/1000000, 3))</f>
        <v/>
      </c>
      <c r="S14" s="67" t="str">
        <f>IF(ISBLANK($A14), "",ROUND((VLOOKUP($A14, 'eGRID2018 Region'!$A$4:$J$32, 5, FALSE)*$G14/(1-$H14))/1000000, 0))</f>
        <v/>
      </c>
      <c r="T14" s="67" t="str">
        <f>IF(ISBLANK($A14), "", ROUND((VLOOKUP($A14, 'eGRID2018 Region'!$A$4:$J$32, 8, FALSE)*$G14/(1-$H14))/1000000, 0))</f>
        <v/>
      </c>
      <c r="U14" s="80"/>
      <c r="V14" s="129" t="str">
        <f t="shared" si="1"/>
        <v/>
      </c>
      <c r="W14" s="129" t="str">
        <f t="shared" si="2"/>
        <v/>
      </c>
      <c r="X14" s="129" t="str">
        <f t="shared" si="3"/>
        <v/>
      </c>
      <c r="Y14" s="67" t="str">
        <f t="shared" si="4"/>
        <v/>
      </c>
      <c r="Z14" s="67" t="str">
        <f t="shared" si="5"/>
        <v/>
      </c>
      <c r="AA14" s="70"/>
      <c r="AB14" s="126" t="str">
        <f t="shared" si="6"/>
        <v/>
      </c>
      <c r="AC14" s="126" t="str">
        <f t="shared" si="7"/>
        <v/>
      </c>
      <c r="AD14" s="126" t="str">
        <f t="shared" si="8"/>
        <v/>
      </c>
      <c r="AE14" s="126" t="str">
        <f t="shared" si="9"/>
        <v/>
      </c>
      <c r="AF14" s="126" t="str">
        <f t="shared" si="10"/>
        <v/>
      </c>
      <c r="AH14" s="105"/>
      <c r="AI14" s="105"/>
    </row>
    <row r="15" spans="1:35">
      <c r="A15" s="63"/>
      <c r="B15" s="63"/>
      <c r="C15" s="63"/>
      <c r="D15" s="63"/>
      <c r="E15" s="63"/>
      <c r="F15" s="76" t="str">
        <f>IF(ISBLANK(B15),"",VLOOKUP(B15,'Vessel Type'!$C$3:$G$67,4,FALSE))</f>
        <v/>
      </c>
      <c r="G15" s="11" t="str">
        <f t="shared" si="0"/>
        <v/>
      </c>
      <c r="H15" s="112" t="str">
        <f>IF(ISBLANK(A15), "", VLOOKUP(A15, 'eGRID2018 Region'!$A$4:$J$32,10,FALSE))</f>
        <v/>
      </c>
      <c r="J15" s="132" t="str">
        <f>IF(ISBLANK(B15), "",  ROUND(VLOOKUP(C15,'Vessel Fuel Emission Factors'!$C$8:$J$22,2,FALSE)*$G15/1000000, 3))</f>
        <v/>
      </c>
      <c r="K15" s="132" t="str">
        <f>IF(ISBLANK(B15), "",  ROUND(VLOOKUP(C15,'Vessel Fuel Emission Factors'!$C$8:$J$22,3,FALSE)*$G15/1000000, 3))</f>
        <v/>
      </c>
      <c r="L15" s="132" t="str">
        <f>IF(ISBLANK(B15), "",  ROUND(VLOOKUP(C15,'Vessel Fuel Emission Factors'!$C$8:$J$22,6,FALSE)*$G15/1000000, 3))</f>
        <v/>
      </c>
      <c r="M15" s="11" t="str">
        <f>IF(ISBLANK(B15), "",  ROUND(VLOOKUP(C15,'Vessel Fuel Emission Factors'!$C$8:$J$22,4,FALSE)*$G15/1000000, 0))</f>
        <v/>
      </c>
      <c r="N15" s="11" t="str">
        <f>IF(ISBLANK(B15),"",ROUND(VLOOKUP(C15,'Vessel Fuel Emission Factors'!$C$8:$J$22,8,FALSE)*$G15/1000000,0))</f>
        <v/>
      </c>
      <c r="O15" s="66"/>
      <c r="P15" s="128" t="str">
        <f>IF(ISBLANK($A15), "", ROUND((VLOOKUP($A15, 'eGRID2018 Region'!$A$4:$J$32, 3, FALSE)*$G15/(1-$H15))/1000000, 3))</f>
        <v/>
      </c>
      <c r="Q15" s="128" t="str">
        <f>IF(ISBLANK($A15),"",ROUND((VLOOKUP($A15, 'eGRID2018 Region'!$A$4:$J$32, 4, FALSE)*$G15/(1-$H15))/1000000, 3))</f>
        <v/>
      </c>
      <c r="R15" s="128" t="str">
        <f>IF(ISBLANK($A15), "",ROUND((VLOOKUP($A15, 'eGRID2018 Region'!$A$4:$J$32, 9, FALSE)*$G15/(1-$H15))/1000000, 3))</f>
        <v/>
      </c>
      <c r="S15" s="65" t="str">
        <f>IF(ISBLANK($A15), "",ROUND((VLOOKUP($A15, 'eGRID2018 Region'!$A$4:$J$32, 5, FALSE)*$G15/(1-$H15))/1000000, 0))</f>
        <v/>
      </c>
      <c r="T15" s="65" t="str">
        <f>IF(ISBLANK($A15), "", ROUND((VLOOKUP($A15, 'eGRID2018 Region'!$A$4:$J$32, 8, FALSE)*$G15/(1-$H15))/1000000, 0))</f>
        <v/>
      </c>
      <c r="U15" s="80"/>
      <c r="V15" s="128" t="str">
        <f t="shared" si="1"/>
        <v/>
      </c>
      <c r="W15" s="128" t="str">
        <f t="shared" si="2"/>
        <v/>
      </c>
      <c r="X15" s="128" t="str">
        <f t="shared" si="3"/>
        <v/>
      </c>
      <c r="Y15" s="65" t="str">
        <f t="shared" si="4"/>
        <v/>
      </c>
      <c r="Z15" s="65" t="str">
        <f t="shared" si="5"/>
        <v/>
      </c>
      <c r="AA15" s="70"/>
      <c r="AB15" s="125" t="str">
        <f t="shared" si="6"/>
        <v/>
      </c>
      <c r="AC15" s="125" t="str">
        <f t="shared" si="7"/>
        <v/>
      </c>
      <c r="AD15" s="125" t="str">
        <f t="shared" si="8"/>
        <v/>
      </c>
      <c r="AE15" s="125" t="str">
        <f t="shared" si="9"/>
        <v/>
      </c>
      <c r="AF15" s="125" t="str">
        <f t="shared" si="10"/>
        <v/>
      </c>
      <c r="AH15" s="105"/>
      <c r="AI15" s="105"/>
    </row>
    <row r="16" spans="1:35">
      <c r="A16" s="64"/>
      <c r="B16" s="64"/>
      <c r="C16" s="64"/>
      <c r="D16" s="64"/>
      <c r="E16" s="64"/>
      <c r="F16" s="76" t="str">
        <f>IF(ISBLANK(B16),"",VLOOKUP(B16,'Vessel Type'!$C$3:$G$67,4,FALSE))</f>
        <v/>
      </c>
      <c r="G16" s="28" t="str">
        <f t="shared" si="0"/>
        <v/>
      </c>
      <c r="H16" s="113" t="str">
        <f>IF(ISBLANK(A16), "", VLOOKUP(A16, 'eGRID2018 Region'!$A$4:$J$32,10,FALSE))</f>
        <v/>
      </c>
      <c r="J16" s="133" t="str">
        <f>IF(ISBLANK(B16), "",  ROUND(VLOOKUP(C16,'Vessel Fuel Emission Factors'!$C$8:$J$22,2,FALSE)*$G16/1000000, 3))</f>
        <v/>
      </c>
      <c r="K16" s="133" t="str">
        <f>IF(ISBLANK(B16), "",  ROUND(VLOOKUP(C16,'Vessel Fuel Emission Factors'!$C$8:$J$22,3,FALSE)*$G16/1000000, 3))</f>
        <v/>
      </c>
      <c r="L16" s="133" t="str">
        <f>IF(ISBLANK(B16), "",  ROUND(VLOOKUP(C16,'Vessel Fuel Emission Factors'!$C$8:$J$22,6,FALSE)*$G16/1000000, 3))</f>
        <v/>
      </c>
      <c r="M16" s="28" t="str">
        <f>IF(ISBLANK(B16), "",  ROUND(VLOOKUP(C16,'Vessel Fuel Emission Factors'!$C$8:$J$22,4,FALSE)*$G16/1000000, 0))</f>
        <v/>
      </c>
      <c r="N16" s="28" t="str">
        <f>IF(ISBLANK(B16),"",ROUND(VLOOKUP(C16,'Vessel Fuel Emission Factors'!$C$8:$J$22,8,FALSE)*$G16/1000000,0))</f>
        <v/>
      </c>
      <c r="O16" s="66"/>
      <c r="P16" s="129" t="str">
        <f>IF(ISBLANK($A16), "", ROUND((VLOOKUP($A16, 'eGRID2018 Region'!$A$4:$J$32, 3, FALSE)*$G16/(1-$H16))/1000000, 3))</f>
        <v/>
      </c>
      <c r="Q16" s="129" t="str">
        <f>IF(ISBLANK($A16),"",ROUND((VLOOKUP($A16, 'eGRID2018 Region'!$A$4:$J$32, 4, FALSE)*$G16/(1-$H16))/1000000, 3))</f>
        <v/>
      </c>
      <c r="R16" s="129" t="str">
        <f>IF(ISBLANK($A16), "",ROUND((VLOOKUP($A16, 'eGRID2018 Region'!$A$4:$J$32, 9, FALSE)*$G16/(1-$H16))/1000000, 3))</f>
        <v/>
      </c>
      <c r="S16" s="67" t="str">
        <f>IF(ISBLANK($A16), "",ROUND((VLOOKUP($A16, 'eGRID2018 Region'!$A$4:$J$32, 5, FALSE)*$G16/(1-$H16))/1000000, 0))</f>
        <v/>
      </c>
      <c r="T16" s="67" t="str">
        <f>IF(ISBLANK($A16), "", ROUND((VLOOKUP($A16, 'eGRID2018 Region'!$A$4:$J$32, 8, FALSE)*$G16/(1-$H16))/1000000, 0))</f>
        <v/>
      </c>
      <c r="U16" s="80"/>
      <c r="V16" s="129" t="str">
        <f t="shared" si="1"/>
        <v/>
      </c>
      <c r="W16" s="129" t="str">
        <f t="shared" si="2"/>
        <v/>
      </c>
      <c r="X16" s="129" t="str">
        <f t="shared" si="3"/>
        <v/>
      </c>
      <c r="Y16" s="67" t="str">
        <f t="shared" si="4"/>
        <v/>
      </c>
      <c r="Z16" s="67" t="str">
        <f t="shared" si="5"/>
        <v/>
      </c>
      <c r="AA16" s="70"/>
      <c r="AB16" s="126" t="str">
        <f t="shared" si="6"/>
        <v/>
      </c>
      <c r="AC16" s="126" t="str">
        <f t="shared" si="7"/>
        <v/>
      </c>
      <c r="AD16" s="126" t="str">
        <f t="shared" si="8"/>
        <v/>
      </c>
      <c r="AE16" s="126" t="str">
        <f t="shared" si="9"/>
        <v/>
      </c>
      <c r="AF16" s="126" t="str">
        <f t="shared" si="10"/>
        <v/>
      </c>
      <c r="AH16" s="105"/>
      <c r="AI16" s="105"/>
    </row>
    <row r="17" spans="1:35">
      <c r="A17" s="63"/>
      <c r="B17" s="63"/>
      <c r="C17" s="63"/>
      <c r="D17" s="63"/>
      <c r="E17" s="63"/>
      <c r="F17" s="76" t="str">
        <f>IF(ISBLANK(B17),"",VLOOKUP(B17,'Vessel Type'!$C$3:$G$67,4,FALSE))</f>
        <v/>
      </c>
      <c r="G17" s="11" t="str">
        <f t="shared" si="0"/>
        <v/>
      </c>
      <c r="H17" s="112" t="str">
        <f>IF(ISBLANK(A17), "", VLOOKUP(A17, 'eGRID2018 Region'!$A$4:$J$32,10,FALSE))</f>
        <v/>
      </c>
      <c r="J17" s="132" t="str">
        <f>IF(ISBLANK(B17), "",  ROUND(VLOOKUP(C17,'Vessel Fuel Emission Factors'!$C$8:$J$22,2,FALSE)*$G17/1000000, 3))</f>
        <v/>
      </c>
      <c r="K17" s="132" t="str">
        <f>IF(ISBLANK(B17), "",  ROUND(VLOOKUP(C17,'Vessel Fuel Emission Factors'!$C$8:$J$22,3,FALSE)*$G17/1000000, 3))</f>
        <v/>
      </c>
      <c r="L17" s="132" t="str">
        <f>IF(ISBLANK(B17), "",  ROUND(VLOOKUP(C17,'Vessel Fuel Emission Factors'!$C$8:$J$22,6,FALSE)*$G17/1000000, 3))</f>
        <v/>
      </c>
      <c r="M17" s="11" t="str">
        <f>IF(ISBLANK(B17), "",  ROUND(VLOOKUP(C17,'Vessel Fuel Emission Factors'!$C$8:$J$22,4,FALSE)*$G17/1000000, 0))</f>
        <v/>
      </c>
      <c r="N17" s="11" t="str">
        <f>IF(ISBLANK(B17),"",ROUND(VLOOKUP(C17,'Vessel Fuel Emission Factors'!$C$8:$J$22,8,FALSE)*$G17/1000000,0))</f>
        <v/>
      </c>
      <c r="O17" s="66"/>
      <c r="P17" s="128" t="str">
        <f>IF(ISBLANK($A17), "", ROUND((VLOOKUP($A17, 'eGRID2018 Region'!$A$4:$J$32, 3, FALSE)*$G17/(1-$H17))/1000000, 3))</f>
        <v/>
      </c>
      <c r="Q17" s="128" t="str">
        <f>IF(ISBLANK($A17),"",ROUND((VLOOKUP($A17, 'eGRID2018 Region'!$A$4:$J$32, 4, FALSE)*$G17/(1-$H17))/1000000, 3))</f>
        <v/>
      </c>
      <c r="R17" s="128" t="str">
        <f>IF(ISBLANK($A17), "",ROUND((VLOOKUP($A17, 'eGRID2018 Region'!$A$4:$J$32, 9, FALSE)*$G17/(1-$H17))/1000000, 3))</f>
        <v/>
      </c>
      <c r="S17" s="65" t="str">
        <f>IF(ISBLANK($A17), "",ROUND((VLOOKUP($A17, 'eGRID2018 Region'!$A$4:$J$32, 5, FALSE)*$G17/(1-$H17))/1000000, 0))</f>
        <v/>
      </c>
      <c r="T17" s="65" t="str">
        <f>IF(ISBLANK($A17), "", ROUND((VLOOKUP($A17, 'eGRID2018 Region'!$A$4:$J$32, 8, FALSE)*$G17/(1-$H17))/1000000, 0))</f>
        <v/>
      </c>
      <c r="U17" s="80"/>
      <c r="V17" s="128" t="str">
        <f t="shared" si="1"/>
        <v/>
      </c>
      <c r="W17" s="128" t="str">
        <f t="shared" si="2"/>
        <v/>
      </c>
      <c r="X17" s="128" t="str">
        <f t="shared" si="3"/>
        <v/>
      </c>
      <c r="Y17" s="65" t="str">
        <f t="shared" si="4"/>
        <v/>
      </c>
      <c r="Z17" s="65" t="str">
        <f t="shared" si="5"/>
        <v/>
      </c>
      <c r="AA17" s="70"/>
      <c r="AB17" s="125" t="str">
        <f t="shared" si="6"/>
        <v/>
      </c>
      <c r="AC17" s="125" t="str">
        <f t="shared" si="7"/>
        <v/>
      </c>
      <c r="AD17" s="125" t="str">
        <f t="shared" si="8"/>
        <v/>
      </c>
      <c r="AE17" s="125" t="str">
        <f t="shared" si="9"/>
        <v/>
      </c>
      <c r="AF17" s="125" t="str">
        <f t="shared" si="10"/>
        <v/>
      </c>
      <c r="AH17" s="105"/>
      <c r="AI17" s="105"/>
    </row>
    <row r="18" spans="1:35">
      <c r="A18" s="64"/>
      <c r="B18" s="64"/>
      <c r="C18" s="64"/>
      <c r="D18" s="64"/>
      <c r="E18" s="64"/>
      <c r="F18" s="76" t="str">
        <f>IF(ISBLANK(B18),"",VLOOKUP(B18,'Vessel Type'!$C$3:$G$67,4,FALSE))</f>
        <v/>
      </c>
      <c r="G18" s="28" t="str">
        <f t="shared" si="0"/>
        <v/>
      </c>
      <c r="H18" s="113" t="str">
        <f>IF(ISBLANK(A18), "", VLOOKUP(A18, 'eGRID2018 Region'!$A$4:$J$32,10,FALSE))</f>
        <v/>
      </c>
      <c r="J18" s="133" t="str">
        <f>IF(ISBLANK(B18), "",  ROUND(VLOOKUP(C18,'Vessel Fuel Emission Factors'!$C$8:$J$22,2,FALSE)*$G18/1000000, 3))</f>
        <v/>
      </c>
      <c r="K18" s="133" t="str">
        <f>IF(ISBLANK(B18), "",  ROUND(VLOOKUP(C18,'Vessel Fuel Emission Factors'!$C$8:$J$22,3,FALSE)*$G18/1000000, 3))</f>
        <v/>
      </c>
      <c r="L18" s="133" t="str">
        <f>IF(ISBLANK(B18), "",  ROUND(VLOOKUP(C18,'Vessel Fuel Emission Factors'!$C$8:$J$22,6,FALSE)*$G18/1000000, 3))</f>
        <v/>
      </c>
      <c r="M18" s="28" t="str">
        <f>IF(ISBLANK(B18), "",  ROUND(VLOOKUP(C18,'Vessel Fuel Emission Factors'!$C$8:$J$22,4,FALSE)*$G18/1000000, 0))</f>
        <v/>
      </c>
      <c r="N18" s="28" t="str">
        <f>IF(ISBLANK(B18),"",ROUND(VLOOKUP(C18,'Vessel Fuel Emission Factors'!$C$8:$J$22,8,FALSE)*$G18/1000000,0))</f>
        <v/>
      </c>
      <c r="O18" s="66"/>
      <c r="P18" s="129" t="str">
        <f>IF(ISBLANK($A18), "", ROUND((VLOOKUP($A18, 'eGRID2018 Region'!$A$4:$J$32, 3, FALSE)*$G18/(1-$H18))/1000000, 3))</f>
        <v/>
      </c>
      <c r="Q18" s="129" t="str">
        <f>IF(ISBLANK($A18),"",ROUND((VLOOKUP($A18, 'eGRID2018 Region'!$A$4:$J$32, 4, FALSE)*$G18/(1-$H18))/1000000, 3))</f>
        <v/>
      </c>
      <c r="R18" s="129" t="str">
        <f>IF(ISBLANK($A18), "",ROUND((VLOOKUP($A18, 'eGRID2018 Region'!$A$4:$J$32, 9, FALSE)*$G18/(1-$H18))/1000000, 3))</f>
        <v/>
      </c>
      <c r="S18" s="67" t="str">
        <f>IF(ISBLANK($A18), "",ROUND((VLOOKUP($A18, 'eGRID2018 Region'!$A$4:$J$32, 5, FALSE)*$G18/(1-$H18))/1000000, 0))</f>
        <v/>
      </c>
      <c r="T18" s="67" t="str">
        <f>IF(ISBLANK($A18), "", ROUND((VLOOKUP($A18, 'eGRID2018 Region'!$A$4:$J$32, 8, FALSE)*$G18/(1-$H18))/1000000, 0))</f>
        <v/>
      </c>
      <c r="U18" s="80"/>
      <c r="V18" s="129" t="str">
        <f t="shared" si="1"/>
        <v/>
      </c>
      <c r="W18" s="129" t="str">
        <f t="shared" si="2"/>
        <v/>
      </c>
      <c r="X18" s="129" t="str">
        <f t="shared" si="3"/>
        <v/>
      </c>
      <c r="Y18" s="67" t="str">
        <f t="shared" si="4"/>
        <v/>
      </c>
      <c r="Z18" s="67" t="str">
        <f t="shared" si="5"/>
        <v/>
      </c>
      <c r="AA18" s="70"/>
      <c r="AB18" s="126" t="str">
        <f t="shared" si="6"/>
        <v/>
      </c>
      <c r="AC18" s="126" t="str">
        <f t="shared" si="7"/>
        <v/>
      </c>
      <c r="AD18" s="126" t="str">
        <f t="shared" si="8"/>
        <v/>
      </c>
      <c r="AE18" s="126" t="str">
        <f t="shared" si="9"/>
        <v/>
      </c>
      <c r="AF18" s="126" t="str">
        <f t="shared" si="10"/>
        <v/>
      </c>
      <c r="AH18" s="105"/>
      <c r="AI18" s="105"/>
    </row>
    <row r="19" spans="1:35">
      <c r="A19" s="63"/>
      <c r="B19" s="63"/>
      <c r="C19" s="63"/>
      <c r="D19" s="63"/>
      <c r="E19" s="63"/>
      <c r="F19" s="76" t="str">
        <f>IF(ISBLANK(B19),"",VLOOKUP(B19,'Vessel Type'!$C$3:$G$67,4,FALSE))</f>
        <v/>
      </c>
      <c r="G19" s="11" t="str">
        <f t="shared" si="0"/>
        <v/>
      </c>
      <c r="H19" s="112" t="str">
        <f>IF(ISBLANK(A19), "", VLOOKUP(A19, 'eGRID2018 Region'!$A$4:$J$32,10,FALSE))</f>
        <v/>
      </c>
      <c r="J19" s="132" t="str">
        <f>IF(ISBLANK(B19), "",  ROUND(VLOOKUP(C19,'Vessel Fuel Emission Factors'!$C$8:$J$22,2,FALSE)*$G19/1000000, 3))</f>
        <v/>
      </c>
      <c r="K19" s="132" t="str">
        <f>IF(ISBLANK(B19), "",  ROUND(VLOOKUP(C19,'Vessel Fuel Emission Factors'!$C$8:$J$22,3,FALSE)*$G19/1000000, 3))</f>
        <v/>
      </c>
      <c r="L19" s="132" t="str">
        <f>IF(ISBLANK(B19), "",  ROUND(VLOOKUP(C19,'Vessel Fuel Emission Factors'!$C$8:$J$22,6,FALSE)*$G19/1000000, 3))</f>
        <v/>
      </c>
      <c r="M19" s="11" t="str">
        <f>IF(ISBLANK(B19), "",  ROUND(VLOOKUP(C19,'Vessel Fuel Emission Factors'!$C$8:$J$22,4,FALSE)*$G19/1000000, 0))</f>
        <v/>
      </c>
      <c r="N19" s="11" t="str">
        <f>IF(ISBLANK(B19),"",ROUND(VLOOKUP(C19,'Vessel Fuel Emission Factors'!$C$8:$J$22,8,FALSE)*$G19/1000000,0))</f>
        <v/>
      </c>
      <c r="O19" s="66"/>
      <c r="P19" s="128" t="str">
        <f>IF(ISBLANK($A19), "", ROUND((VLOOKUP($A19, 'eGRID2018 Region'!$A$4:$J$32, 3, FALSE)*$G19/(1-$H19))/1000000, 3))</f>
        <v/>
      </c>
      <c r="Q19" s="128" t="str">
        <f>IF(ISBLANK($A19),"",ROUND((VLOOKUP($A19, 'eGRID2018 Region'!$A$4:$J$32, 4, FALSE)*$G19/(1-$H19))/1000000, 3))</f>
        <v/>
      </c>
      <c r="R19" s="128" t="str">
        <f>IF(ISBLANK($A19), "",ROUND((VLOOKUP($A19, 'eGRID2018 Region'!$A$4:$J$32, 9, FALSE)*$G19/(1-$H19))/1000000, 3))</f>
        <v/>
      </c>
      <c r="S19" s="65" t="str">
        <f>IF(ISBLANK($A19), "",ROUND((VLOOKUP($A19, 'eGRID2018 Region'!$A$4:$J$32, 5, FALSE)*$G19/(1-$H19))/1000000, 0))</f>
        <v/>
      </c>
      <c r="T19" s="65" t="str">
        <f>IF(ISBLANK($A19), "", ROUND((VLOOKUP($A19, 'eGRID2018 Region'!$A$4:$J$32, 8, FALSE)*$G19/(1-$H19))/1000000, 0))</f>
        <v/>
      </c>
      <c r="U19" s="80"/>
      <c r="V19" s="128" t="str">
        <f t="shared" si="1"/>
        <v/>
      </c>
      <c r="W19" s="128" t="str">
        <f t="shared" si="2"/>
        <v/>
      </c>
      <c r="X19" s="128" t="str">
        <f t="shared" si="3"/>
        <v/>
      </c>
      <c r="Y19" s="65" t="str">
        <f t="shared" si="4"/>
        <v/>
      </c>
      <c r="Z19" s="65" t="str">
        <f t="shared" si="5"/>
        <v/>
      </c>
      <c r="AA19" s="70"/>
      <c r="AB19" s="125" t="str">
        <f t="shared" si="6"/>
        <v/>
      </c>
      <c r="AC19" s="125" t="str">
        <f t="shared" si="7"/>
        <v/>
      </c>
      <c r="AD19" s="125" t="str">
        <f t="shared" si="8"/>
        <v/>
      </c>
      <c r="AE19" s="125" t="str">
        <f t="shared" si="9"/>
        <v/>
      </c>
      <c r="AF19" s="125" t="str">
        <f t="shared" si="10"/>
        <v/>
      </c>
      <c r="AH19" s="105"/>
      <c r="AI19" s="105"/>
    </row>
    <row r="20" spans="1:35">
      <c r="A20" s="64"/>
      <c r="B20" s="64"/>
      <c r="C20" s="64"/>
      <c r="D20" s="64"/>
      <c r="E20" s="64"/>
      <c r="F20" s="76" t="str">
        <f>IF(ISBLANK(B20),"",VLOOKUP(B20,'Vessel Type'!$C$3:$G$67,4,FALSE))</f>
        <v/>
      </c>
      <c r="G20" s="28" t="str">
        <f t="shared" si="0"/>
        <v/>
      </c>
      <c r="H20" s="113" t="str">
        <f>IF(ISBLANK(A20), "", VLOOKUP(A20, 'eGRID2018 Region'!$A$4:$J$32,10,FALSE))</f>
        <v/>
      </c>
      <c r="J20" s="133" t="str">
        <f>IF(ISBLANK(B20), "",  ROUND(VLOOKUP(C20,'Vessel Fuel Emission Factors'!$C$8:$J$22,2,FALSE)*$G20/1000000, 3))</f>
        <v/>
      </c>
      <c r="K20" s="133" t="str">
        <f>IF(ISBLANK(B20), "",  ROUND(VLOOKUP(C20,'Vessel Fuel Emission Factors'!$C$8:$J$22,3,FALSE)*$G20/1000000, 3))</f>
        <v/>
      </c>
      <c r="L20" s="133" t="str">
        <f>IF(ISBLANK(B20), "",  ROUND(VLOOKUP(C20,'Vessel Fuel Emission Factors'!$C$8:$J$22,6,FALSE)*$G20/1000000, 3))</f>
        <v/>
      </c>
      <c r="M20" s="28" t="str">
        <f>IF(ISBLANK(B20), "",  ROUND(VLOOKUP(C20,'Vessel Fuel Emission Factors'!$C$8:$J$22,4,FALSE)*$G20/1000000, 0))</f>
        <v/>
      </c>
      <c r="N20" s="28" t="str">
        <f>IF(ISBLANK(B20),"",ROUND(VLOOKUP(C20,'Vessel Fuel Emission Factors'!$C$8:$J$22,8,FALSE)*$G20/1000000,0))</f>
        <v/>
      </c>
      <c r="O20" s="66"/>
      <c r="P20" s="129" t="str">
        <f>IF(ISBLANK($A20), "", ROUND((VLOOKUP($A20, 'eGRID2018 Region'!$A$4:$J$32, 3, FALSE)*$G20/(1-$H20))/1000000, 3))</f>
        <v/>
      </c>
      <c r="Q20" s="129" t="str">
        <f>IF(ISBLANK($A20),"",ROUND((VLOOKUP($A20, 'eGRID2018 Region'!$A$4:$J$32, 4, FALSE)*$G20/(1-$H20))/1000000, 3))</f>
        <v/>
      </c>
      <c r="R20" s="129" t="str">
        <f>IF(ISBLANK($A20), "",ROUND((VLOOKUP($A20, 'eGRID2018 Region'!$A$4:$J$32, 9, FALSE)*$G20/(1-$H20))/1000000, 3))</f>
        <v/>
      </c>
      <c r="S20" s="67" t="str">
        <f>IF(ISBLANK($A20), "",ROUND((VLOOKUP($A20, 'eGRID2018 Region'!$A$4:$J$32, 5, FALSE)*$G20/(1-$H20))/1000000, 0))</f>
        <v/>
      </c>
      <c r="T20" s="67" t="str">
        <f>IF(ISBLANK($A20), "", ROUND((VLOOKUP($A20, 'eGRID2018 Region'!$A$4:$J$32, 8, FALSE)*$G20/(1-$H20))/1000000, 0))</f>
        <v/>
      </c>
      <c r="U20" s="80"/>
      <c r="V20" s="129" t="str">
        <f t="shared" si="1"/>
        <v/>
      </c>
      <c r="W20" s="129" t="str">
        <f t="shared" si="2"/>
        <v/>
      </c>
      <c r="X20" s="129" t="str">
        <f t="shared" si="3"/>
        <v/>
      </c>
      <c r="Y20" s="67" t="str">
        <f t="shared" si="4"/>
        <v/>
      </c>
      <c r="Z20" s="67" t="str">
        <f t="shared" si="5"/>
        <v/>
      </c>
      <c r="AA20" s="70"/>
      <c r="AB20" s="126" t="str">
        <f t="shared" si="6"/>
        <v/>
      </c>
      <c r="AC20" s="126" t="str">
        <f t="shared" si="7"/>
        <v/>
      </c>
      <c r="AD20" s="126" t="str">
        <f t="shared" si="8"/>
        <v/>
      </c>
      <c r="AE20" s="126" t="str">
        <f t="shared" si="9"/>
        <v/>
      </c>
      <c r="AF20" s="126" t="str">
        <f t="shared" si="10"/>
        <v/>
      </c>
      <c r="AH20" s="105"/>
      <c r="AI20" s="105"/>
    </row>
    <row r="21" spans="1:35">
      <c r="A21" s="63"/>
      <c r="B21" s="63"/>
      <c r="C21" s="63"/>
      <c r="D21" s="63"/>
      <c r="E21" s="63"/>
      <c r="F21" s="76" t="str">
        <f>IF(ISBLANK(B21),"",VLOOKUP(B21,'Vessel Type'!$C$3:$G$67,4,FALSE))</f>
        <v/>
      </c>
      <c r="G21" s="11" t="str">
        <f t="shared" si="0"/>
        <v/>
      </c>
      <c r="H21" s="112" t="str">
        <f>IF(ISBLANK(A21), "", VLOOKUP(A21, 'eGRID2018 Region'!$A$4:$J$32,10,FALSE))</f>
        <v/>
      </c>
      <c r="J21" s="132" t="str">
        <f>IF(ISBLANK(B21), "",  ROUND(VLOOKUP(C21,'Vessel Fuel Emission Factors'!$C$8:$J$22,2,FALSE)*$G21/1000000, 3))</f>
        <v/>
      </c>
      <c r="K21" s="132" t="str">
        <f>IF(ISBLANK(B21), "",  ROUND(VLOOKUP(C21,'Vessel Fuel Emission Factors'!$C$8:$J$22,3,FALSE)*$G21/1000000, 3))</f>
        <v/>
      </c>
      <c r="L21" s="132" t="str">
        <f>IF(ISBLANK(B21), "",  ROUND(VLOOKUP(C21,'Vessel Fuel Emission Factors'!$C$8:$J$22,6,FALSE)*$G21/1000000, 3))</f>
        <v/>
      </c>
      <c r="M21" s="11" t="str">
        <f>IF(ISBLANK(B21), "",  ROUND(VLOOKUP(C21,'Vessel Fuel Emission Factors'!$C$8:$J$22,4,FALSE)*$G21/1000000, 0))</f>
        <v/>
      </c>
      <c r="N21" s="11" t="str">
        <f>IF(ISBLANK(B21),"",ROUND(VLOOKUP(C21,'Vessel Fuel Emission Factors'!$C$8:$J$22,8,FALSE)*$G21/1000000,0))</f>
        <v/>
      </c>
      <c r="O21" s="66"/>
      <c r="P21" s="128" t="str">
        <f>IF(ISBLANK($A21), "", ROUND((VLOOKUP($A21, 'eGRID2018 Region'!$A$4:$J$32, 3, FALSE)*$G21/(1-$H21))/1000000, 3))</f>
        <v/>
      </c>
      <c r="Q21" s="128" t="str">
        <f>IF(ISBLANK($A21),"",ROUND((VLOOKUP($A21, 'eGRID2018 Region'!$A$4:$J$32, 4, FALSE)*$G21/(1-$H21))/1000000, 3))</f>
        <v/>
      </c>
      <c r="R21" s="128" t="str">
        <f>IF(ISBLANK($A21), "",ROUND((VLOOKUP($A21, 'eGRID2018 Region'!$A$4:$J$32, 9, FALSE)*$G21/(1-$H21))/1000000, 3))</f>
        <v/>
      </c>
      <c r="S21" s="65" t="str">
        <f>IF(ISBLANK($A21), "",ROUND((VLOOKUP($A21, 'eGRID2018 Region'!$A$4:$J$32, 5, FALSE)*$G21/(1-$H21))/1000000, 0))</f>
        <v/>
      </c>
      <c r="T21" s="65" t="str">
        <f>IF(ISBLANK($A21), "", ROUND((VLOOKUP($A21, 'eGRID2018 Region'!$A$4:$J$32, 8, FALSE)*$G21/(1-$H21))/1000000, 0))</f>
        <v/>
      </c>
      <c r="U21" s="80"/>
      <c r="V21" s="128" t="str">
        <f t="shared" si="1"/>
        <v/>
      </c>
      <c r="W21" s="128" t="str">
        <f t="shared" si="2"/>
        <v/>
      </c>
      <c r="X21" s="128" t="str">
        <f t="shared" si="3"/>
        <v/>
      </c>
      <c r="Y21" s="65" t="str">
        <f t="shared" si="4"/>
        <v/>
      </c>
      <c r="Z21" s="65" t="str">
        <f t="shared" si="5"/>
        <v/>
      </c>
      <c r="AA21" s="70"/>
      <c r="AB21" s="125" t="str">
        <f t="shared" si="6"/>
        <v/>
      </c>
      <c r="AC21" s="125" t="str">
        <f t="shared" si="7"/>
        <v/>
      </c>
      <c r="AD21" s="125" t="str">
        <f t="shared" si="8"/>
        <v/>
      </c>
      <c r="AE21" s="125" t="str">
        <f t="shared" si="9"/>
        <v/>
      </c>
      <c r="AF21" s="125" t="str">
        <f t="shared" si="10"/>
        <v/>
      </c>
      <c r="AH21" s="105"/>
      <c r="AI21" s="105"/>
    </row>
    <row r="22" spans="1:35">
      <c r="A22" s="64"/>
      <c r="B22" s="64"/>
      <c r="C22" s="64"/>
      <c r="D22" s="64"/>
      <c r="E22" s="64"/>
      <c r="F22" s="76" t="str">
        <f>IF(ISBLANK(B22),"",VLOOKUP(B22,'Vessel Type'!$C$3:$G$67,4,FALSE))</f>
        <v/>
      </c>
      <c r="G22" s="28" t="str">
        <f t="shared" si="0"/>
        <v/>
      </c>
      <c r="H22" s="113" t="str">
        <f>IF(ISBLANK(A22), "", VLOOKUP(A22, 'eGRID2018 Region'!$A$4:$J$32,10,FALSE))</f>
        <v/>
      </c>
      <c r="J22" s="133" t="str">
        <f>IF(ISBLANK(B22), "",  ROUND(VLOOKUP(C22,'Vessel Fuel Emission Factors'!$C$8:$J$22,2,FALSE)*$G22/1000000, 3))</f>
        <v/>
      </c>
      <c r="K22" s="133" t="str">
        <f>IF(ISBLANK(B22), "",  ROUND(VLOOKUP(C22,'Vessel Fuel Emission Factors'!$C$8:$J$22,3,FALSE)*$G22/1000000, 3))</f>
        <v/>
      </c>
      <c r="L22" s="133" t="str">
        <f>IF(ISBLANK(B22), "",  ROUND(VLOOKUP(C22,'Vessel Fuel Emission Factors'!$C$8:$J$22,6,FALSE)*$G22/1000000, 3))</f>
        <v/>
      </c>
      <c r="M22" s="28" t="str">
        <f>IF(ISBLANK(B22), "",  ROUND(VLOOKUP(C22,'Vessel Fuel Emission Factors'!$C$8:$J$22,4,FALSE)*$G22/1000000, 0))</f>
        <v/>
      </c>
      <c r="N22" s="28" t="str">
        <f>IF(ISBLANK(B22),"",ROUND(VLOOKUP(C22,'Vessel Fuel Emission Factors'!$C$8:$J$22,8,FALSE)*$G22/1000000,0))</f>
        <v/>
      </c>
      <c r="O22" s="66"/>
      <c r="P22" s="129" t="str">
        <f>IF(ISBLANK($A22), "", ROUND((VLOOKUP($A22, 'eGRID2018 Region'!$A$4:$J$32, 3, FALSE)*$G22/(1-$H22))/1000000, 3))</f>
        <v/>
      </c>
      <c r="Q22" s="129" t="str">
        <f>IF(ISBLANK($A22),"",ROUND((VLOOKUP($A22, 'eGRID2018 Region'!$A$4:$J$32, 4, FALSE)*$G22/(1-$H22))/1000000, 3))</f>
        <v/>
      </c>
      <c r="R22" s="129" t="str">
        <f>IF(ISBLANK($A22), "",ROUND((VLOOKUP($A22, 'eGRID2018 Region'!$A$4:$J$32, 9, FALSE)*$G22/(1-$H22))/1000000, 3))</f>
        <v/>
      </c>
      <c r="S22" s="67" t="str">
        <f>IF(ISBLANK($A22), "",ROUND((VLOOKUP($A22, 'eGRID2018 Region'!$A$4:$J$32, 5, FALSE)*$G22/(1-$H22))/1000000, 0))</f>
        <v/>
      </c>
      <c r="T22" s="67" t="str">
        <f>IF(ISBLANK($A22), "", ROUND((VLOOKUP($A22, 'eGRID2018 Region'!$A$4:$J$32, 8, FALSE)*$G22/(1-$H22))/1000000, 0))</f>
        <v/>
      </c>
      <c r="U22" s="80"/>
      <c r="V22" s="129" t="str">
        <f t="shared" si="1"/>
        <v/>
      </c>
      <c r="W22" s="129" t="str">
        <f t="shared" si="2"/>
        <v/>
      </c>
      <c r="X22" s="129" t="str">
        <f t="shared" si="3"/>
        <v/>
      </c>
      <c r="Y22" s="67" t="str">
        <f t="shared" si="4"/>
        <v/>
      </c>
      <c r="Z22" s="67" t="str">
        <f t="shared" si="5"/>
        <v/>
      </c>
      <c r="AA22" s="70"/>
      <c r="AB22" s="126" t="str">
        <f t="shared" si="6"/>
        <v/>
      </c>
      <c r="AC22" s="126" t="str">
        <f t="shared" si="7"/>
        <v/>
      </c>
      <c r="AD22" s="126" t="str">
        <f t="shared" si="8"/>
        <v/>
      </c>
      <c r="AE22" s="126" t="str">
        <f t="shared" si="9"/>
        <v/>
      </c>
      <c r="AF22" s="126" t="str">
        <f t="shared" si="10"/>
        <v/>
      </c>
      <c r="AH22" s="105"/>
      <c r="AI22" s="105"/>
    </row>
    <row r="23" spans="1:35">
      <c r="A23" s="63"/>
      <c r="B23" s="63"/>
      <c r="C23" s="63"/>
      <c r="D23" s="63"/>
      <c r="E23" s="63"/>
      <c r="F23" s="76" t="str">
        <f>IF(ISBLANK(B23),"",VLOOKUP(B23,'Vessel Type'!$C$3:$G$67,4,FALSE))</f>
        <v/>
      </c>
      <c r="G23" s="11" t="str">
        <f t="shared" si="0"/>
        <v/>
      </c>
      <c r="H23" s="112" t="str">
        <f>IF(ISBLANK(A23), "", VLOOKUP(A23, 'eGRID2018 Region'!$A$4:$J$32,10,FALSE))</f>
        <v/>
      </c>
      <c r="J23" s="132" t="str">
        <f>IF(ISBLANK(B23), "",  ROUND(VLOOKUP(C23,'Vessel Fuel Emission Factors'!$C$8:$J$22,2,FALSE)*$G23/1000000, 3))</f>
        <v/>
      </c>
      <c r="K23" s="132" t="str">
        <f>IF(ISBLANK(B23), "",  ROUND(VLOOKUP(C23,'Vessel Fuel Emission Factors'!$C$8:$J$22,3,FALSE)*$G23/1000000, 3))</f>
        <v/>
      </c>
      <c r="L23" s="132" t="str">
        <f>IF(ISBLANK(B23), "",  ROUND(VLOOKUP(C23,'Vessel Fuel Emission Factors'!$C$8:$J$22,6,FALSE)*$G23/1000000, 3))</f>
        <v/>
      </c>
      <c r="M23" s="11" t="str">
        <f>IF(ISBLANK(B23), "",  ROUND(VLOOKUP(C23,'Vessel Fuel Emission Factors'!$C$8:$J$22,4,FALSE)*$G23/1000000, 0))</f>
        <v/>
      </c>
      <c r="N23" s="11" t="str">
        <f>IF(ISBLANK(B23),"",ROUND(VLOOKUP(C23,'Vessel Fuel Emission Factors'!$C$8:$J$22,8,FALSE)*$G23/1000000,0))</f>
        <v/>
      </c>
      <c r="O23" s="66"/>
      <c r="P23" s="128" t="str">
        <f>IF(ISBLANK($A23), "", ROUND((VLOOKUP($A23, 'eGRID2018 Region'!$A$4:$J$32, 3, FALSE)*$G23/(1-$H23))/1000000, 3))</f>
        <v/>
      </c>
      <c r="Q23" s="128" t="str">
        <f>IF(ISBLANK($A23),"",ROUND((VLOOKUP($A23, 'eGRID2018 Region'!$A$4:$J$32, 4, FALSE)*$G23/(1-$H23))/1000000, 3))</f>
        <v/>
      </c>
      <c r="R23" s="128" t="str">
        <f>IF(ISBLANK($A23), "",ROUND((VLOOKUP($A23, 'eGRID2018 Region'!$A$4:$J$32, 9, FALSE)*$G23/(1-$H23))/1000000, 3))</f>
        <v/>
      </c>
      <c r="S23" s="65" t="str">
        <f>IF(ISBLANK($A23), "",ROUND((VLOOKUP($A23, 'eGRID2018 Region'!$A$4:$J$32, 5, FALSE)*$G23/(1-$H23))/1000000, 0))</f>
        <v/>
      </c>
      <c r="T23" s="65" t="str">
        <f>IF(ISBLANK($A23), "", ROUND((VLOOKUP($A23, 'eGRID2018 Region'!$A$4:$J$32, 8, FALSE)*$G23/(1-$H23))/1000000, 0))</f>
        <v/>
      </c>
      <c r="U23" s="80"/>
      <c r="V23" s="128" t="str">
        <f t="shared" si="1"/>
        <v/>
      </c>
      <c r="W23" s="128" t="str">
        <f t="shared" si="2"/>
        <v/>
      </c>
      <c r="X23" s="128" t="str">
        <f t="shared" si="3"/>
        <v/>
      </c>
      <c r="Y23" s="65" t="str">
        <f t="shared" si="4"/>
        <v/>
      </c>
      <c r="Z23" s="65" t="str">
        <f t="shared" si="5"/>
        <v/>
      </c>
      <c r="AA23" s="70"/>
      <c r="AB23" s="125" t="str">
        <f t="shared" si="6"/>
        <v/>
      </c>
      <c r="AC23" s="125" t="str">
        <f t="shared" si="7"/>
        <v/>
      </c>
      <c r="AD23" s="125" t="str">
        <f t="shared" si="8"/>
        <v/>
      </c>
      <c r="AE23" s="125" t="str">
        <f t="shared" si="9"/>
        <v/>
      </c>
      <c r="AF23" s="125" t="str">
        <f t="shared" si="10"/>
        <v/>
      </c>
      <c r="AH23" s="105"/>
      <c r="AI23" s="105"/>
    </row>
    <row r="24" spans="1:35">
      <c r="A24" s="64"/>
      <c r="B24" s="64"/>
      <c r="C24" s="64"/>
      <c r="D24" s="64"/>
      <c r="E24" s="64"/>
      <c r="F24" s="76" t="str">
        <f>IF(ISBLANK(B24),"",VLOOKUP(B24,'Vessel Type'!$C$3:$G$67,4,FALSE))</f>
        <v/>
      </c>
      <c r="G24" s="28" t="str">
        <f t="shared" si="0"/>
        <v/>
      </c>
      <c r="H24" s="113" t="str">
        <f>IF(ISBLANK(A24), "", VLOOKUP(A24, 'eGRID2018 Region'!$A$4:$J$32,10,FALSE))</f>
        <v/>
      </c>
      <c r="J24" s="133" t="str">
        <f>IF(ISBLANK(B24), "",  ROUND(VLOOKUP(C24,'Vessel Fuel Emission Factors'!$C$8:$J$22,2,FALSE)*$G24/1000000, 3))</f>
        <v/>
      </c>
      <c r="K24" s="133" t="str">
        <f>IF(ISBLANK(B24), "",  ROUND(VLOOKUP(C24,'Vessel Fuel Emission Factors'!$C$8:$J$22,3,FALSE)*$G24/1000000, 3))</f>
        <v/>
      </c>
      <c r="L24" s="133" t="str">
        <f>IF(ISBLANK(B24), "",  ROUND(VLOOKUP(C24,'Vessel Fuel Emission Factors'!$C$8:$J$22,6,FALSE)*$G24/1000000, 3))</f>
        <v/>
      </c>
      <c r="M24" s="28" t="str">
        <f>IF(ISBLANK(B24), "",  ROUND(VLOOKUP(C24,'Vessel Fuel Emission Factors'!$C$8:$J$22,4,FALSE)*$G24/1000000, 0))</f>
        <v/>
      </c>
      <c r="N24" s="28" t="str">
        <f>IF(ISBLANK(B24),"",ROUND(VLOOKUP(C24,'Vessel Fuel Emission Factors'!$C$8:$J$22,8,FALSE)*$G24/1000000,0))</f>
        <v/>
      </c>
      <c r="O24" s="66"/>
      <c r="P24" s="129" t="str">
        <f>IF(ISBLANK($A24), "", ROUND((VLOOKUP($A24, 'eGRID2018 Region'!$A$4:$J$32, 3, FALSE)*$G24/(1-$H24))/1000000, 3))</f>
        <v/>
      </c>
      <c r="Q24" s="129" t="str">
        <f>IF(ISBLANK($A24),"",ROUND((VLOOKUP($A24, 'eGRID2018 Region'!$A$4:$J$32, 4, FALSE)*$G24/(1-$H24))/1000000, 3))</f>
        <v/>
      </c>
      <c r="R24" s="129" t="str">
        <f>IF(ISBLANK($A24), "",ROUND((VLOOKUP($A24, 'eGRID2018 Region'!$A$4:$J$32, 9, FALSE)*$G24/(1-$H24))/1000000, 3))</f>
        <v/>
      </c>
      <c r="S24" s="67" t="str">
        <f>IF(ISBLANK($A24), "",ROUND((VLOOKUP($A24, 'eGRID2018 Region'!$A$4:$J$32, 5, FALSE)*$G24/(1-$H24))/1000000, 0))</f>
        <v/>
      </c>
      <c r="T24" s="67" t="str">
        <f>IF(ISBLANK($A24), "", ROUND((VLOOKUP($A24, 'eGRID2018 Region'!$A$4:$J$32, 8, FALSE)*$G24/(1-$H24))/1000000, 0))</f>
        <v/>
      </c>
      <c r="U24" s="80"/>
      <c r="V24" s="129" t="str">
        <f t="shared" si="1"/>
        <v/>
      </c>
      <c r="W24" s="129" t="str">
        <f t="shared" si="2"/>
        <v/>
      </c>
      <c r="X24" s="129" t="str">
        <f t="shared" si="3"/>
        <v/>
      </c>
      <c r="Y24" s="67" t="str">
        <f t="shared" si="4"/>
        <v/>
      </c>
      <c r="Z24" s="67" t="str">
        <f t="shared" si="5"/>
        <v/>
      </c>
      <c r="AA24" s="70"/>
      <c r="AB24" s="126" t="str">
        <f t="shared" si="6"/>
        <v/>
      </c>
      <c r="AC24" s="126" t="str">
        <f t="shared" si="7"/>
        <v/>
      </c>
      <c r="AD24" s="126" t="str">
        <f t="shared" si="8"/>
        <v/>
      </c>
      <c r="AE24" s="126" t="str">
        <f t="shared" si="9"/>
        <v/>
      </c>
      <c r="AF24" s="126" t="str">
        <f t="shared" si="10"/>
        <v/>
      </c>
      <c r="AH24" s="105"/>
      <c r="AI24" s="105"/>
    </row>
    <row r="25" spans="1:35">
      <c r="B25" s="76"/>
      <c r="C25" s="76"/>
      <c r="D25" s="76"/>
      <c r="F25" s="76"/>
      <c r="G25" s="12">
        <f>SUMIF(G5:G24, "&lt;&gt;#N/A")</f>
        <v>0</v>
      </c>
      <c r="H25" s="48"/>
      <c r="I25" s="21"/>
      <c r="J25" s="131">
        <f>ROUND(SUMIF(J5:J24, "&lt;&gt;#N/A"),3)</f>
        <v>0</v>
      </c>
      <c r="K25" s="131">
        <f>ROUND(SUMIF(K5:K24, "&lt;&gt;#N/A"),3)</f>
        <v>0</v>
      </c>
      <c r="L25" s="131">
        <f>ROUND(SUMIF(L5:L24, "&lt;&gt;#N/A"), 3)</f>
        <v>0</v>
      </c>
      <c r="M25" s="68">
        <f>ROUND(SUMIF(M5:M24, "&lt;&gt;#N/A"),0)</f>
        <v>0</v>
      </c>
      <c r="N25" s="68">
        <f>ROUND(SUMIF(N5:N24, "&lt;&gt;#N/A"), 0)</f>
        <v>0</v>
      </c>
      <c r="O25" s="69"/>
      <c r="P25" s="131">
        <f>ROUND(SUMIF(P5:P24, "&lt;&gt;#N/A"),3)</f>
        <v>0</v>
      </c>
      <c r="Q25" s="131">
        <f>ROUND(SUMIF(Q5:Q24, "&lt;&gt;#N/A"), 3)</f>
        <v>0</v>
      </c>
      <c r="R25" s="131">
        <f>ROUND(SUMIF(R5:R24, "&lt;&gt;#N/A"), 3)</f>
        <v>0</v>
      </c>
      <c r="S25" s="68">
        <f>ROUND(SUMIF(S5:S24, "&lt;&gt;#N/A"), 0)</f>
        <v>0</v>
      </c>
      <c r="T25" s="68">
        <f>ROUND(SUMIF(T5:T24, "&lt;&gt;#N/A"), 0)</f>
        <v>0</v>
      </c>
      <c r="U25" s="69"/>
      <c r="V25" s="131">
        <f>ROUND(SUMIF(V5:V24, "&lt;&gt;#N/A"), 3)</f>
        <v>0</v>
      </c>
      <c r="W25" s="131">
        <f>ROUND(SUMIF(W5:W24, "&lt;&gt;#N/A"), 3)</f>
        <v>0</v>
      </c>
      <c r="X25" s="131">
        <f>ROUND(SUMIF(X5:X24, "&lt;&gt;#N/A"), 3)</f>
        <v>0</v>
      </c>
      <c r="Y25" s="68">
        <f>ROUND(SUMIF(Y5:Y24, "&lt;&gt;#N/A"), 0)</f>
        <v>0</v>
      </c>
      <c r="Z25" s="68">
        <f>ROUND(SUMIF(Z5:Z24, "&lt;&gt;#N/A"), 0)</f>
        <v>0</v>
      </c>
      <c r="AA25" s="71"/>
      <c r="AB25" s="108" t="str">
        <f>IF(J25 = 0, "", ROUND((P25-J25)/J25, 2))</f>
        <v/>
      </c>
      <c r="AC25" s="108" t="str">
        <f t="shared" ref="AC25:AF25" si="11">IF(K25 = 0, "", ROUND((Q25-K25)/K25, 2))</f>
        <v/>
      </c>
      <c r="AD25" s="108" t="str">
        <f t="shared" si="11"/>
        <v/>
      </c>
      <c r="AE25" s="108" t="str">
        <f t="shared" si="11"/>
        <v/>
      </c>
      <c r="AF25" s="108" t="str">
        <f t="shared" si="11"/>
        <v/>
      </c>
    </row>
    <row r="26" spans="1:35">
      <c r="B26" s="75"/>
      <c r="C26" s="75"/>
      <c r="D26" s="75"/>
      <c r="E26" s="75"/>
      <c r="F26" s="75"/>
      <c r="G26" s="3"/>
      <c r="H26" s="3"/>
      <c r="J26" s="75"/>
      <c r="K26" s="75"/>
      <c r="L26" s="75"/>
      <c r="M26" s="75"/>
      <c r="N26" s="75"/>
      <c r="O26" s="76"/>
      <c r="P26" s="75"/>
      <c r="Q26" s="75"/>
      <c r="R26" s="75"/>
      <c r="S26" s="75"/>
      <c r="T26" s="75"/>
      <c r="U26" s="76"/>
      <c r="V26" s="75"/>
      <c r="W26" s="75"/>
      <c r="X26" s="75"/>
      <c r="Y26" s="75"/>
      <c r="Z26" s="75"/>
      <c r="AA26" s="76"/>
    </row>
  </sheetData>
  <sheetProtection formatCells="0" formatColumns="0" formatRows="0"/>
  <mergeCells count="4">
    <mergeCell ref="J2:N2"/>
    <mergeCell ref="P2:T2"/>
    <mergeCell ref="V2:Z2"/>
    <mergeCell ref="AB2:AF2"/>
  </mergeCells>
  <phoneticPr fontId="15" type="noConversion"/>
  <dataValidations count="5">
    <dataValidation type="whole" allowBlank="1" showInputMessage="1" showErrorMessage="1" error="Must enter integer value greater than or equal to 1 and less than 8,760" sqref="F5:F24" xr:uid="{3BE4FE57-9F6F-894A-8A86-942E7ED583F1}">
      <formula1>1</formula1>
      <formula2>8760</formula2>
    </dataValidation>
    <dataValidation type="whole" allowBlank="1" showInputMessage="1" showErrorMessage="1" error="Must enter integer value greater than or equal to 1 and less than 100,000" sqref="D5:D24" xr:uid="{D2A2C57E-0B68-A94E-BBDE-37BC011A35BE}">
      <formula1>1</formula1>
      <formula2>100000</formula2>
    </dataValidation>
    <dataValidation type="list" allowBlank="1" showInputMessage="1" showErrorMessage="1" sqref="B25:C25" xr:uid="{9C0A62F4-A401-1E4F-9068-181A61E3F2A8}">
      <formula1>VesselType</formula1>
    </dataValidation>
    <dataValidation type="list" allowBlank="1" showInputMessage="1" showErrorMessage="1" sqref="A5:A24" xr:uid="{9D3B399C-500A-2048-BCED-90F1421F4F1B}">
      <formula1>EGRID18</formula1>
    </dataValidation>
    <dataValidation type="decimal" allowBlank="1" showInputMessage="1" showErrorMessage="1" error="Must enter number value greater than or equal to 0 and less than 8,760" sqref="E5:E24" xr:uid="{F909D1B9-8ECF-CB4E-9CF3-60836E419CA4}">
      <formula1>0</formula1>
      <formula2>8760</formula2>
    </dataValidation>
  </dataValidations>
  <pageMargins left="0.75" right="0.75" top="1" bottom="1" header="0.5" footer="0.5"/>
  <pageSetup scale="26" fitToHeight="0" orientation="landscape" horizontalDpi="4294967292" verticalDpi="4294967292" r:id="rId1"/>
  <headerFooter differentFirst="1">
    <oddFooter>&amp;LShore Power Emissions Calculator, Version 2022a
&amp;A&amp;RPage &amp;P of [Pages]</oddFooter>
    <firstFooter>&amp;RPage &amp;P of &amp;N</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F7BB22E-A0BD-FC41-A36D-65C81A782957}">
          <x14:formula1>
            <xm:f>'Vessel Type'!$C$4:$C$67</xm:f>
          </x14:formula1>
          <xm:sqref>B5:B24</xm:sqref>
        </x14:dataValidation>
        <x14:dataValidation type="list" allowBlank="1" showInputMessage="1" showErrorMessage="1" xr:uid="{26F4DD10-A73E-A648-9B36-981FE806ED33}">
          <x14:formula1>
            <xm:f>'Vessel Fuel Emission Factors'!$C$7:$C$22</xm:f>
          </x14:formula1>
          <xm:sqref>C5:C24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U67"/>
  <sheetViews>
    <sheetView topLeftCell="A27" zoomScaleNormal="100" workbookViewId="0">
      <selection activeCell="A41" sqref="A41"/>
    </sheetView>
  </sheetViews>
  <sheetFormatPr defaultColWidth="11" defaultRowHeight="15.6"/>
  <cols>
    <col min="1" max="1" width="17.19921875" style="13" customWidth="1"/>
    <col min="2" max="2" width="21.19921875" style="13" bestFit="1" customWidth="1"/>
    <col min="3" max="7" width="8" style="13" customWidth="1"/>
    <col min="8" max="8" width="10.8984375" style="13" customWidth="1"/>
    <col min="9" max="9" width="8" style="13" customWidth="1"/>
    <col min="10" max="10" width="11" style="13"/>
    <col min="11" max="11" width="23.19921875" style="13" customWidth="1"/>
    <col min="12" max="16384" width="11" style="13"/>
  </cols>
  <sheetData>
    <row r="1" spans="1:14">
      <c r="A1" s="34" t="s">
        <v>96</v>
      </c>
    </row>
    <row r="2" spans="1:14" ht="16.2" thickBot="1">
      <c r="A2" s="176"/>
      <c r="B2" s="176"/>
      <c r="C2" s="177" t="s">
        <v>97</v>
      </c>
      <c r="D2" s="177"/>
      <c r="E2" s="177"/>
      <c r="F2" s="177"/>
      <c r="G2" s="177"/>
      <c r="H2" s="177"/>
      <c r="I2" s="177"/>
      <c r="J2" s="177"/>
      <c r="L2" s="13" t="s">
        <v>98</v>
      </c>
    </row>
    <row r="3" spans="1:14" ht="31.2" customHeight="1" thickBot="1">
      <c r="A3" s="14" t="s">
        <v>78</v>
      </c>
      <c r="B3" s="14" t="s">
        <v>99</v>
      </c>
      <c r="C3" s="53" t="s">
        <v>100</v>
      </c>
      <c r="D3" s="53" t="s">
        <v>86</v>
      </c>
      <c r="E3" s="53" t="s">
        <v>88</v>
      </c>
      <c r="F3" s="53" t="s">
        <v>101</v>
      </c>
      <c r="G3" s="53" t="s">
        <v>102</v>
      </c>
      <c r="H3" s="40" t="s">
        <v>89</v>
      </c>
      <c r="I3" s="53" t="s">
        <v>87</v>
      </c>
      <c r="J3" s="53" t="s">
        <v>44</v>
      </c>
      <c r="K3"/>
      <c r="L3" s="22" t="s">
        <v>103</v>
      </c>
    </row>
    <row r="4" spans="1:14" ht="18" customHeight="1">
      <c r="A4" s="14"/>
      <c r="B4" s="14"/>
      <c r="J4" s="14"/>
    </row>
    <row r="5" spans="1:14" ht="18" customHeight="1">
      <c r="A5" s="15" t="s">
        <v>104</v>
      </c>
      <c r="B5" s="15" t="s">
        <v>105</v>
      </c>
      <c r="C5" s="16">
        <v>2.48114824</v>
      </c>
      <c r="D5" s="16">
        <v>0.49895120000000004</v>
      </c>
      <c r="E5" s="16">
        <v>471.57011891999997</v>
      </c>
      <c r="F5" s="17">
        <v>3.7194544000000003E-2</v>
      </c>
      <c r="G5" s="17">
        <v>4.9895119999999998E-3</v>
      </c>
      <c r="H5" s="16">
        <v>473.99865048800001</v>
      </c>
      <c r="I5" s="17">
        <v>9.3382612327196482E-2</v>
      </c>
      <c r="J5" s="23">
        <v>5.1234595525500998E-2</v>
      </c>
      <c r="K5" s="26"/>
    </row>
    <row r="6" spans="1:14" ht="18" customHeight="1">
      <c r="A6" s="15" t="s">
        <v>106</v>
      </c>
      <c r="B6" s="15" t="s">
        <v>107</v>
      </c>
      <c r="C6" s="16">
        <v>3.4981015039999996</v>
      </c>
      <c r="D6" s="16">
        <v>0.30708178400000002</v>
      </c>
      <c r="E6" s="16">
        <v>238.17344813599999</v>
      </c>
      <c r="F6" s="17">
        <v>1.0886208E-2</v>
      </c>
      <c r="G6" s="17">
        <v>1.814368E-3</v>
      </c>
      <c r="H6" s="16">
        <v>239.02620109599997</v>
      </c>
      <c r="I6" s="17">
        <v>0.35527059442342757</v>
      </c>
      <c r="J6" s="23">
        <v>5.1234595525500998E-2</v>
      </c>
      <c r="K6" s="26"/>
    </row>
    <row r="7" spans="1:14" ht="18" customHeight="1">
      <c r="A7" s="15" t="s">
        <v>108</v>
      </c>
      <c r="B7" s="15" t="s">
        <v>109</v>
      </c>
      <c r="C7" s="16">
        <v>0.33112216</v>
      </c>
      <c r="D7" s="16">
        <v>0.11929469600000001</v>
      </c>
      <c r="E7" s="16">
        <v>463.73204915999997</v>
      </c>
      <c r="F7" s="17">
        <v>3.4926583999999997E-2</v>
      </c>
      <c r="G7" s="17">
        <v>4.9895119999999998E-3</v>
      </c>
      <c r="H7" s="16">
        <v>466.08755241599999</v>
      </c>
      <c r="I7" s="17">
        <v>3.6279667121771025E-2</v>
      </c>
      <c r="J7" s="23">
        <v>4.8044463575380503E-2</v>
      </c>
      <c r="K7" s="26"/>
    </row>
    <row r="8" spans="1:14" ht="18" customHeight="1">
      <c r="A8" s="15" t="s">
        <v>110</v>
      </c>
      <c r="B8" s="15" t="s">
        <v>111</v>
      </c>
      <c r="C8" s="16">
        <v>0.21001309599999998</v>
      </c>
      <c r="D8" s="16">
        <v>2.1318824E-2</v>
      </c>
      <c r="E8" s="16">
        <v>225.22475731200001</v>
      </c>
      <c r="F8" s="17">
        <v>1.5422128E-2</v>
      </c>
      <c r="G8" s="17">
        <v>1.814368E-3</v>
      </c>
      <c r="H8" s="16">
        <v>226.19998011199999</v>
      </c>
      <c r="I8" s="17">
        <v>1.4248024963695601E-2</v>
      </c>
      <c r="J8" s="23">
        <v>4.8044463575380503E-2</v>
      </c>
      <c r="K8" s="26"/>
    </row>
    <row r="9" spans="1:14" ht="18" customHeight="1">
      <c r="A9" s="15" t="s">
        <v>112</v>
      </c>
      <c r="B9" s="15" t="s">
        <v>113</v>
      </c>
      <c r="C9" s="16">
        <v>0.24720764000000001</v>
      </c>
      <c r="D9" s="16">
        <v>0.37602776799999998</v>
      </c>
      <c r="E9" s="16">
        <v>422.598965824</v>
      </c>
      <c r="F9" s="17">
        <v>2.9937072000000002E-2</v>
      </c>
      <c r="G9" s="17">
        <v>4.0823279999999997E-3</v>
      </c>
      <c r="H9" s="16">
        <v>424.599306544</v>
      </c>
      <c r="I9" s="17">
        <v>2.105380552641941E-2</v>
      </c>
      <c r="J9" s="23">
        <v>4.8710581507916302E-2</v>
      </c>
      <c r="K9" s="26"/>
    </row>
    <row r="10" spans="1:14" ht="18" customHeight="1">
      <c r="A10" s="15" t="s">
        <v>114</v>
      </c>
      <c r="B10" s="15" t="s">
        <v>115</v>
      </c>
      <c r="C10" s="16">
        <v>0.16147875199999998</v>
      </c>
      <c r="D10" s="16">
        <v>0.12609857600000002</v>
      </c>
      <c r="E10" s="16">
        <v>422.676076464</v>
      </c>
      <c r="F10" s="17">
        <v>2.9937072000000002E-2</v>
      </c>
      <c r="G10" s="17">
        <v>4.0823279999999997E-3</v>
      </c>
      <c r="H10" s="16">
        <v>424.62788283999998</v>
      </c>
      <c r="I10" s="17">
        <v>2.9355802736578444E-2</v>
      </c>
      <c r="J10" s="23">
        <v>4.8819734408505198E-2</v>
      </c>
      <c r="K10" s="26"/>
    </row>
    <row r="11" spans="1:14" ht="18" customHeight="1">
      <c r="A11" s="15" t="s">
        <v>116</v>
      </c>
      <c r="B11" s="15" t="s">
        <v>117</v>
      </c>
      <c r="C11" s="16">
        <v>3.464535696</v>
      </c>
      <c r="D11" s="16">
        <v>1.8003066479999998</v>
      </c>
      <c r="E11" s="16">
        <v>503.79964488800005</v>
      </c>
      <c r="F11" s="17">
        <v>5.3523855999999995E-2</v>
      </c>
      <c r="G11" s="17">
        <v>8.1646559999999993E-3</v>
      </c>
      <c r="H11" s="16">
        <v>507.60437458399997</v>
      </c>
      <c r="I11" s="17">
        <v>0.41990604031007273</v>
      </c>
      <c r="J11" s="23">
        <v>5.1411995377670001E-2</v>
      </c>
      <c r="K11" s="26"/>
    </row>
    <row r="12" spans="1:14" ht="18" customHeight="1">
      <c r="A12" s="15" t="s">
        <v>118</v>
      </c>
      <c r="B12" s="15" t="s">
        <v>119</v>
      </c>
      <c r="C12" s="16">
        <v>1.5943758800000001</v>
      </c>
      <c r="D12" s="16">
        <v>3.6273752239999997</v>
      </c>
      <c r="E12" s="16">
        <v>757.47278525599995</v>
      </c>
      <c r="F12" s="17">
        <v>8.1646559999999993E-2</v>
      </c>
      <c r="G12" s="17">
        <v>1.2246983999999999E-2</v>
      </c>
      <c r="H12" s="16">
        <v>763.21208483199996</v>
      </c>
      <c r="I12" s="17">
        <v>0.26155357655728878</v>
      </c>
      <c r="J12" s="23">
        <v>5.1411995377670001E-2</v>
      </c>
      <c r="K12" s="26"/>
    </row>
    <row r="13" spans="1:14" ht="18" customHeight="1">
      <c r="A13" s="15" t="s">
        <v>120</v>
      </c>
      <c r="B13" s="15" t="s">
        <v>121</v>
      </c>
      <c r="C13" s="16">
        <v>0.39916096000000001</v>
      </c>
      <c r="D13" s="16">
        <v>0.40415047199999998</v>
      </c>
      <c r="E13" s="16">
        <v>761.13463347200002</v>
      </c>
      <c r="F13" s="17">
        <v>7.6657048000000005E-2</v>
      </c>
      <c r="G13" s="17">
        <v>1.1339800000000001E-2</v>
      </c>
      <c r="H13" s="16">
        <v>766.41217639200011</v>
      </c>
      <c r="I13" s="17">
        <v>1.6610379278305276E-2</v>
      </c>
      <c r="J13" s="23">
        <v>4.8819734408505198E-2</v>
      </c>
      <c r="K13" s="26"/>
    </row>
    <row r="14" spans="1:14" ht="18" customHeight="1">
      <c r="A14" s="15" t="s">
        <v>122</v>
      </c>
      <c r="B14" s="15" t="s">
        <v>123</v>
      </c>
      <c r="C14" s="16">
        <v>0.44315938399999999</v>
      </c>
      <c r="D14" s="16">
        <v>0.61280279199999999</v>
      </c>
      <c r="E14" s="16">
        <v>562.38513401599994</v>
      </c>
      <c r="F14" s="17">
        <v>6.2595696000000006E-2</v>
      </c>
      <c r="G14" s="17">
        <v>9.0718399999999994E-3</v>
      </c>
      <c r="H14" s="16">
        <v>566.62757999200005</v>
      </c>
      <c r="I14" s="17">
        <v>2.9794036014101726E-2</v>
      </c>
      <c r="J14" s="23">
        <v>4.8819734408505198E-2</v>
      </c>
      <c r="K14" s="26"/>
      <c r="N14"/>
    </row>
    <row r="15" spans="1:14" ht="18" customHeight="1">
      <c r="A15" s="15" t="s">
        <v>124</v>
      </c>
      <c r="B15" s="15" t="s">
        <v>125</v>
      </c>
      <c r="C15" s="16">
        <v>0.17554010399999997</v>
      </c>
      <c r="D15" s="16">
        <v>6.1688512000000001E-2</v>
      </c>
      <c r="E15" s="16">
        <v>236.91654470399999</v>
      </c>
      <c r="F15" s="17">
        <v>3.7194544000000003E-2</v>
      </c>
      <c r="G15" s="17">
        <v>4.9895119999999998E-3</v>
      </c>
      <c r="H15" s="16">
        <v>239.29880988799999</v>
      </c>
      <c r="I15" s="17">
        <v>2.081988162605895E-2</v>
      </c>
      <c r="J15" s="23">
        <v>4.8819734408505198E-2</v>
      </c>
      <c r="K15" s="26"/>
    </row>
    <row r="16" spans="1:14" ht="18" customHeight="1">
      <c r="A16" s="15" t="s">
        <v>126</v>
      </c>
      <c r="B16" s="15" t="s">
        <v>127</v>
      </c>
      <c r="C16" s="16">
        <v>0.26308335999999999</v>
      </c>
      <c r="D16" s="16">
        <v>0.17100418399999998</v>
      </c>
      <c r="E16" s="16">
        <v>289.86207090400001</v>
      </c>
      <c r="F16" s="17">
        <v>2.9029888E-2</v>
      </c>
      <c r="G16" s="17">
        <v>4.0823279999999997E-3</v>
      </c>
      <c r="H16" s="16">
        <v>291.82430989600005</v>
      </c>
      <c r="I16" s="17">
        <v>1.6915187499142992E-2</v>
      </c>
      <c r="J16" s="23">
        <v>4.8044463575380503E-2</v>
      </c>
      <c r="K16" s="26"/>
    </row>
    <row r="17" spans="1:11" ht="18" customHeight="1">
      <c r="A17" s="15" t="s">
        <v>128</v>
      </c>
      <c r="B17" s="15" t="s">
        <v>129</v>
      </c>
      <c r="C17" s="16">
        <v>0.113851592</v>
      </c>
      <c r="D17" s="16">
        <v>1.1793392E-2</v>
      </c>
      <c r="E17" s="16">
        <v>270.52861908799997</v>
      </c>
      <c r="F17" s="17">
        <v>9.9790239999999995E-3</v>
      </c>
      <c r="G17" s="17">
        <v>1.360776E-3</v>
      </c>
      <c r="H17" s="16">
        <v>271.14006110399998</v>
      </c>
      <c r="I17" s="17">
        <v>3.3150655719422023E-2</v>
      </c>
      <c r="J17" s="23">
        <v>4.8819734408505198E-2</v>
      </c>
      <c r="K17" s="26"/>
    </row>
    <row r="18" spans="1:11" ht="18" customHeight="1">
      <c r="A18" s="15" t="s">
        <v>130</v>
      </c>
      <c r="B18" s="15" t="s">
        <v>131</v>
      </c>
      <c r="C18" s="16">
        <v>0.39008911999999996</v>
      </c>
      <c r="D18" s="16">
        <v>0.106140528</v>
      </c>
      <c r="E18" s="16">
        <v>537.16224367200005</v>
      </c>
      <c r="F18" s="17">
        <v>6.3049288000000009E-2</v>
      </c>
      <c r="G18" s="17">
        <v>8.1646559999999993E-3</v>
      </c>
      <c r="H18" s="16">
        <v>541.17653287199994</v>
      </c>
      <c r="I18" s="17">
        <v>2.7903339205076025E-2</v>
      </c>
      <c r="J18" s="23">
        <v>4.8819734408505198E-2</v>
      </c>
      <c r="K18" s="26"/>
    </row>
    <row r="19" spans="1:11" ht="18" customHeight="1">
      <c r="A19" s="15" t="s">
        <v>132</v>
      </c>
      <c r="B19" s="15" t="s">
        <v>133</v>
      </c>
      <c r="C19" s="16">
        <v>6.1688512000000001E-2</v>
      </c>
      <c r="D19" s="16">
        <v>4.1730463999999995E-2</v>
      </c>
      <c r="E19" s="16">
        <v>114.809578304</v>
      </c>
      <c r="F19" s="17">
        <v>8.1646559999999993E-3</v>
      </c>
      <c r="G19" s="17">
        <v>9.0718400000000001E-4</v>
      </c>
      <c r="H19" s="16">
        <v>115.162019288</v>
      </c>
      <c r="I19" s="17">
        <v>7.5036567546769694E-3</v>
      </c>
      <c r="J19" s="23">
        <v>4.8819734408505198E-2</v>
      </c>
      <c r="K19" s="26"/>
    </row>
    <row r="20" spans="1:11" ht="18" customHeight="1">
      <c r="A20" s="15" t="s">
        <v>134</v>
      </c>
      <c r="B20" s="15" t="s">
        <v>135</v>
      </c>
      <c r="C20" s="16">
        <v>0.151046136</v>
      </c>
      <c r="D20" s="16">
        <v>0.21772415999999997</v>
      </c>
      <c r="E20" s="16">
        <v>324.75644987199996</v>
      </c>
      <c r="F20" s="17">
        <v>2.7669111999999999E-2</v>
      </c>
      <c r="G20" s="17">
        <v>3.628736E-3</v>
      </c>
      <c r="H20" s="16">
        <v>326.576714568</v>
      </c>
      <c r="I20" s="17">
        <v>2.1827842854628333E-2</v>
      </c>
      <c r="J20" s="23">
        <v>4.8819734408505198E-2</v>
      </c>
      <c r="K20" s="26"/>
    </row>
    <row r="21" spans="1:11" ht="18" customHeight="1">
      <c r="A21" s="15" t="s">
        <v>136</v>
      </c>
      <c r="B21" s="15" t="s">
        <v>137</v>
      </c>
      <c r="C21" s="16">
        <v>0.36196641599999996</v>
      </c>
      <c r="D21" s="16">
        <v>0.58785523200000001</v>
      </c>
      <c r="E21" s="16">
        <v>595.36671551999996</v>
      </c>
      <c r="F21" s="17">
        <v>5.8513368000000003E-2</v>
      </c>
      <c r="G21" s="17">
        <v>8.1646559999999993E-3</v>
      </c>
      <c r="H21" s="16">
        <v>599.27894651999998</v>
      </c>
      <c r="I21" s="17">
        <v>2.9017641762779715E-2</v>
      </c>
      <c r="J21" s="23">
        <v>4.8819734408505198E-2</v>
      </c>
      <c r="K21" s="26"/>
    </row>
    <row r="22" spans="1:11" ht="18" customHeight="1">
      <c r="A22" s="15" t="s">
        <v>138</v>
      </c>
      <c r="B22" s="15" t="s">
        <v>139</v>
      </c>
      <c r="C22" s="16">
        <v>0.37421339999999997</v>
      </c>
      <c r="D22" s="16">
        <v>0.41957260000000002</v>
      </c>
      <c r="E22" s="16">
        <v>528.9318168320001</v>
      </c>
      <c r="F22" s="17">
        <v>5.3070263999999999E-2</v>
      </c>
      <c r="G22" s="17">
        <v>7.7110640000000001E-3</v>
      </c>
      <c r="H22" s="16">
        <v>532.53016216800006</v>
      </c>
      <c r="I22" s="17">
        <v>4.7982256979125691E-2</v>
      </c>
      <c r="J22" s="23">
        <v>4.8819734408505198E-2</v>
      </c>
      <c r="K22" s="26"/>
    </row>
    <row r="23" spans="1:11" ht="18" customHeight="1">
      <c r="A23" s="15" t="s">
        <v>140</v>
      </c>
      <c r="B23" s="15" t="s">
        <v>141</v>
      </c>
      <c r="C23" s="16">
        <v>0.30526741600000001</v>
      </c>
      <c r="D23" s="16">
        <v>0.18960145599999997</v>
      </c>
      <c r="E23" s="16">
        <v>577.70157508</v>
      </c>
      <c r="F23" s="17">
        <v>5.5791815999999994E-2</v>
      </c>
      <c r="G23" s="17">
        <v>8.1646559999999993E-3</v>
      </c>
      <c r="H23" s="16">
        <v>581.47954284799994</v>
      </c>
      <c r="I23" s="17">
        <v>1.096286316761799E-2</v>
      </c>
      <c r="J23" s="23">
        <v>4.8044463575380503E-2</v>
      </c>
      <c r="K23" s="26"/>
    </row>
    <row r="24" spans="1:11" ht="18" customHeight="1">
      <c r="A24" s="15" t="s">
        <v>142</v>
      </c>
      <c r="B24" s="15" t="s">
        <v>143</v>
      </c>
      <c r="C24" s="16">
        <v>0.29120606399999999</v>
      </c>
      <c r="D24" s="16">
        <v>0.151046136</v>
      </c>
      <c r="E24" s="16">
        <v>527.61231770399991</v>
      </c>
      <c r="F24" s="17">
        <v>5.6245407999999997E-2</v>
      </c>
      <c r="G24" s="17">
        <v>8.1646559999999993E-3</v>
      </c>
      <c r="H24" s="16">
        <v>531.431108752</v>
      </c>
      <c r="I24" s="17">
        <v>2.2791598306104228E-2</v>
      </c>
      <c r="J24" s="23">
        <v>4.8819734408505198E-2</v>
      </c>
      <c r="K24" s="26"/>
    </row>
    <row r="25" spans="1:11" ht="18" customHeight="1">
      <c r="A25" s="15" t="s">
        <v>144</v>
      </c>
      <c r="B25" s="15" t="s">
        <v>145</v>
      </c>
      <c r="C25" s="16">
        <v>0.37738854399999999</v>
      </c>
      <c r="D25" s="16">
        <v>0.56336126399999997</v>
      </c>
      <c r="E25" s="16">
        <v>529.15226254400011</v>
      </c>
      <c r="F25" s="17">
        <v>4.1276871999999999E-2</v>
      </c>
      <c r="G25" s="17">
        <v>5.8966959999999999E-3</v>
      </c>
      <c r="H25" s="16">
        <v>531.95228596000004</v>
      </c>
      <c r="I25" s="17">
        <v>2.3215782561480047E-2</v>
      </c>
      <c r="J25" s="23">
        <v>4.8819734408505198E-2</v>
      </c>
      <c r="K25" s="26"/>
    </row>
    <row r="26" spans="1:11" ht="18" customHeight="1">
      <c r="A26" s="15" t="s">
        <v>146</v>
      </c>
      <c r="B26" s="15" t="s">
        <v>147</v>
      </c>
      <c r="C26" s="16">
        <v>0.27850548800000002</v>
      </c>
      <c r="D26" s="16">
        <v>0.43544831999999994</v>
      </c>
      <c r="E26" s="16">
        <v>387.66013483999996</v>
      </c>
      <c r="F26" s="17">
        <v>2.4947560000000001E-2</v>
      </c>
      <c r="G26" s="17">
        <v>3.628736E-3</v>
      </c>
      <c r="H26" s="16">
        <v>389.34931144800004</v>
      </c>
      <c r="I26" s="17">
        <v>2.0098255723962177E-2</v>
      </c>
      <c r="J26" s="23">
        <v>4.8819734408505198E-2</v>
      </c>
      <c r="K26" s="26"/>
    </row>
    <row r="27" spans="1:11" ht="18" customHeight="1">
      <c r="A27" s="15" t="s">
        <v>148</v>
      </c>
      <c r="B27" s="15" t="s">
        <v>149</v>
      </c>
      <c r="C27" s="16">
        <v>0.48080751999999999</v>
      </c>
      <c r="D27" s="16">
        <v>1.1285368960000002</v>
      </c>
      <c r="E27" s="16">
        <v>754.8451268</v>
      </c>
      <c r="F27" s="17">
        <v>8.3914519999999992E-2</v>
      </c>
      <c r="G27" s="17">
        <v>1.2246983999999999E-2</v>
      </c>
      <c r="H27" s="16">
        <v>760.57490094399998</v>
      </c>
      <c r="I27" s="17">
        <v>2.9413379885005982E-2</v>
      </c>
      <c r="J27" s="23">
        <v>4.8819734408505198E-2</v>
      </c>
      <c r="K27" s="26"/>
    </row>
    <row r="28" spans="1:11" ht="18" customHeight="1">
      <c r="A28" s="15" t="s">
        <v>150</v>
      </c>
      <c r="B28" s="15" t="s">
        <v>151</v>
      </c>
      <c r="C28" s="16">
        <v>0.22498163199999999</v>
      </c>
      <c r="D28" s="16">
        <v>0.13471682400000001</v>
      </c>
      <c r="E28" s="16">
        <v>466.25991737600003</v>
      </c>
      <c r="F28" s="17">
        <v>3.6740952E-2</v>
      </c>
      <c r="G28" s="17">
        <v>5.4431039999999998E-3</v>
      </c>
      <c r="H28" s="16">
        <v>468.77417783199996</v>
      </c>
      <c r="I28" s="17">
        <v>1.5949737269951084E-2</v>
      </c>
      <c r="J28" s="23">
        <v>4.8819734408505198E-2</v>
      </c>
      <c r="K28" s="26"/>
    </row>
    <row r="29" spans="1:11" ht="18" customHeight="1">
      <c r="A29" s="15" t="s">
        <v>152</v>
      </c>
      <c r="B29" s="15" t="s">
        <v>153</v>
      </c>
      <c r="C29" s="16">
        <v>0.24992919199999999</v>
      </c>
      <c r="D29" s="16">
        <v>0.28077344799999998</v>
      </c>
      <c r="E29" s="16">
        <v>467.89693090399999</v>
      </c>
      <c r="F29" s="17">
        <v>4.3998424000000001E-2</v>
      </c>
      <c r="G29" s="17">
        <v>6.3502879999999999E-3</v>
      </c>
      <c r="H29" s="16">
        <v>470.88610218399998</v>
      </c>
      <c r="I29" s="17">
        <v>7.2346124368430256E-2</v>
      </c>
      <c r="J29" s="23">
        <v>4.8819734408505198E-2</v>
      </c>
      <c r="K29" s="26"/>
    </row>
    <row r="30" spans="1:11" ht="18" customHeight="1">
      <c r="A30" s="15" t="s">
        <v>154</v>
      </c>
      <c r="B30" s="15" t="s">
        <v>155</v>
      </c>
      <c r="C30" s="16">
        <v>0.198219704</v>
      </c>
      <c r="D30" s="16">
        <v>0.11929469600000001</v>
      </c>
      <c r="E30" s="16">
        <v>337.16763417599998</v>
      </c>
      <c r="F30" s="17">
        <v>3.0390664000000001E-2</v>
      </c>
      <c r="G30" s="17">
        <v>4.0823279999999997E-3</v>
      </c>
      <c r="H30" s="16">
        <v>339.06591669600004</v>
      </c>
      <c r="I30" s="17">
        <v>2.3348259680879665E-2</v>
      </c>
      <c r="J30" s="23">
        <v>4.8819734408505198E-2</v>
      </c>
      <c r="K30" s="26"/>
    </row>
    <row r="31" spans="1:11">
      <c r="A31" s="29" t="s">
        <v>156</v>
      </c>
      <c r="B31" s="29" t="s">
        <v>156</v>
      </c>
      <c r="C31" s="127"/>
      <c r="D31" s="127"/>
      <c r="E31" s="127"/>
      <c r="F31" s="127"/>
      <c r="G31" s="127"/>
      <c r="H31" s="127"/>
      <c r="I31" s="127"/>
      <c r="J31" s="127"/>
    </row>
    <row r="32" spans="1:11">
      <c r="A32" s="29" t="s">
        <v>157</v>
      </c>
      <c r="B32" s="29" t="s">
        <v>157</v>
      </c>
      <c r="C32" s="127"/>
      <c r="D32" s="127"/>
      <c r="E32" s="127"/>
      <c r="F32" s="127"/>
      <c r="G32" s="127"/>
      <c r="H32" s="127"/>
      <c r="I32" s="127"/>
      <c r="J32" s="127"/>
    </row>
    <row r="33" spans="1:10">
      <c r="C33" s="109"/>
      <c r="D33" s="109"/>
      <c r="E33" s="109"/>
      <c r="F33" s="109"/>
      <c r="G33" s="109"/>
      <c r="H33" s="109"/>
      <c r="I33" s="109"/>
      <c r="J33" s="109"/>
    </row>
    <row r="35" spans="1:10">
      <c r="A35" s="13" t="s">
        <v>358</v>
      </c>
    </row>
    <row r="36" spans="1:10">
      <c r="A36" s="13" t="s">
        <v>359</v>
      </c>
    </row>
    <row r="67" spans="21:21">
      <c r="U67"/>
    </row>
  </sheetData>
  <sheetProtection formatCells="0"/>
  <sortState xmlns:xlrd2="http://schemas.microsoft.com/office/spreadsheetml/2017/richdata2" ref="A5:H30">
    <sortCondition ref="A5"/>
  </sortState>
  <mergeCells count="2">
    <mergeCell ref="A2:B2"/>
    <mergeCell ref="C2:J2"/>
  </mergeCells>
  <phoneticPr fontId="15" type="noConversion"/>
  <dataValidations count="1">
    <dataValidation allowBlank="1" showInputMessage="1" showErrorMessage="1" promptTitle="User Defined" prompt="User Defined" sqref="C31:J32" xr:uid="{34211CCF-DCE0-4188-9A05-329E708D8427}"/>
  </dataValidations>
  <pageMargins left="0.75" right="0.75" top="1" bottom="1" header="0.5" footer="0.5"/>
  <pageSetup scale="46" fitToHeight="0" orientation="landscape" horizontalDpi="4294967292" verticalDpi="4294967292" r:id="rId1"/>
  <headerFooter differentFirst="1">
    <oddFooter>&amp;LShore Power Emissions Calculator, Version 2022a
&amp;A&amp;RPage &amp;P of &amp;N</oddFooter>
    <firstFooter>&amp;RPage &amp;P of &amp;N</first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R23"/>
  <sheetViews>
    <sheetView workbookViewId="0">
      <selection activeCell="H6" sqref="H6"/>
    </sheetView>
  </sheetViews>
  <sheetFormatPr defaultColWidth="11" defaultRowHeight="15.6"/>
  <cols>
    <col min="1" max="1" width="17.69921875" style="13" customWidth="1"/>
    <col min="2" max="2" width="18.69921875" style="13" customWidth="1"/>
    <col min="3" max="3" width="24.19921875" style="13" customWidth="1"/>
    <col min="4" max="4" width="11" style="36"/>
    <col min="5" max="5" width="12.19921875" style="36" customWidth="1"/>
    <col min="6" max="6" width="12.296875" style="36" customWidth="1"/>
    <col min="7" max="7" width="12.69921875" style="36" customWidth="1"/>
    <col min="8" max="8" width="13" style="36" customWidth="1"/>
    <col min="9" max="9" width="12" style="36" customWidth="1"/>
    <col min="10" max="13" width="11" style="13"/>
    <col min="14" max="14" width="17.796875" style="13" customWidth="1"/>
    <col min="15" max="15" width="18.296875" style="13" customWidth="1"/>
    <col min="16" max="16" width="16.69921875" style="13" bestFit="1" customWidth="1"/>
    <col min="17" max="16384" width="11" style="13"/>
  </cols>
  <sheetData>
    <row r="1" spans="1:18" s="34" customFormat="1">
      <c r="A1" s="34" t="s">
        <v>158</v>
      </c>
      <c r="D1" s="35"/>
      <c r="E1" s="35"/>
      <c r="F1" s="35"/>
      <c r="G1" s="35"/>
      <c r="H1" s="35"/>
      <c r="I1" s="35"/>
    </row>
    <row r="2" spans="1:18">
      <c r="A2" s="15" t="s">
        <v>349</v>
      </c>
    </row>
    <row r="3" spans="1:18">
      <c r="A3" s="15"/>
    </row>
    <row r="4" spans="1:18">
      <c r="A4" s="15"/>
      <c r="B4" s="13" t="s">
        <v>159</v>
      </c>
      <c r="C4" s="37" t="s">
        <v>344</v>
      </c>
      <c r="D4" s="51" t="s">
        <v>160</v>
      </c>
      <c r="E4" s="51" t="s">
        <v>161</v>
      </c>
      <c r="F4" s="51" t="s">
        <v>162</v>
      </c>
      <c r="G4" s="51" t="s">
        <v>163</v>
      </c>
      <c r="H4" s="51" t="s">
        <v>164</v>
      </c>
      <c r="I4" s="51" t="s">
        <v>165</v>
      </c>
      <c r="N4" s="13" t="s">
        <v>166</v>
      </c>
    </row>
    <row r="5" spans="1:18" ht="16.2" thickBot="1">
      <c r="A5" s="15"/>
      <c r="B5" s="13" t="s">
        <v>167</v>
      </c>
      <c r="C5" s="38" t="s">
        <v>168</v>
      </c>
      <c r="D5" s="52"/>
      <c r="E5" s="52" t="s">
        <v>169</v>
      </c>
      <c r="F5" s="52"/>
      <c r="G5" s="52" t="s">
        <v>170</v>
      </c>
      <c r="H5" s="52"/>
      <c r="I5" s="52"/>
    </row>
    <row r="6" spans="1:18" ht="18" customHeight="1" thickBot="1">
      <c r="A6" s="40" t="s">
        <v>171</v>
      </c>
      <c r="B6" s="40" t="s">
        <v>172</v>
      </c>
      <c r="C6" s="40" t="s">
        <v>14</v>
      </c>
      <c r="D6" s="53" t="s">
        <v>100</v>
      </c>
      <c r="E6" s="53" t="s">
        <v>86</v>
      </c>
      <c r="F6" s="53" t="s">
        <v>88</v>
      </c>
      <c r="G6" s="53" t="s">
        <v>101</v>
      </c>
      <c r="H6" s="53" t="s">
        <v>87</v>
      </c>
      <c r="I6" s="53" t="s">
        <v>102</v>
      </c>
      <c r="J6" s="53" t="s">
        <v>89</v>
      </c>
      <c r="O6" s="114" t="s">
        <v>71</v>
      </c>
      <c r="P6" s="114" t="s">
        <v>101</v>
      </c>
    </row>
    <row r="7" spans="1:18" ht="18" customHeight="1">
      <c r="A7" s="41"/>
      <c r="B7" s="41"/>
      <c r="C7" s="41"/>
      <c r="D7" s="54"/>
      <c r="E7" s="54"/>
      <c r="F7" s="54"/>
      <c r="G7" s="54"/>
      <c r="H7" s="54"/>
      <c r="I7" s="54"/>
      <c r="J7" s="54"/>
      <c r="N7" s="13" t="s">
        <v>173</v>
      </c>
      <c r="O7" s="39">
        <f>0.0000317*166</f>
        <v>5.2621999999999999E-3</v>
      </c>
      <c r="P7" s="13">
        <v>5.5</v>
      </c>
    </row>
    <row r="8" spans="1:18" ht="18" customHeight="1">
      <c r="A8" s="59" t="s">
        <v>16</v>
      </c>
      <c r="B8" s="59" t="s">
        <v>174</v>
      </c>
      <c r="C8" s="60" t="str">
        <f>_xlfn.CONCAT(B8, " - ", A8)</f>
        <v>MGO (0.10% S) - Tier 0</v>
      </c>
      <c r="D8" s="122">
        <f>References!D10</f>
        <v>13.8</v>
      </c>
      <c r="E8" s="118">
        <f>References!E10</f>
        <v>0.42399999999999999</v>
      </c>
      <c r="F8" s="61">
        <f>References!F10</f>
        <v>696</v>
      </c>
      <c r="G8" s="62">
        <f>References!G10</f>
        <v>0.01</v>
      </c>
      <c r="H8" s="118">
        <f>References!H10</f>
        <v>0.16600000000000001</v>
      </c>
      <c r="I8" s="62">
        <f>References!I10</f>
        <v>2.9000000000000001E-2</v>
      </c>
      <c r="J8" s="61">
        <f>References!J10</f>
        <v>705</v>
      </c>
      <c r="N8" s="13" t="s">
        <v>175</v>
      </c>
      <c r="O8" s="13" t="s">
        <v>176</v>
      </c>
      <c r="P8" s="13" t="s">
        <v>177</v>
      </c>
    </row>
    <row r="9" spans="1:18" ht="18" customHeight="1">
      <c r="A9" s="59" t="s">
        <v>18</v>
      </c>
      <c r="B9" s="59" t="s">
        <v>174</v>
      </c>
      <c r="C9" s="60" t="str">
        <f t="shared" ref="C9:C22" si="0">_xlfn.CONCAT(B9, " - ", A9)</f>
        <v>MGO (0.10% S) - Tier I</v>
      </c>
      <c r="D9" s="122">
        <f>References!D11</f>
        <v>12.2</v>
      </c>
      <c r="E9" s="118">
        <f>References!E11</f>
        <v>0.42399999999999999</v>
      </c>
      <c r="F9" s="61">
        <f>References!F11</f>
        <v>696</v>
      </c>
      <c r="G9" s="62">
        <f>References!G11</f>
        <v>0.01</v>
      </c>
      <c r="H9" s="118">
        <f>References!H11</f>
        <v>0.16600000000000001</v>
      </c>
      <c r="I9" s="62">
        <f>References!I11</f>
        <v>2.9000000000000001E-2</v>
      </c>
      <c r="J9" s="61">
        <f>References!J11</f>
        <v>705</v>
      </c>
    </row>
    <row r="10" spans="1:18" ht="18" customHeight="1">
      <c r="A10" s="59" t="s">
        <v>20</v>
      </c>
      <c r="B10" s="59" t="s">
        <v>174</v>
      </c>
      <c r="C10" s="60" t="str">
        <f t="shared" si="0"/>
        <v>MGO (0.10% S) - Tier II</v>
      </c>
      <c r="D10" s="122">
        <f>References!D12</f>
        <v>10.5</v>
      </c>
      <c r="E10" s="118">
        <f>References!E12</f>
        <v>0.42399999999999999</v>
      </c>
      <c r="F10" s="61">
        <f>References!F12</f>
        <v>696</v>
      </c>
      <c r="G10" s="62">
        <f>References!G12</f>
        <v>0.01</v>
      </c>
      <c r="H10" s="118">
        <f>References!H12</f>
        <v>0.16600000000000001</v>
      </c>
      <c r="I10" s="62">
        <f>References!I12</f>
        <v>2.9000000000000001E-2</v>
      </c>
      <c r="J10" s="61">
        <f>References!J12</f>
        <v>705</v>
      </c>
      <c r="N10" s="55" t="s">
        <v>178</v>
      </c>
      <c r="O10" s="52"/>
      <c r="P10" s="52"/>
      <c r="Q10" s="52"/>
      <c r="R10" s="52"/>
    </row>
    <row r="11" spans="1:18" ht="18" customHeight="1">
      <c r="A11" s="59" t="s">
        <v>22</v>
      </c>
      <c r="B11" s="59" t="s">
        <v>174</v>
      </c>
      <c r="C11" s="60" t="str">
        <f t="shared" si="0"/>
        <v>MGO (0.10% S) - Tier III</v>
      </c>
      <c r="D11" s="122">
        <f>References!D13</f>
        <v>2.6</v>
      </c>
      <c r="E11" s="118">
        <f>References!E13</f>
        <v>0.42399999999999999</v>
      </c>
      <c r="F11" s="61">
        <f>References!F13</f>
        <v>696</v>
      </c>
      <c r="G11" s="62">
        <f>References!G13</f>
        <v>0.01</v>
      </c>
      <c r="H11" s="118">
        <f>References!H13</f>
        <v>0.16600000000000001</v>
      </c>
      <c r="I11" s="62">
        <f>References!I13</f>
        <v>2.9000000000000001E-2</v>
      </c>
      <c r="J11" s="61">
        <f>References!J13</f>
        <v>705</v>
      </c>
    </row>
    <row r="12" spans="1:18" ht="18" customHeight="1">
      <c r="A12" s="59" t="s">
        <v>16</v>
      </c>
      <c r="B12" s="59" t="s">
        <v>179</v>
      </c>
      <c r="C12" s="60" t="str">
        <f t="shared" si="0"/>
        <v>MDO (0.50% S) - Tier 0</v>
      </c>
      <c r="D12" s="122">
        <f>References!D14</f>
        <v>13.8</v>
      </c>
      <c r="E12" s="62">
        <f>References!E14</f>
        <v>2.121</v>
      </c>
      <c r="F12" s="61">
        <f>References!F14</f>
        <v>696</v>
      </c>
      <c r="G12" s="62">
        <f>References!G14</f>
        <v>0.01</v>
      </c>
      <c r="H12" s="118">
        <f>References!H14</f>
        <v>0.29399999999999998</v>
      </c>
      <c r="I12" s="62">
        <f>References!I14</f>
        <v>2.9000000000000001E-2</v>
      </c>
      <c r="J12" s="61">
        <f>References!J14</f>
        <v>705</v>
      </c>
    </row>
    <row r="13" spans="1:18" ht="18" customHeight="1">
      <c r="A13" s="59" t="s">
        <v>18</v>
      </c>
      <c r="B13" s="59" t="s">
        <v>179</v>
      </c>
      <c r="C13" s="60" t="str">
        <f t="shared" si="0"/>
        <v>MDO (0.50% S) - Tier I</v>
      </c>
      <c r="D13" s="122">
        <f>References!D15</f>
        <v>12.2</v>
      </c>
      <c r="E13" s="62">
        <f>References!E15</f>
        <v>2.121</v>
      </c>
      <c r="F13" s="61">
        <f>References!F15</f>
        <v>696</v>
      </c>
      <c r="G13" s="62">
        <f>References!G15</f>
        <v>0.01</v>
      </c>
      <c r="H13" s="118">
        <f>References!H15</f>
        <v>0.29399999999999998</v>
      </c>
      <c r="I13" s="62">
        <f>References!I15</f>
        <v>2.9000000000000001E-2</v>
      </c>
      <c r="J13" s="61">
        <f>References!J15</f>
        <v>705</v>
      </c>
    </row>
    <row r="14" spans="1:18" ht="18" customHeight="1">
      <c r="A14" s="59" t="s">
        <v>20</v>
      </c>
      <c r="B14" s="59" t="s">
        <v>179</v>
      </c>
      <c r="C14" s="60" t="str">
        <f t="shared" si="0"/>
        <v>MDO (0.50% S) - Tier II</v>
      </c>
      <c r="D14" s="122">
        <f>References!D16</f>
        <v>10.5</v>
      </c>
      <c r="E14" s="62">
        <f>References!E16</f>
        <v>2.121</v>
      </c>
      <c r="F14" s="61">
        <f>References!F16</f>
        <v>696</v>
      </c>
      <c r="G14" s="62">
        <f>References!G16</f>
        <v>0.01</v>
      </c>
      <c r="H14" s="118">
        <f>References!H16</f>
        <v>0.29399999999999998</v>
      </c>
      <c r="I14" s="62">
        <f>References!I16</f>
        <v>2.9000000000000001E-2</v>
      </c>
      <c r="J14" s="61">
        <f>References!J16</f>
        <v>705</v>
      </c>
    </row>
    <row r="15" spans="1:18" ht="18" customHeight="1">
      <c r="A15" s="59" t="s">
        <v>22</v>
      </c>
      <c r="B15" s="59" t="s">
        <v>179</v>
      </c>
      <c r="C15" s="60" t="str">
        <f t="shared" si="0"/>
        <v>MDO (0.50% S) - Tier III</v>
      </c>
      <c r="D15" s="122">
        <f>References!D17</f>
        <v>2.6</v>
      </c>
      <c r="E15" s="62">
        <f>References!E17</f>
        <v>2.121</v>
      </c>
      <c r="F15" s="61">
        <f>References!F17</f>
        <v>696</v>
      </c>
      <c r="G15" s="62">
        <f>References!G17</f>
        <v>0.01</v>
      </c>
      <c r="H15" s="118">
        <f>References!H17</f>
        <v>0.29399999999999998</v>
      </c>
      <c r="I15" s="62">
        <f>References!I17</f>
        <v>2.9000000000000001E-2</v>
      </c>
      <c r="J15" s="61">
        <f>References!J17</f>
        <v>705</v>
      </c>
    </row>
    <row r="16" spans="1:18" ht="18" customHeight="1">
      <c r="A16" s="59" t="s">
        <v>16</v>
      </c>
      <c r="B16" s="59" t="s">
        <v>180</v>
      </c>
      <c r="C16" s="60" t="str">
        <f t="shared" si="0"/>
        <v>HFO (3.50% S) - Tier 0</v>
      </c>
      <c r="D16" s="122">
        <f>References!D18</f>
        <v>14.7</v>
      </c>
      <c r="E16" s="122">
        <f>References!E18</f>
        <v>11.983000000000001</v>
      </c>
      <c r="F16" s="61">
        <f>References!F18</f>
        <v>707</v>
      </c>
      <c r="G16" s="62">
        <f>References!G18</f>
        <v>0.01</v>
      </c>
      <c r="H16" s="62">
        <f>References!H18</f>
        <v>1.417</v>
      </c>
      <c r="I16" s="62">
        <f>References!I18</f>
        <v>3.1E-2</v>
      </c>
      <c r="J16" s="61">
        <f>References!J18</f>
        <v>717</v>
      </c>
    </row>
    <row r="17" spans="1:10" ht="18" customHeight="1">
      <c r="A17" s="59" t="s">
        <v>18</v>
      </c>
      <c r="B17" s="59" t="s">
        <v>180</v>
      </c>
      <c r="C17" s="60" t="str">
        <f t="shared" si="0"/>
        <v>HFO (3.50% S) - Tier I</v>
      </c>
      <c r="D17" s="122">
        <f>References!D19</f>
        <v>13</v>
      </c>
      <c r="E17" s="122">
        <f>References!E19</f>
        <v>11.983000000000001</v>
      </c>
      <c r="F17" s="61">
        <f>References!F19</f>
        <v>707</v>
      </c>
      <c r="G17" s="62">
        <f>References!G19</f>
        <v>0.01</v>
      </c>
      <c r="H17" s="62">
        <f>References!H19</f>
        <v>1.417</v>
      </c>
      <c r="I17" s="62">
        <f>References!I19</f>
        <v>3.1E-2</v>
      </c>
      <c r="J17" s="61">
        <f>References!J19</f>
        <v>717</v>
      </c>
    </row>
    <row r="18" spans="1:10" ht="18" customHeight="1">
      <c r="A18" s="59" t="s">
        <v>20</v>
      </c>
      <c r="B18" s="59" t="s">
        <v>180</v>
      </c>
      <c r="C18" s="60" t="str">
        <f t="shared" si="0"/>
        <v>HFO (3.50% S) - Tier II</v>
      </c>
      <c r="D18" s="122">
        <f>References!D20</f>
        <v>11.2</v>
      </c>
      <c r="E18" s="122">
        <f>References!E20</f>
        <v>11.983000000000001</v>
      </c>
      <c r="F18" s="61">
        <f>References!F20</f>
        <v>707</v>
      </c>
      <c r="G18" s="62">
        <f>References!G20</f>
        <v>0.01</v>
      </c>
      <c r="H18" s="62">
        <f>References!H20</f>
        <v>1.417</v>
      </c>
      <c r="I18" s="62">
        <f>References!I20</f>
        <v>3.1E-2</v>
      </c>
      <c r="J18" s="61">
        <f>References!J20</f>
        <v>717</v>
      </c>
    </row>
    <row r="19" spans="1:10" ht="18" customHeight="1">
      <c r="A19" s="59" t="s">
        <v>22</v>
      </c>
      <c r="B19" s="59" t="s">
        <v>180</v>
      </c>
      <c r="C19" s="60" t="str">
        <f t="shared" si="0"/>
        <v>HFO (3.50% S) - Tier III</v>
      </c>
      <c r="D19" s="122">
        <f>References!D21</f>
        <v>2.8</v>
      </c>
      <c r="E19" s="122">
        <f>References!E21</f>
        <v>11.983000000000001</v>
      </c>
      <c r="F19" s="61">
        <f>References!F21</f>
        <v>707</v>
      </c>
      <c r="G19" s="62">
        <f>References!G21</f>
        <v>0.01</v>
      </c>
      <c r="H19" s="62">
        <f>References!H21</f>
        <v>1.417</v>
      </c>
      <c r="I19" s="62">
        <f>References!I21</f>
        <v>3.1E-2</v>
      </c>
      <c r="J19" s="61">
        <f>References!J21</f>
        <v>717</v>
      </c>
    </row>
    <row r="20" spans="1:10" ht="18" customHeight="1">
      <c r="A20" s="59" t="s">
        <v>181</v>
      </c>
      <c r="B20" s="59" t="s">
        <v>58</v>
      </c>
      <c r="C20" s="60" t="str">
        <f t="shared" si="0"/>
        <v>LNG - Otto - MS</v>
      </c>
      <c r="D20" s="122">
        <f>References!D22</f>
        <v>1.3</v>
      </c>
      <c r="E20" s="123">
        <f>References!E22</f>
        <v>5.2599999999999999E-3</v>
      </c>
      <c r="F20" s="61">
        <f>References!F22</f>
        <v>457</v>
      </c>
      <c r="G20" s="119">
        <f>References!G22</f>
        <v>5.5</v>
      </c>
      <c r="H20" s="124">
        <f>References!H22</f>
        <v>0.03</v>
      </c>
      <c r="I20" s="62">
        <f>References!I22</f>
        <v>2.9000000000000001E-2</v>
      </c>
      <c r="J20" s="61">
        <f>References!J22</f>
        <v>603</v>
      </c>
    </row>
    <row r="21" spans="1:10" ht="16.95" customHeight="1">
      <c r="A21" s="42" t="s">
        <v>182</v>
      </c>
      <c r="B21" s="42" t="s">
        <v>183</v>
      </c>
      <c r="C21" s="56" t="str">
        <f t="shared" si="0"/>
        <v>USER FUEL 1 - USER TIER</v>
      </c>
      <c r="D21" s="83"/>
      <c r="E21" s="83"/>
      <c r="F21" s="82"/>
      <c r="G21" s="83"/>
      <c r="H21" s="83"/>
      <c r="I21" s="83"/>
      <c r="J21" s="81" t="str">
        <f>IF(ISBLANK($F21),"", ROUND((F21*References!$O$29)+(G21*References!$O$30)+(I21*References!$O$31),0))</f>
        <v/>
      </c>
    </row>
    <row r="22" spans="1:10" ht="16.95" customHeight="1">
      <c r="A22" s="42" t="s">
        <v>182</v>
      </c>
      <c r="B22" s="42" t="s">
        <v>184</v>
      </c>
      <c r="C22" s="56" t="str">
        <f t="shared" si="0"/>
        <v>USER FUEL 2 - USER TIER</v>
      </c>
      <c r="D22" s="83"/>
      <c r="E22" s="83"/>
      <c r="F22" s="82"/>
      <c r="G22" s="83"/>
      <c r="H22" s="83"/>
      <c r="I22" s="83"/>
      <c r="J22" s="81" t="str">
        <f>IF(ISBLANK($F22),"", ROUND((F22*References!$O$29)+(G22*References!$O$30)+(I22*References!$O$31),0))</f>
        <v/>
      </c>
    </row>
    <row r="23" spans="1:10">
      <c r="D23" s="114"/>
      <c r="E23" s="114"/>
      <c r="F23" s="114"/>
      <c r="G23" s="114"/>
      <c r="H23" s="114"/>
      <c r="I23" s="114"/>
      <c r="J23" s="114"/>
    </row>
  </sheetData>
  <phoneticPr fontId="15" type="noConversion"/>
  <dataValidations xWindow="918" yWindow="1293" count="6">
    <dataValidation allowBlank="1" showInputMessage="1" showErrorMessage="1" promptTitle="Ref EPA 2020a" prompt="Ref EPA 2020a" sqref="E8:J19 F20 H20:J20" xr:uid="{9B26D392-AC21-4D4F-A6E0-54F2DE87312C}"/>
    <dataValidation allowBlank="1" showInputMessage="1" showErrorMessage="1" promptTitle="Ref IMO 2020" prompt="Ref IMO 2020" sqref="C5:I5 E20 G20" xr:uid="{78759619-7AFA-4AE8-8E82-7DA9AF9F04ED}"/>
    <dataValidation allowBlank="1" showInputMessage="1" showErrorMessage="1" promptTitle="User defined" prompt="User defined" sqref="D21:I22" xr:uid="{2522D4A8-BB0F-49CC-977B-FCE466657CE0}"/>
    <dataValidation allowBlank="1" showInputMessage="1" showErrorMessage="1" promptTitle="Ref EPA 2020a" prompt="Ref EPA 2020a_x000a_" sqref="D8:D20" xr:uid="{B70B2640-F35D-9047-9439-EDA0E674A27D}"/>
    <dataValidation allowBlank="1" showInputMessage="1" showErrorMessage="1" promptTitle="Calculated Value" prompt="Value is calculated based on GWPs given in the references tab" sqref="J21:J22" xr:uid="{5DD65473-53A3-0F40-9433-6DC2815FF4EE}"/>
    <dataValidation allowBlank="1" showInputMessage="1" showErrorMessage="1" promptTitle="Ref EPA 2022" prompt="Ref EPA 2022" sqref="D4 E4 F4 G4 H4 I4 C4" xr:uid="{F2E15787-5814-8644-AB12-9F905E767528}"/>
  </dataValidations>
  <pageMargins left="0.75" right="0.75" top="1" bottom="1" header="0.5" footer="0.5"/>
  <pageSetup scale="42" fitToHeight="0" orientation="landscape" horizontalDpi="4294967292" verticalDpi="4294967292" r:id="rId1"/>
  <headerFooter differentFirst="1">
    <oddFooter>&amp;LShore Power Emissions Calculator, Version 2022a
&amp;A&amp;RPage &amp;P of &amp;N</oddFooter>
    <firstFooter>&amp;RPage &amp;P of &amp;N</first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7CFCF-080B-4048-9D73-CFCEF36442A9}">
  <sheetPr>
    <pageSetUpPr fitToPage="1"/>
  </sheetPr>
  <dimension ref="A1:AF27"/>
  <sheetViews>
    <sheetView workbookViewId="0">
      <selection activeCell="B5" sqref="B5"/>
    </sheetView>
  </sheetViews>
  <sheetFormatPr defaultColWidth="11" defaultRowHeight="15.6"/>
  <cols>
    <col min="1" max="1" width="14.19921875" customWidth="1"/>
    <col min="2" max="2" width="19.19921875" bestFit="1" customWidth="1"/>
    <col min="3" max="3" width="19.19921875" customWidth="1"/>
    <col min="4" max="4" width="18.19921875" customWidth="1"/>
    <col min="5" max="5" width="19.5" customWidth="1"/>
    <col min="6" max="6" width="17.5" customWidth="1"/>
    <col min="7" max="7" width="18" style="1" customWidth="1"/>
    <col min="8" max="8" width="11.296875" style="1" customWidth="1"/>
    <col min="9" max="9" width="1.19921875" style="18" customWidth="1"/>
    <col min="10" max="10" width="12.296875" customWidth="1"/>
    <col min="11" max="14" width="9.796875" customWidth="1"/>
    <col min="15" max="15" width="1.19921875" style="76" customWidth="1"/>
    <col min="16" max="20" width="10.69921875" customWidth="1"/>
    <col min="21" max="21" width="1.19921875" style="76" customWidth="1"/>
    <col min="22" max="26" width="10.5" customWidth="1"/>
    <col min="27" max="27" width="1" style="76" customWidth="1"/>
    <col min="28" max="28" width="9.796875" customWidth="1"/>
    <col min="29" max="29" width="10.69921875" customWidth="1"/>
    <col min="30" max="30" width="11" customWidth="1"/>
    <col min="31" max="31" width="10.296875" customWidth="1"/>
    <col min="32" max="32" width="11.19921875" customWidth="1"/>
    <col min="34" max="34" width="13" bestFit="1" customWidth="1"/>
  </cols>
  <sheetData>
    <row r="1" spans="1:32">
      <c r="A1" s="33" t="s">
        <v>73</v>
      </c>
    </row>
    <row r="2" spans="1:32" s="2" customFormat="1" ht="30" customHeight="1">
      <c r="A2" s="24" t="s">
        <v>73</v>
      </c>
      <c r="B2" s="25"/>
      <c r="C2" s="25"/>
      <c r="D2" s="25"/>
      <c r="E2" s="25"/>
      <c r="F2" s="25"/>
      <c r="G2" s="25"/>
      <c r="H2" s="25"/>
      <c r="I2" s="19"/>
      <c r="J2" s="174" t="s">
        <v>74</v>
      </c>
      <c r="K2" s="174"/>
      <c r="L2" s="174"/>
      <c r="M2" s="174"/>
      <c r="N2" s="174"/>
      <c r="O2" s="9"/>
      <c r="P2" s="174" t="s">
        <v>75</v>
      </c>
      <c r="Q2" s="174"/>
      <c r="R2" s="174"/>
      <c r="S2" s="174"/>
      <c r="T2" s="174"/>
      <c r="U2" s="9"/>
      <c r="V2" s="175" t="s">
        <v>76</v>
      </c>
      <c r="W2" s="175"/>
      <c r="X2" s="175"/>
      <c r="Y2" s="175"/>
      <c r="Z2" s="175"/>
      <c r="AA2" s="57"/>
      <c r="AB2" s="175" t="s">
        <v>77</v>
      </c>
      <c r="AC2" s="175"/>
      <c r="AD2" s="175"/>
      <c r="AE2" s="175"/>
      <c r="AF2" s="175"/>
    </row>
    <row r="3" spans="1:32" s="2" customFormat="1" ht="43.05" customHeight="1" thickBot="1">
      <c r="A3" s="4" t="s">
        <v>78</v>
      </c>
      <c r="B3" s="4" t="s">
        <v>79</v>
      </c>
      <c r="C3" s="4" t="s">
        <v>80</v>
      </c>
      <c r="D3" s="4" t="s">
        <v>81</v>
      </c>
      <c r="E3" s="4" t="s">
        <v>82</v>
      </c>
      <c r="F3" s="4" t="s">
        <v>83</v>
      </c>
      <c r="G3" s="5" t="s">
        <v>84</v>
      </c>
      <c r="H3" s="111" t="s">
        <v>85</v>
      </c>
      <c r="I3" s="20"/>
      <c r="J3" s="6" t="s">
        <v>67</v>
      </c>
      <c r="K3" s="115" t="s">
        <v>86</v>
      </c>
      <c r="L3" s="115" t="s">
        <v>87</v>
      </c>
      <c r="M3" s="115" t="s">
        <v>88</v>
      </c>
      <c r="N3" s="116" t="s">
        <v>89</v>
      </c>
      <c r="O3" s="10"/>
      <c r="P3" s="6" t="s">
        <v>67</v>
      </c>
      <c r="Q3" s="115" t="s">
        <v>86</v>
      </c>
      <c r="R3" s="115" t="s">
        <v>87</v>
      </c>
      <c r="S3" s="115" t="s">
        <v>88</v>
      </c>
      <c r="T3" s="116" t="s">
        <v>89</v>
      </c>
      <c r="U3" s="10"/>
      <c r="V3" s="6" t="s">
        <v>67</v>
      </c>
      <c r="W3" s="115" t="s">
        <v>86</v>
      </c>
      <c r="X3" s="115" t="s">
        <v>87</v>
      </c>
      <c r="Y3" s="115" t="s">
        <v>88</v>
      </c>
      <c r="Z3" s="116" t="s">
        <v>89</v>
      </c>
      <c r="AA3" s="57"/>
      <c r="AB3" s="6" t="s">
        <v>67</v>
      </c>
      <c r="AC3" s="115" t="s">
        <v>86</v>
      </c>
      <c r="AD3" s="115" t="s">
        <v>87</v>
      </c>
      <c r="AE3" s="115" t="s">
        <v>88</v>
      </c>
      <c r="AF3" s="116" t="s">
        <v>89</v>
      </c>
    </row>
    <row r="4" spans="1:32" ht="16.95" customHeight="1">
      <c r="A4" s="76" t="s">
        <v>90</v>
      </c>
      <c r="B4" s="76" t="s">
        <v>90</v>
      </c>
      <c r="C4" s="76" t="s">
        <v>90</v>
      </c>
      <c r="D4" s="76" t="s">
        <v>91</v>
      </c>
      <c r="E4" s="76" t="s">
        <v>91</v>
      </c>
      <c r="F4" s="75" t="s">
        <v>92</v>
      </c>
      <c r="G4" s="3" t="s">
        <v>93</v>
      </c>
      <c r="H4" s="3" t="s">
        <v>93</v>
      </c>
      <c r="J4" s="3" t="s">
        <v>93</v>
      </c>
      <c r="K4" s="3" t="s">
        <v>93</v>
      </c>
      <c r="L4" s="3" t="s">
        <v>93</v>
      </c>
      <c r="M4" s="3" t="s">
        <v>93</v>
      </c>
      <c r="N4" s="3" t="s">
        <v>93</v>
      </c>
      <c r="P4" s="3" t="s">
        <v>93</v>
      </c>
      <c r="Q4" s="3" t="s">
        <v>93</v>
      </c>
      <c r="R4" s="3" t="s">
        <v>93</v>
      </c>
      <c r="S4" s="3" t="s">
        <v>93</v>
      </c>
      <c r="T4" s="3" t="s">
        <v>93</v>
      </c>
      <c r="V4" s="8" t="s">
        <v>93</v>
      </c>
      <c r="W4" s="8" t="s">
        <v>93</v>
      </c>
      <c r="X4" s="8" t="s">
        <v>93</v>
      </c>
      <c r="Y4" s="8" t="s">
        <v>93</v>
      </c>
      <c r="Z4" s="8" t="s">
        <v>93</v>
      </c>
      <c r="AB4" s="8" t="s">
        <v>93</v>
      </c>
      <c r="AC4" s="8" t="s">
        <v>93</v>
      </c>
      <c r="AD4" s="8" t="s">
        <v>93</v>
      </c>
      <c r="AE4" s="8" t="s">
        <v>93</v>
      </c>
      <c r="AF4" s="8" t="s">
        <v>93</v>
      </c>
    </row>
    <row r="5" spans="1:32">
      <c r="A5" s="63" t="s">
        <v>114</v>
      </c>
      <c r="B5" s="63" t="s">
        <v>185</v>
      </c>
      <c r="C5" s="63" t="s">
        <v>186</v>
      </c>
      <c r="D5" s="63">
        <v>12</v>
      </c>
      <c r="E5" s="63">
        <v>12</v>
      </c>
      <c r="F5" s="72">
        <f>IF(ISBLANK(B5),"",VLOOKUP(B5,'Vessel Type'!$C$3:$G$57,4,FALSE))</f>
        <v>490</v>
      </c>
      <c r="G5" s="65">
        <f t="shared" ref="G5:G24" si="0">IF(ISBLANK(B5),"",D5*E5*F5)</f>
        <v>70560</v>
      </c>
      <c r="H5" s="112">
        <f>IF(ISBLANK(B5),"",VLOOKUP(A5,'eGRID2018 Region'!$A$5:$J$30,10,FALSE))</f>
        <v>4.8819734408505198E-2</v>
      </c>
      <c r="J5" s="101">
        <f>IF(ISBLANK(B5), "", ROUND((VLOOKUP(C5,'Vessel Fuel Emission Factors'!$C$8:$J$20,2,FALSE)*$G5/1000000), 3))</f>
        <v>0.74099999999999999</v>
      </c>
      <c r="K5" s="101">
        <f>IF(ISBLANK(B5), "",  ROUND((VLOOKUP(C5,'Vessel Fuel Emission Factors'!$C$8:$J$20,3,FALSE)*$G5/1000000),3))</f>
        <v>0.15</v>
      </c>
      <c r="L5" s="101">
        <f>IF(ISBLANK(B5), "",  ROUND((VLOOKUP(C5,'Vessel Fuel Emission Factors'!$C$8:$J$20,6,FALSE)*$G5/1000000),3))</f>
        <v>2.1000000000000001E-2</v>
      </c>
      <c r="M5" s="65">
        <f>IF(ISBLANK(B5), "",  ROUND((VLOOKUP(C5,'Vessel Fuel Emission Factors'!$C$8:$J$20,4,FALSE)*$G5/1000000),0))</f>
        <v>49</v>
      </c>
      <c r="N5" s="65">
        <f>IF(ISBLANK(B5), "",  ROUND((VLOOKUP(C5,'Vessel Fuel Emission Factors'!$C$8:$J$20,8,FALSE)*$G5/1000000),0))</f>
        <v>50</v>
      </c>
      <c r="O5" s="70"/>
      <c r="P5" s="106">
        <f>IF(ISBLANK(B5), "", ROUND((VLOOKUP($A5, 'eGRID2018 Region'!$A$4:$J$30, 3, FALSE)*$G5/(1-$H5))/1000000,3))</f>
        <v>1.2E-2</v>
      </c>
      <c r="Q5" s="106">
        <f>IF(ISBLANK(B5), "", ROUND((VLOOKUP($A5, 'eGRID2018 Region'!$A$4:$J$30, 4, FALSE)*$G5/(1-$H5))/1000000,3))</f>
        <v>8.9999999999999993E-3</v>
      </c>
      <c r="R5" s="106">
        <f>IF(ISBLANK(B5), "", ROUND((VLOOKUP($A5, 'eGRID2018 Region'!$A$4:$J$30, 9, FALSE)*$G5/(1-$H5))/1000000,3))</f>
        <v>2E-3</v>
      </c>
      <c r="S5" s="107">
        <f>IF(ISBLANK(B5), "", ROUND((VLOOKUP($A5, 'eGRID2018 Region'!$A$4:$J$30, 5, FALSE)*$G5/(1-$H5))/1000000,0))</f>
        <v>31</v>
      </c>
      <c r="T5" s="107">
        <f>IF(ISBLANK(B5), "", ROUND((VLOOKUP($A5, 'eGRID2018 Region'!$A$4:$J$30, 8, FALSE)*$G5/(1-$H5))/1000000,0))</f>
        <v>31</v>
      </c>
      <c r="U5" s="80"/>
      <c r="V5" s="106">
        <f>IF(AND(ISBLANK($A5), ISBLANK($B5)), "", ROUND(P5-J5, 3))</f>
        <v>-0.72899999999999998</v>
      </c>
      <c r="W5" s="106">
        <f>IF(AND(ISBLANK($A5), ISBLANK($B5)), "", ROUND(Q5-K5,3))</f>
        <v>-0.14099999999999999</v>
      </c>
      <c r="X5" s="106">
        <f>IF(AND(ISBLANK($A5), ISBLANK($B5)), "", ROUND(R5-L5,3))</f>
        <v>-1.9E-2</v>
      </c>
      <c r="Y5" s="107">
        <f>IF(AND(ISBLANK($A5), ISBLANK($B5)), "", ROUND(S5-M5,0))</f>
        <v>-18</v>
      </c>
      <c r="Z5" s="107">
        <f>IF(AND(ISBLANK($A5), ISBLANK($B5)), "", ROUND(T5-N5,0))</f>
        <v>-19</v>
      </c>
      <c r="AA5" s="70"/>
      <c r="AB5" s="125">
        <f>IF(AND(ISBLANK($A5),ISBLANK($B5)),"",IF(J5=0, "Div/0 Error", ROUND((P5-J5)/J5,2)))</f>
        <v>-0.98</v>
      </c>
      <c r="AC5" s="125">
        <f t="shared" ref="AC5:AF20" si="1">IF(AND(ISBLANK($A5),ISBLANK($B5)),"",IF(K5=0, "Div/0 Error", ROUND((Q5-K5)/K5,2)))</f>
        <v>-0.94</v>
      </c>
      <c r="AD5" s="125">
        <f t="shared" si="1"/>
        <v>-0.9</v>
      </c>
      <c r="AE5" s="125">
        <f t="shared" si="1"/>
        <v>-0.37</v>
      </c>
      <c r="AF5" s="125">
        <f>IF(AND(ISBLANK($A5),ISBLANK($B5)),"",IF(N5=0, "Div/0 Error", ROUND((T5-N5)/N5,2)))</f>
        <v>-0.38</v>
      </c>
    </row>
    <row r="6" spans="1:32">
      <c r="A6" s="64" t="s">
        <v>114</v>
      </c>
      <c r="B6" s="64" t="s">
        <v>187</v>
      </c>
      <c r="C6" s="64" t="s">
        <v>188</v>
      </c>
      <c r="D6" s="64">
        <v>14</v>
      </c>
      <c r="E6" s="64">
        <v>34</v>
      </c>
      <c r="F6" s="72">
        <f>IF(ISBLANK(B6),"",VLOOKUP(B6,'Vessel Type'!$C$3:$G$57,4,FALSE))</f>
        <v>700</v>
      </c>
      <c r="G6" s="67">
        <f t="shared" si="0"/>
        <v>333200</v>
      </c>
      <c r="H6" s="113">
        <f>IF(ISBLANK(B6),"",VLOOKUP(A6,'eGRID2018 Region'!$A$5:$J$30,10,FALSE))</f>
        <v>4.8819734408505198E-2</v>
      </c>
      <c r="J6" s="102">
        <f>IF(ISBLANK(B6), "", ROUND((VLOOKUP(C6,'Vessel Fuel Emission Factors'!$C$8:$J$20,2,FALSE)*$G6/1000000), 3))</f>
        <v>4.0650000000000004</v>
      </c>
      <c r="K6" s="102">
        <f>IF(ISBLANK(B6), "",  ROUND((VLOOKUP(C6,'Vessel Fuel Emission Factors'!$C$8:$J$20,3,FALSE)*$G6/1000000),3))</f>
        <v>0.14099999999999999</v>
      </c>
      <c r="L6" s="102">
        <f>IF(ISBLANK(B6), "",  ROUND((VLOOKUP(C6,'Vessel Fuel Emission Factors'!$C$8:$J$20,6,FALSE)*$G6/1000000),3))</f>
        <v>5.5E-2</v>
      </c>
      <c r="M6" s="67">
        <f>IF(ISBLANK(B6), "",  ROUND((VLOOKUP(C6,'Vessel Fuel Emission Factors'!$C$8:$J$20,4,FALSE)*$G6/1000000),0))</f>
        <v>232</v>
      </c>
      <c r="N6" s="67">
        <f>IF(ISBLANK(B6), "",  ROUND((VLOOKUP(C6,'Vessel Fuel Emission Factors'!$C$8:$J$20,8,FALSE)*$G6/1000000),0))</f>
        <v>235</v>
      </c>
      <c r="O6" s="70"/>
      <c r="P6" s="102">
        <f>IF(ISBLANK(B6), "", ROUND((VLOOKUP($A6, 'eGRID2018 Region'!$A$4:$J$30, 3, FALSE)*$G6/(1-$H6))/1000000,3))</f>
        <v>5.7000000000000002E-2</v>
      </c>
      <c r="Q6" s="102">
        <f>IF(ISBLANK(B6), "", ROUND((VLOOKUP($A6, 'eGRID2018 Region'!$A$4:$J$30, 4, FALSE)*$G6/(1-$H6))/1000000,3))</f>
        <v>4.3999999999999997E-2</v>
      </c>
      <c r="R6" s="102">
        <f>IF(ISBLANK(B6), "", ROUND((VLOOKUP($A6, 'eGRID2018 Region'!$A$4:$J$30, 9, FALSE)*$G6/(1-$H6))/1000000,3))</f>
        <v>0.01</v>
      </c>
      <c r="S6" s="67">
        <f>IF(ISBLANK(B6), "", ROUND((VLOOKUP($A6, 'eGRID2018 Region'!$A$4:$J$30, 5, FALSE)*$G6/(1-$H6))/1000000,0))</f>
        <v>148</v>
      </c>
      <c r="T6" s="67">
        <f>IF(ISBLANK(B6), "", ROUND((VLOOKUP($A6, 'eGRID2018 Region'!$A$4:$J$30, 8, FALSE)*$G6/(1-$H6))/1000000,0))</f>
        <v>149</v>
      </c>
      <c r="U6" s="80"/>
      <c r="V6" s="102">
        <f t="shared" ref="V6:V24" si="2">IF(AND(ISBLANK($A6), ISBLANK($B6)), "", ROUND(P6-J6, 3))</f>
        <v>-4.008</v>
      </c>
      <c r="W6" s="102">
        <f t="shared" ref="W6:X24" si="3">IF(AND(ISBLANK($A6), ISBLANK($B6)), "", ROUND(Q6-K6,3))</f>
        <v>-9.7000000000000003E-2</v>
      </c>
      <c r="X6" s="102">
        <f t="shared" si="3"/>
        <v>-4.4999999999999998E-2</v>
      </c>
      <c r="Y6" s="67">
        <f t="shared" ref="Y6:Z24" si="4">IF(AND(ISBLANK($A6), ISBLANK($B6)), "", ROUND(S6-M6,0))</f>
        <v>-84</v>
      </c>
      <c r="Z6" s="67">
        <f t="shared" si="4"/>
        <v>-86</v>
      </c>
      <c r="AA6" s="70"/>
      <c r="AB6" s="126">
        <f t="shared" ref="AB6:AF23" si="5">IF(AND(ISBLANK($A6),ISBLANK($B6)),"",IF(J6=0, "Div/0 Error", ROUND((P6-J6)/J6,2)))</f>
        <v>-0.99</v>
      </c>
      <c r="AC6" s="126">
        <f t="shared" si="1"/>
        <v>-0.69</v>
      </c>
      <c r="AD6" s="126">
        <f t="shared" si="1"/>
        <v>-0.82</v>
      </c>
      <c r="AE6" s="126">
        <f t="shared" si="1"/>
        <v>-0.36</v>
      </c>
      <c r="AF6" s="126">
        <f t="shared" si="1"/>
        <v>-0.37</v>
      </c>
    </row>
    <row r="7" spans="1:32">
      <c r="A7" s="63" t="s">
        <v>114</v>
      </c>
      <c r="B7" s="63" t="s">
        <v>189</v>
      </c>
      <c r="C7" s="63" t="s">
        <v>190</v>
      </c>
      <c r="D7" s="63">
        <v>50</v>
      </c>
      <c r="E7" s="63">
        <v>10</v>
      </c>
      <c r="F7" s="72">
        <f>IF(ISBLANK(B7),"",VLOOKUP(B7,'Vessel Type'!$C$3:$G$57,4,FALSE))</f>
        <v>11480</v>
      </c>
      <c r="G7" s="65">
        <f t="shared" si="0"/>
        <v>5740000</v>
      </c>
      <c r="H7" s="112">
        <f>IF(ISBLANK(B7),"",VLOOKUP(A7,'eGRID2018 Region'!$A$5:$J$30,10,FALSE))</f>
        <v>4.8819734408505198E-2</v>
      </c>
      <c r="J7" s="101">
        <f>IF(ISBLANK(B7), "", ROUND((VLOOKUP(C7,'Vessel Fuel Emission Factors'!$C$8:$J$20,2,FALSE)*$G7/1000000), 3))</f>
        <v>60.27</v>
      </c>
      <c r="K7" s="101">
        <f>IF(ISBLANK(B7), "",  ROUND((VLOOKUP(C7,'Vessel Fuel Emission Factors'!$C$8:$J$20,3,FALSE)*$G7/1000000),3))</f>
        <v>2.4340000000000002</v>
      </c>
      <c r="L7" s="101">
        <f>IF(ISBLANK(B7), "",  ROUND((VLOOKUP(C7,'Vessel Fuel Emission Factors'!$C$8:$J$20,6,FALSE)*$G7/1000000),3))</f>
        <v>0.95299999999999996</v>
      </c>
      <c r="M7" s="65">
        <f>IF(ISBLANK(B7), "",  ROUND((VLOOKUP(C7,'Vessel Fuel Emission Factors'!$C$8:$J$20,4,FALSE)*$G7/1000000),0))</f>
        <v>3995</v>
      </c>
      <c r="N7" s="65">
        <f>IF(ISBLANK(B7), "",  ROUND((VLOOKUP(C7,'Vessel Fuel Emission Factors'!$C$8:$J$20,8,FALSE)*$G7/1000000),0))</f>
        <v>4047</v>
      </c>
      <c r="O7" s="70"/>
      <c r="P7" s="101">
        <f>IF(ISBLANK(B7), "", ROUND((VLOOKUP($A7, 'eGRID2018 Region'!$A$4:$J$30, 3, FALSE)*$G7/(1-$H7))/1000000,3))</f>
        <v>0.97399999999999998</v>
      </c>
      <c r="Q7" s="101">
        <f>IF(ISBLANK(B7), "", ROUND((VLOOKUP($A7, 'eGRID2018 Region'!$A$4:$J$30, 4, FALSE)*$G7/(1-$H7))/1000000,3))</f>
        <v>0.76100000000000001</v>
      </c>
      <c r="R7" s="101">
        <f>IF(ISBLANK(B7), "", ROUND((VLOOKUP($A7, 'eGRID2018 Region'!$A$4:$J$30, 9, FALSE)*$G7/(1-$H7))/1000000,3))</f>
        <v>0.17699999999999999</v>
      </c>
      <c r="S7" s="65">
        <f>IF(ISBLANK(B7), "", ROUND((VLOOKUP($A7, 'eGRID2018 Region'!$A$4:$J$30, 5, FALSE)*$G7/(1-$H7))/1000000,0))</f>
        <v>2551</v>
      </c>
      <c r="T7" s="65">
        <f>IF(ISBLANK(B7), "", ROUND((VLOOKUP($A7, 'eGRID2018 Region'!$A$4:$J$30, 8, FALSE)*$G7/(1-$H7))/1000000,0))</f>
        <v>2562</v>
      </c>
      <c r="U7" s="80"/>
      <c r="V7" s="101">
        <f t="shared" si="2"/>
        <v>-59.295999999999999</v>
      </c>
      <c r="W7" s="101">
        <f t="shared" si="3"/>
        <v>-1.673</v>
      </c>
      <c r="X7" s="101">
        <f t="shared" si="3"/>
        <v>-0.77600000000000002</v>
      </c>
      <c r="Y7" s="65">
        <f t="shared" si="4"/>
        <v>-1444</v>
      </c>
      <c r="Z7" s="65">
        <f t="shared" si="4"/>
        <v>-1485</v>
      </c>
      <c r="AA7" s="70"/>
      <c r="AB7" s="125">
        <f t="shared" si="5"/>
        <v>-0.98</v>
      </c>
      <c r="AC7" s="125">
        <f t="shared" si="1"/>
        <v>-0.69</v>
      </c>
      <c r="AD7" s="125">
        <f t="shared" si="1"/>
        <v>-0.81</v>
      </c>
      <c r="AE7" s="125">
        <f t="shared" si="1"/>
        <v>-0.36</v>
      </c>
      <c r="AF7" s="125">
        <f t="shared" si="1"/>
        <v>-0.37</v>
      </c>
    </row>
    <row r="8" spans="1:32">
      <c r="A8" s="64"/>
      <c r="B8" s="64"/>
      <c r="C8" s="64"/>
      <c r="D8" s="64"/>
      <c r="E8" s="64"/>
      <c r="F8" s="72" t="str">
        <f>IF(ISBLANK(B8),"",VLOOKUP(B8,'Vessel Type'!$C$3:$G$57,4,FALSE))</f>
        <v/>
      </c>
      <c r="G8" s="67" t="str">
        <f t="shared" si="0"/>
        <v/>
      </c>
      <c r="H8" s="113" t="str">
        <f>IF(ISBLANK(B8),"",VLOOKUP(A8,'eGRID2018 Region'!$A$5:$J$30,10,FALSE))</f>
        <v/>
      </c>
      <c r="J8" s="102" t="str">
        <f>IF(ISBLANK(B8), "", ROUND((VLOOKUP(C8,'Vessel Fuel Emission Factors'!$C$8:$J$20,2,FALSE)*$G8/1000000), 3))</f>
        <v/>
      </c>
      <c r="K8" s="102" t="str">
        <f>IF(ISBLANK(B8), "",  ROUND((VLOOKUP(C8,'Vessel Fuel Emission Factors'!$C$8:$J$20,3,FALSE)*$G8/1000000),3))</f>
        <v/>
      </c>
      <c r="L8" s="102" t="str">
        <f>IF(ISBLANK(B8), "",  ROUND((VLOOKUP(C8,'Vessel Fuel Emission Factors'!$C$8:$J$20,6,FALSE)*$G8/1000000),3))</f>
        <v/>
      </c>
      <c r="M8" s="67" t="str">
        <f>IF(ISBLANK(B8), "",  ROUND((VLOOKUP(C8,'Vessel Fuel Emission Factors'!$C$8:$J$20,4,FALSE)*$G8/1000000),0))</f>
        <v/>
      </c>
      <c r="N8" s="67" t="str">
        <f>IF(ISBLANK(B8), "",  ROUND((VLOOKUP(C8,'Vessel Fuel Emission Factors'!$C$8:$J$20,8,FALSE)*$G8/1000000),0))</f>
        <v/>
      </c>
      <c r="O8" s="70"/>
      <c r="P8" s="102" t="str">
        <f>IF(ISBLANK(B8), "", ROUND((VLOOKUP($A8, 'eGRID2018 Region'!$A$4:$J$30, 3, FALSE)*$G8/(1-$H8))/1000000,3))</f>
        <v/>
      </c>
      <c r="Q8" s="102" t="str">
        <f>IF(ISBLANK(B8), "", ROUND((VLOOKUP($A8, 'eGRID2018 Region'!$A$4:$J$30, 4, FALSE)*$G8/(1-$H8))/1000000,3))</f>
        <v/>
      </c>
      <c r="R8" s="102" t="str">
        <f>IF(ISBLANK(B8), "", ROUND((VLOOKUP($A8, 'eGRID2018 Region'!$A$4:$J$30, 9, FALSE)*$G8/(1-$H8))/1000000,3))</f>
        <v/>
      </c>
      <c r="S8" s="67" t="str">
        <f>IF(ISBLANK(B8), "", ROUND((VLOOKUP($A8, 'eGRID2018 Region'!$A$4:$J$30, 5, FALSE)*$G8/(1-$H8))/1000000,0))</f>
        <v/>
      </c>
      <c r="T8" s="67" t="str">
        <f>IF(ISBLANK(B8), "", ROUND((VLOOKUP($A8, 'eGRID2018 Region'!$A$4:$J$30, 8, FALSE)*$G8/(1-$H8))/1000000,0))</f>
        <v/>
      </c>
      <c r="U8" s="80"/>
      <c r="V8" s="102" t="str">
        <f t="shared" si="2"/>
        <v/>
      </c>
      <c r="W8" s="102" t="str">
        <f t="shared" si="3"/>
        <v/>
      </c>
      <c r="X8" s="102" t="str">
        <f t="shared" si="3"/>
        <v/>
      </c>
      <c r="Y8" s="67" t="str">
        <f t="shared" si="4"/>
        <v/>
      </c>
      <c r="Z8" s="67" t="str">
        <f t="shared" si="4"/>
        <v/>
      </c>
      <c r="AA8" s="70"/>
      <c r="AB8" s="126" t="str">
        <f t="shared" si="5"/>
        <v/>
      </c>
      <c r="AC8" s="126" t="str">
        <f t="shared" si="1"/>
        <v/>
      </c>
      <c r="AD8" s="126" t="str">
        <f t="shared" si="1"/>
        <v/>
      </c>
      <c r="AE8" s="126" t="str">
        <f t="shared" si="1"/>
        <v/>
      </c>
      <c r="AF8" s="126" t="str">
        <f t="shared" si="1"/>
        <v/>
      </c>
    </row>
    <row r="9" spans="1:32">
      <c r="A9" s="63"/>
      <c r="B9" s="63"/>
      <c r="C9" s="63"/>
      <c r="D9" s="63"/>
      <c r="E9" s="63"/>
      <c r="F9" s="72" t="str">
        <f>IF(ISBLANK(B9),"",VLOOKUP(B9,'Vessel Type'!$C$3:$G$57,4,FALSE))</f>
        <v/>
      </c>
      <c r="G9" s="65" t="str">
        <f t="shared" si="0"/>
        <v/>
      </c>
      <c r="H9" s="112" t="str">
        <f>IF(ISBLANK(B9),"",VLOOKUP(A9,'eGRID2018 Region'!$A$5:$J$30,10,FALSE))</f>
        <v/>
      </c>
      <c r="J9" s="101" t="str">
        <f>IF(ISBLANK(B9), "", ROUND((VLOOKUP(C9,'Vessel Fuel Emission Factors'!$C$8:$J$20,2,FALSE)*$G9/1000000), 3))</f>
        <v/>
      </c>
      <c r="K9" s="101" t="str">
        <f>IF(ISBLANK(B9), "",  ROUND((VLOOKUP(C9,'Vessel Fuel Emission Factors'!$C$8:$J$20,3,FALSE)*$G9/1000000),3))</f>
        <v/>
      </c>
      <c r="L9" s="101" t="str">
        <f>IF(ISBLANK(B9), "",  ROUND((VLOOKUP(C9,'Vessel Fuel Emission Factors'!$C$8:$J$20,6,FALSE)*$G9/1000000),3))</f>
        <v/>
      </c>
      <c r="M9" s="65" t="str">
        <f>IF(ISBLANK(B9), "",  ROUND((VLOOKUP(C9,'Vessel Fuel Emission Factors'!$C$8:$J$20,4,FALSE)*$G9/1000000),0))</f>
        <v/>
      </c>
      <c r="N9" s="65" t="str">
        <f>IF(ISBLANK(B9), "",  ROUND((VLOOKUP(C9,'Vessel Fuel Emission Factors'!$C$8:$J$20,8,FALSE)*$G9/1000000),0))</f>
        <v/>
      </c>
      <c r="O9" s="70"/>
      <c r="P9" s="101" t="str">
        <f>IF(ISBLANK(B9), "", ROUND((VLOOKUP($A9, 'eGRID2018 Region'!$A$4:$J$30, 3, FALSE)*$G9/(1-$H9))/1000000,3))</f>
        <v/>
      </c>
      <c r="Q9" s="101" t="str">
        <f>IF(ISBLANK(B9), "", ROUND((VLOOKUP($A9, 'eGRID2018 Region'!$A$4:$J$30, 4, FALSE)*$G9/(1-$H9))/1000000,3))</f>
        <v/>
      </c>
      <c r="R9" s="101" t="str">
        <f>IF(ISBLANK(B9), "", ROUND((VLOOKUP($A9, 'eGRID2018 Region'!$A$4:$J$30, 9, FALSE)*$G9/(1-$H9))/1000000,3))</f>
        <v/>
      </c>
      <c r="S9" s="65" t="str">
        <f>IF(ISBLANK(B9), "", ROUND((VLOOKUP($A9, 'eGRID2018 Region'!$A$4:$J$30, 5, FALSE)*$G9/(1-$H9))/1000000,0))</f>
        <v/>
      </c>
      <c r="T9" s="65" t="str">
        <f>IF(ISBLANK(B9), "", ROUND((VLOOKUP($A9, 'eGRID2018 Region'!$A$4:$J$30, 8, FALSE)*$G9/(1-$H9))/1000000,0))</f>
        <v/>
      </c>
      <c r="U9" s="80"/>
      <c r="V9" s="101" t="str">
        <f t="shared" si="2"/>
        <v/>
      </c>
      <c r="W9" s="101" t="str">
        <f t="shared" si="3"/>
        <v/>
      </c>
      <c r="X9" s="101" t="str">
        <f t="shared" si="3"/>
        <v/>
      </c>
      <c r="Y9" s="65" t="str">
        <f t="shared" si="4"/>
        <v/>
      </c>
      <c r="Z9" s="65" t="str">
        <f t="shared" si="4"/>
        <v/>
      </c>
      <c r="AA9" s="70"/>
      <c r="AB9" s="125" t="str">
        <f t="shared" si="5"/>
        <v/>
      </c>
      <c r="AC9" s="125" t="str">
        <f t="shared" si="1"/>
        <v/>
      </c>
      <c r="AD9" s="125" t="str">
        <f t="shared" si="1"/>
        <v/>
      </c>
      <c r="AE9" s="125" t="str">
        <f t="shared" si="1"/>
        <v/>
      </c>
      <c r="AF9" s="125" t="str">
        <f t="shared" si="1"/>
        <v/>
      </c>
    </row>
    <row r="10" spans="1:32">
      <c r="A10" s="64"/>
      <c r="B10" s="64"/>
      <c r="C10" s="64"/>
      <c r="D10" s="64"/>
      <c r="E10" s="64"/>
      <c r="F10" s="72" t="str">
        <f>IF(ISBLANK(B10),"",VLOOKUP(B10,'Vessel Type'!$C$3:$G$57,4,FALSE))</f>
        <v/>
      </c>
      <c r="G10" s="67" t="str">
        <f t="shared" si="0"/>
        <v/>
      </c>
      <c r="H10" s="113" t="str">
        <f>IF(ISBLANK(B10),"",VLOOKUP(A10,'eGRID2018 Region'!$A$5:$J$30,10,FALSE))</f>
        <v/>
      </c>
      <c r="J10" s="102" t="str">
        <f>IF(ISBLANK(B10), "", ROUND((VLOOKUP(C10,'Vessel Fuel Emission Factors'!$C$8:$J$20,2,FALSE)*$G10/1000000), 3))</f>
        <v/>
      </c>
      <c r="K10" s="102" t="str">
        <f>IF(ISBLANK(B10), "",  ROUND((VLOOKUP(C10,'Vessel Fuel Emission Factors'!$C$8:$J$20,3,FALSE)*$G10/1000000),3))</f>
        <v/>
      </c>
      <c r="L10" s="102" t="str">
        <f>IF(ISBLANK(B10), "",  ROUND((VLOOKUP(C10,'Vessel Fuel Emission Factors'!$C$8:$J$20,6,FALSE)*$G10/1000000),3))</f>
        <v/>
      </c>
      <c r="M10" s="67" t="str">
        <f>IF(ISBLANK(B10), "",  ROUND((VLOOKUP(C10,'Vessel Fuel Emission Factors'!$C$8:$J$20,4,FALSE)*$G10/1000000),0))</f>
        <v/>
      </c>
      <c r="N10" s="67" t="str">
        <f>IF(ISBLANK(B10), "",  ROUND((VLOOKUP(C10,'Vessel Fuel Emission Factors'!$C$8:$J$20,8,FALSE)*$G10/1000000),0))</f>
        <v/>
      </c>
      <c r="O10" s="70"/>
      <c r="P10" s="102" t="str">
        <f>IF(ISBLANK(B10), "", ROUND((VLOOKUP($A10, 'eGRID2018 Region'!$A$4:$J$30, 3, FALSE)*$G10/(1-$H10))/1000000,3))</f>
        <v/>
      </c>
      <c r="Q10" s="102" t="str">
        <f>IF(ISBLANK(B10), "", ROUND((VLOOKUP($A10, 'eGRID2018 Region'!$A$4:$J$30, 4, FALSE)*$G10/(1-$H10))/1000000,3))</f>
        <v/>
      </c>
      <c r="R10" s="102" t="str">
        <f>IF(ISBLANK(B10), "", ROUND((VLOOKUP($A10, 'eGRID2018 Region'!$A$4:$J$30, 9, FALSE)*$G10/(1-$H10))/1000000,3))</f>
        <v/>
      </c>
      <c r="S10" s="67" t="str">
        <f>IF(ISBLANK(B10), "", ROUND((VLOOKUP($A10, 'eGRID2018 Region'!$A$4:$J$30, 5, FALSE)*$G10/(1-$H10))/1000000,0))</f>
        <v/>
      </c>
      <c r="T10" s="67" t="str">
        <f>IF(ISBLANK(B10), "", ROUND((VLOOKUP($A10, 'eGRID2018 Region'!$A$4:$J$30, 8, FALSE)*$G10/(1-$H10))/1000000,0))</f>
        <v/>
      </c>
      <c r="U10" s="80"/>
      <c r="V10" s="102" t="str">
        <f t="shared" si="2"/>
        <v/>
      </c>
      <c r="W10" s="102" t="str">
        <f t="shared" si="3"/>
        <v/>
      </c>
      <c r="X10" s="102" t="str">
        <f t="shared" si="3"/>
        <v/>
      </c>
      <c r="Y10" s="67" t="str">
        <f t="shared" si="4"/>
        <v/>
      </c>
      <c r="Z10" s="67" t="str">
        <f t="shared" si="4"/>
        <v/>
      </c>
      <c r="AA10" s="70"/>
      <c r="AB10" s="126" t="str">
        <f t="shared" si="5"/>
        <v/>
      </c>
      <c r="AC10" s="126" t="str">
        <f t="shared" si="1"/>
        <v/>
      </c>
      <c r="AD10" s="126" t="str">
        <f t="shared" si="1"/>
        <v/>
      </c>
      <c r="AE10" s="126" t="str">
        <f t="shared" si="1"/>
        <v/>
      </c>
      <c r="AF10" s="126" t="str">
        <f t="shared" si="1"/>
        <v/>
      </c>
    </row>
    <row r="11" spans="1:32">
      <c r="A11" s="63"/>
      <c r="B11" s="63"/>
      <c r="C11" s="63"/>
      <c r="D11" s="63"/>
      <c r="E11" s="63"/>
      <c r="F11" s="72" t="str">
        <f>IF(ISBLANK(B11),"",VLOOKUP(B11,'Vessel Type'!$C$3:$G$57,4,FALSE))</f>
        <v/>
      </c>
      <c r="G11" s="65" t="str">
        <f t="shared" si="0"/>
        <v/>
      </c>
      <c r="H11" s="112" t="str">
        <f>IF(ISBLANK(B11),"",VLOOKUP(A11,'eGRID2018 Region'!$A$5:$J$30,10,FALSE))</f>
        <v/>
      </c>
      <c r="J11" s="101" t="str">
        <f>IF(ISBLANK(B11), "", ROUND((VLOOKUP(C11,'Vessel Fuel Emission Factors'!$C$8:$J$20,2,FALSE)*$G11/1000000), 3))</f>
        <v/>
      </c>
      <c r="K11" s="101" t="str">
        <f>IF(ISBLANK(B11), "",  ROUND((VLOOKUP(C11,'Vessel Fuel Emission Factors'!$C$8:$J$20,3,FALSE)*$G11/1000000),3))</f>
        <v/>
      </c>
      <c r="L11" s="101" t="str">
        <f>IF(ISBLANK(B11), "",  ROUND((VLOOKUP(C11,'Vessel Fuel Emission Factors'!$C$8:$J$20,6,FALSE)*$G11/1000000),3))</f>
        <v/>
      </c>
      <c r="M11" s="65" t="str">
        <f>IF(ISBLANK(B11), "",  ROUND((VLOOKUP(C11,'Vessel Fuel Emission Factors'!$C$8:$J$20,4,FALSE)*$G11/1000000),0))</f>
        <v/>
      </c>
      <c r="N11" s="65" t="str">
        <f>IF(ISBLANK(B11), "",  ROUND((VLOOKUP(C11,'Vessel Fuel Emission Factors'!$C$8:$J$20,8,FALSE)*$G11/1000000),0))</f>
        <v/>
      </c>
      <c r="O11" s="70"/>
      <c r="P11" s="101" t="str">
        <f>IF(ISBLANK(B11), "", ROUND((VLOOKUP($A11, 'eGRID2018 Region'!$A$4:$J$30, 3, FALSE)*$G11/(1-$H11))/1000000,3))</f>
        <v/>
      </c>
      <c r="Q11" s="101" t="str">
        <f>IF(ISBLANK(B11), "", ROUND((VLOOKUP($A11, 'eGRID2018 Region'!$A$4:$J$30, 4, FALSE)*$G11/(1-$H11))/1000000,3))</f>
        <v/>
      </c>
      <c r="R11" s="101" t="str">
        <f>IF(ISBLANK(B11), "", ROUND((VLOOKUP($A11, 'eGRID2018 Region'!$A$4:$J$30, 9, FALSE)*$G11/(1-$H11))/1000000,3))</f>
        <v/>
      </c>
      <c r="S11" s="65" t="str">
        <f>IF(ISBLANK(B11), "", ROUND((VLOOKUP($A11, 'eGRID2018 Region'!$A$4:$J$30, 5, FALSE)*$G11/(1-$H11))/1000000,0))</f>
        <v/>
      </c>
      <c r="T11" s="65" t="str">
        <f>IF(ISBLANK(B11), "", ROUND((VLOOKUP($A11, 'eGRID2018 Region'!$A$4:$J$30, 8, FALSE)*$G11/(1-$H11))/1000000,0))</f>
        <v/>
      </c>
      <c r="U11" s="80"/>
      <c r="V11" s="101" t="str">
        <f t="shared" si="2"/>
        <v/>
      </c>
      <c r="W11" s="101" t="str">
        <f t="shared" si="3"/>
        <v/>
      </c>
      <c r="X11" s="101" t="str">
        <f t="shared" si="3"/>
        <v/>
      </c>
      <c r="Y11" s="65" t="str">
        <f t="shared" si="4"/>
        <v/>
      </c>
      <c r="Z11" s="65" t="str">
        <f t="shared" si="4"/>
        <v/>
      </c>
      <c r="AA11" s="70"/>
      <c r="AB11" s="125" t="str">
        <f t="shared" si="5"/>
        <v/>
      </c>
      <c r="AC11" s="125" t="str">
        <f t="shared" si="1"/>
        <v/>
      </c>
      <c r="AD11" s="125" t="str">
        <f t="shared" si="1"/>
        <v/>
      </c>
      <c r="AE11" s="125" t="str">
        <f t="shared" si="1"/>
        <v/>
      </c>
      <c r="AF11" s="125" t="str">
        <f t="shared" si="1"/>
        <v/>
      </c>
    </row>
    <row r="12" spans="1:32">
      <c r="A12" s="64"/>
      <c r="B12" s="64"/>
      <c r="C12" s="64"/>
      <c r="D12" s="64"/>
      <c r="E12" s="64"/>
      <c r="F12" s="72" t="str">
        <f>IF(ISBLANK(B12),"",VLOOKUP(B12,'Vessel Type'!$C$3:$G$57,4,FALSE))</f>
        <v/>
      </c>
      <c r="G12" s="67" t="str">
        <f t="shared" si="0"/>
        <v/>
      </c>
      <c r="H12" s="113" t="str">
        <f>IF(ISBLANK(B12),"",VLOOKUP(A12,'eGRID2018 Region'!$A$5:$J$30,10,FALSE))</f>
        <v/>
      </c>
      <c r="J12" s="102" t="str">
        <f>IF(ISBLANK(B12), "", ROUND((VLOOKUP(C12,'Vessel Fuel Emission Factors'!$C$8:$J$20,2,FALSE)*$G12/1000000), 3))</f>
        <v/>
      </c>
      <c r="K12" s="102" t="str">
        <f>IF(ISBLANK(B12), "",  ROUND((VLOOKUP(C12,'Vessel Fuel Emission Factors'!$C$8:$J$20,3,FALSE)*$G12/1000000),3))</f>
        <v/>
      </c>
      <c r="L12" s="102" t="str">
        <f>IF(ISBLANK(B12), "",  ROUND((VLOOKUP(C12,'Vessel Fuel Emission Factors'!$C$8:$J$20,6,FALSE)*$G12/1000000),3))</f>
        <v/>
      </c>
      <c r="M12" s="67" t="str">
        <f>IF(ISBLANK(B12), "",  ROUND((VLOOKUP(C12,'Vessel Fuel Emission Factors'!$C$8:$J$20,4,FALSE)*$G12/1000000),0))</f>
        <v/>
      </c>
      <c r="N12" s="67" t="str">
        <f>IF(ISBLANK(B12), "",  ROUND((VLOOKUP(C12,'Vessel Fuel Emission Factors'!$C$8:$J$20,8,FALSE)*$G12/1000000),0))</f>
        <v/>
      </c>
      <c r="O12" s="70"/>
      <c r="P12" s="102" t="str">
        <f>IF(ISBLANK(B12), "", ROUND((VLOOKUP($A12, 'eGRID2018 Region'!$A$4:$J$30, 3, FALSE)*$G12/(1-$H12))/1000000,3))</f>
        <v/>
      </c>
      <c r="Q12" s="102" t="str">
        <f>IF(ISBLANK(B12), "", ROUND((VLOOKUP($A12, 'eGRID2018 Region'!$A$4:$J$30, 4, FALSE)*$G12/(1-$H12))/1000000,3))</f>
        <v/>
      </c>
      <c r="R12" s="102" t="str">
        <f>IF(ISBLANK(B12), "", ROUND((VLOOKUP($A12, 'eGRID2018 Region'!$A$4:$J$30, 9, FALSE)*$G12/(1-$H12))/1000000,3))</f>
        <v/>
      </c>
      <c r="S12" s="67" t="str">
        <f>IF(ISBLANK(B12), "", ROUND((VLOOKUP($A12, 'eGRID2018 Region'!$A$4:$J$30, 5, FALSE)*$G12/(1-$H12))/1000000,0))</f>
        <v/>
      </c>
      <c r="T12" s="67" t="str">
        <f>IF(ISBLANK(B12), "", ROUND((VLOOKUP($A12, 'eGRID2018 Region'!$A$4:$J$30, 8, FALSE)*$G12/(1-$H12))/1000000,0))</f>
        <v/>
      </c>
      <c r="U12" s="80"/>
      <c r="V12" s="102" t="str">
        <f t="shared" si="2"/>
        <v/>
      </c>
      <c r="W12" s="102" t="str">
        <f t="shared" si="3"/>
        <v/>
      </c>
      <c r="X12" s="102" t="str">
        <f t="shared" si="3"/>
        <v/>
      </c>
      <c r="Y12" s="67" t="str">
        <f t="shared" si="4"/>
        <v/>
      </c>
      <c r="Z12" s="67" t="str">
        <f t="shared" si="4"/>
        <v/>
      </c>
      <c r="AA12" s="70"/>
      <c r="AB12" s="126" t="str">
        <f t="shared" si="5"/>
        <v/>
      </c>
      <c r="AC12" s="126" t="str">
        <f t="shared" si="1"/>
        <v/>
      </c>
      <c r="AD12" s="126" t="str">
        <f t="shared" si="1"/>
        <v/>
      </c>
      <c r="AE12" s="126" t="str">
        <f t="shared" si="1"/>
        <v/>
      </c>
      <c r="AF12" s="126" t="str">
        <f t="shared" si="1"/>
        <v/>
      </c>
    </row>
    <row r="13" spans="1:32">
      <c r="A13" s="63"/>
      <c r="B13" s="63"/>
      <c r="C13" s="63"/>
      <c r="D13" s="63"/>
      <c r="E13" s="63"/>
      <c r="F13" s="72" t="str">
        <f>IF(ISBLANK(B13),"",VLOOKUP(B13,'Vessel Type'!$C$3:$G$57,4,FALSE))</f>
        <v/>
      </c>
      <c r="G13" s="65" t="str">
        <f t="shared" si="0"/>
        <v/>
      </c>
      <c r="H13" s="112" t="str">
        <f>IF(ISBLANK(B13),"",VLOOKUP(A13,'eGRID2018 Region'!$A$5:$J$30,10,FALSE))</f>
        <v/>
      </c>
      <c r="J13" s="101" t="str">
        <f>IF(ISBLANK(B13), "", ROUND((VLOOKUP(C13,'Vessel Fuel Emission Factors'!$C$8:$J$20,2,FALSE)*$G13/1000000), 3))</f>
        <v/>
      </c>
      <c r="K13" s="101" t="str">
        <f>IF(ISBLANK(B13), "",  ROUND((VLOOKUP(C13,'Vessel Fuel Emission Factors'!$C$8:$J$20,3,FALSE)*$G13/1000000),3))</f>
        <v/>
      </c>
      <c r="L13" s="101" t="str">
        <f>IF(ISBLANK(B13), "",  ROUND((VLOOKUP(C13,'Vessel Fuel Emission Factors'!$C$8:$J$20,6,FALSE)*$G13/1000000),3))</f>
        <v/>
      </c>
      <c r="M13" s="65" t="str">
        <f>IF(ISBLANK(B13), "",  ROUND((VLOOKUP(C13,'Vessel Fuel Emission Factors'!$C$8:$J$20,4,FALSE)*$G13/1000000),0))</f>
        <v/>
      </c>
      <c r="N13" s="65" t="str">
        <f>IF(ISBLANK(B13), "",  ROUND((VLOOKUP(C13,'Vessel Fuel Emission Factors'!$C$8:$J$20,8,FALSE)*$G13/1000000),0))</f>
        <v/>
      </c>
      <c r="O13" s="70"/>
      <c r="P13" s="101" t="str">
        <f>IF(ISBLANK(B13), "", ROUND((VLOOKUP($A13, 'eGRID2018 Region'!$A$4:$J$30, 3, FALSE)*$G13/(1-$H13))/1000000,3))</f>
        <v/>
      </c>
      <c r="Q13" s="101" t="str">
        <f>IF(ISBLANK(B13), "", ROUND((VLOOKUP($A13, 'eGRID2018 Region'!$A$4:$J$30, 4, FALSE)*$G13/(1-$H13))/1000000,3))</f>
        <v/>
      </c>
      <c r="R13" s="101" t="str">
        <f>IF(ISBLANK(B13), "", ROUND((VLOOKUP($A13, 'eGRID2018 Region'!$A$4:$J$30, 9, FALSE)*$G13/(1-$H13))/1000000,3))</f>
        <v/>
      </c>
      <c r="S13" s="65" t="str">
        <f>IF(ISBLANK(B13), "", ROUND((VLOOKUP($A13, 'eGRID2018 Region'!$A$4:$J$30, 5, FALSE)*$G13/(1-$H13))/1000000,0))</f>
        <v/>
      </c>
      <c r="T13" s="65" t="str">
        <f>IF(ISBLANK(B13), "", ROUND((VLOOKUP($A13, 'eGRID2018 Region'!$A$4:$J$30, 8, FALSE)*$G13/(1-$H13))/1000000,0))</f>
        <v/>
      </c>
      <c r="U13" s="80"/>
      <c r="V13" s="101" t="str">
        <f t="shared" si="2"/>
        <v/>
      </c>
      <c r="W13" s="101" t="str">
        <f t="shared" si="3"/>
        <v/>
      </c>
      <c r="X13" s="101" t="str">
        <f t="shared" si="3"/>
        <v/>
      </c>
      <c r="Y13" s="65" t="str">
        <f t="shared" si="4"/>
        <v/>
      </c>
      <c r="Z13" s="65" t="str">
        <f t="shared" si="4"/>
        <v/>
      </c>
      <c r="AA13" s="70"/>
      <c r="AB13" s="125" t="str">
        <f t="shared" si="5"/>
        <v/>
      </c>
      <c r="AC13" s="125" t="str">
        <f t="shared" si="1"/>
        <v/>
      </c>
      <c r="AD13" s="125" t="str">
        <f t="shared" si="1"/>
        <v/>
      </c>
      <c r="AE13" s="125" t="str">
        <f t="shared" si="1"/>
        <v/>
      </c>
      <c r="AF13" s="125" t="str">
        <f t="shared" si="1"/>
        <v/>
      </c>
    </row>
    <row r="14" spans="1:32">
      <c r="A14" s="64"/>
      <c r="B14" s="64"/>
      <c r="C14" s="64"/>
      <c r="D14" s="64"/>
      <c r="E14" s="64"/>
      <c r="F14" s="72" t="str">
        <f>IF(ISBLANK(B14),"",VLOOKUP(B14,'Vessel Type'!$C$3:$G$57,4,FALSE))</f>
        <v/>
      </c>
      <c r="G14" s="67" t="str">
        <f t="shared" si="0"/>
        <v/>
      </c>
      <c r="H14" s="113" t="str">
        <f>IF(ISBLANK(B14),"",VLOOKUP(A14,'eGRID2018 Region'!$A$5:$J$30,10,FALSE))</f>
        <v/>
      </c>
      <c r="J14" s="102" t="str">
        <f>IF(ISBLANK(B14), "", ROUND((VLOOKUP(C14,'Vessel Fuel Emission Factors'!$C$8:$J$20,2,FALSE)*$G14/1000000), 3))</f>
        <v/>
      </c>
      <c r="K14" s="102" t="str">
        <f>IF(ISBLANK(B14), "",  ROUND((VLOOKUP(C14,'Vessel Fuel Emission Factors'!$C$8:$J$20,3,FALSE)*$G14/1000000),3))</f>
        <v/>
      </c>
      <c r="L14" s="102" t="str">
        <f>IF(ISBLANK(B14), "",  ROUND((VLOOKUP(C14,'Vessel Fuel Emission Factors'!$C$8:$J$20,6,FALSE)*$G14/1000000),3))</f>
        <v/>
      </c>
      <c r="M14" s="67" t="str">
        <f>IF(ISBLANK(B14), "",  ROUND((VLOOKUP(C14,'Vessel Fuel Emission Factors'!$C$8:$J$20,4,FALSE)*$G14/1000000),0))</f>
        <v/>
      </c>
      <c r="N14" s="67" t="str">
        <f>IF(ISBLANK(B14), "",  ROUND((VLOOKUP(C14,'Vessel Fuel Emission Factors'!$C$8:$J$20,8,FALSE)*$G14/1000000),0))</f>
        <v/>
      </c>
      <c r="O14" s="70"/>
      <c r="P14" s="102" t="str">
        <f>IF(ISBLANK(B14), "", ROUND((VLOOKUP($A14, 'eGRID2018 Region'!$A$4:$J$30, 3, FALSE)*$G14/(1-$H14))/1000000,3))</f>
        <v/>
      </c>
      <c r="Q14" s="102" t="str">
        <f>IF(ISBLANK(B14), "", ROUND((VLOOKUP($A14, 'eGRID2018 Region'!$A$4:$J$30, 4, FALSE)*$G14/(1-$H14))/1000000,3))</f>
        <v/>
      </c>
      <c r="R14" s="102" t="str">
        <f>IF(ISBLANK(B14), "", ROUND((VLOOKUP($A14, 'eGRID2018 Region'!$A$4:$J$30, 9, FALSE)*$G14/(1-$H14))/1000000,3))</f>
        <v/>
      </c>
      <c r="S14" s="67" t="str">
        <f>IF(ISBLANK(B14), "", ROUND((VLOOKUP($A14, 'eGRID2018 Region'!$A$4:$J$30, 5, FALSE)*$G14/(1-$H14))/1000000,0))</f>
        <v/>
      </c>
      <c r="T14" s="67" t="str">
        <f>IF(ISBLANK(B14), "", ROUND((VLOOKUP($A14, 'eGRID2018 Region'!$A$4:$J$30, 8, FALSE)*$G14/(1-$H14))/1000000,0))</f>
        <v/>
      </c>
      <c r="U14" s="80"/>
      <c r="V14" s="102" t="str">
        <f t="shared" si="2"/>
        <v/>
      </c>
      <c r="W14" s="102" t="str">
        <f t="shared" si="3"/>
        <v/>
      </c>
      <c r="X14" s="102" t="str">
        <f t="shared" si="3"/>
        <v/>
      </c>
      <c r="Y14" s="67" t="str">
        <f t="shared" si="4"/>
        <v/>
      </c>
      <c r="Z14" s="67" t="str">
        <f t="shared" si="4"/>
        <v/>
      </c>
      <c r="AA14" s="70"/>
      <c r="AB14" s="126" t="str">
        <f t="shared" si="5"/>
        <v/>
      </c>
      <c r="AC14" s="126" t="str">
        <f t="shared" si="1"/>
        <v/>
      </c>
      <c r="AD14" s="126" t="str">
        <f t="shared" si="1"/>
        <v/>
      </c>
      <c r="AE14" s="126" t="str">
        <f t="shared" si="1"/>
        <v/>
      </c>
      <c r="AF14" s="126" t="str">
        <f t="shared" si="1"/>
        <v/>
      </c>
    </row>
    <row r="15" spans="1:32">
      <c r="A15" s="63"/>
      <c r="B15" s="63"/>
      <c r="C15" s="63"/>
      <c r="D15" s="63"/>
      <c r="E15" s="63"/>
      <c r="F15" s="72" t="str">
        <f>IF(ISBLANK(B15),"",VLOOKUP(B15,'Vessel Type'!$C$3:$G$57,4,FALSE))</f>
        <v/>
      </c>
      <c r="G15" s="65" t="str">
        <f t="shared" si="0"/>
        <v/>
      </c>
      <c r="H15" s="112" t="str">
        <f>IF(ISBLANK(B15),"",VLOOKUP(A15,'eGRID2018 Region'!$A$5:$J$30,10,FALSE))</f>
        <v/>
      </c>
      <c r="J15" s="101" t="str">
        <f>IF(ISBLANK(B15), "", ROUND((VLOOKUP(C15,'Vessel Fuel Emission Factors'!$C$8:$J$20,2,FALSE)*$G15/1000000), 3))</f>
        <v/>
      </c>
      <c r="K15" s="101" t="str">
        <f>IF(ISBLANK(B15), "",  ROUND((VLOOKUP(C15,'Vessel Fuel Emission Factors'!$C$8:$J$20,3,FALSE)*$G15/1000000),3))</f>
        <v/>
      </c>
      <c r="L15" s="101" t="str">
        <f>IF(ISBLANK(B15), "",  ROUND((VLOOKUP(C15,'Vessel Fuel Emission Factors'!$C$8:$J$20,6,FALSE)*$G15/1000000),3))</f>
        <v/>
      </c>
      <c r="M15" s="65" t="str">
        <f>IF(ISBLANK(B15), "",  ROUND((VLOOKUP(C15,'Vessel Fuel Emission Factors'!$C$8:$J$20,4,FALSE)*$G15/1000000),0))</f>
        <v/>
      </c>
      <c r="N15" s="65" t="str">
        <f>IF(ISBLANK(B15), "",  ROUND((VLOOKUP(C15,'Vessel Fuel Emission Factors'!$C$8:$J$20,8,FALSE)*$G15/1000000),0))</f>
        <v/>
      </c>
      <c r="O15" s="70"/>
      <c r="P15" s="101" t="str">
        <f>IF(ISBLANK(B15), "", ROUND((VLOOKUP($A15, 'eGRID2018 Region'!$A$4:$J$30, 3, FALSE)*$G15/(1-$H15))/1000000,3))</f>
        <v/>
      </c>
      <c r="Q15" s="101" t="str">
        <f>IF(ISBLANK(B15), "", ROUND((VLOOKUP($A15, 'eGRID2018 Region'!$A$4:$J$30, 4, FALSE)*$G15/(1-$H15))/1000000,3))</f>
        <v/>
      </c>
      <c r="R15" s="101" t="str">
        <f>IF(ISBLANK(B15), "", ROUND((VLOOKUP($A15, 'eGRID2018 Region'!$A$4:$J$30, 9, FALSE)*$G15/(1-$H15))/1000000,3))</f>
        <v/>
      </c>
      <c r="S15" s="65" t="str">
        <f>IF(ISBLANK(B15), "", ROUND((VLOOKUP($A15, 'eGRID2018 Region'!$A$4:$J$30, 5, FALSE)*$G15/(1-$H15))/1000000,0))</f>
        <v/>
      </c>
      <c r="T15" s="65" t="str">
        <f>IF(ISBLANK(B15), "", ROUND((VLOOKUP($A15, 'eGRID2018 Region'!$A$4:$J$30, 8, FALSE)*$G15/(1-$H15))/1000000,0))</f>
        <v/>
      </c>
      <c r="U15" s="80"/>
      <c r="V15" s="101" t="str">
        <f t="shared" si="2"/>
        <v/>
      </c>
      <c r="W15" s="101" t="str">
        <f t="shared" si="3"/>
        <v/>
      </c>
      <c r="X15" s="101" t="str">
        <f t="shared" si="3"/>
        <v/>
      </c>
      <c r="Y15" s="65" t="str">
        <f t="shared" si="4"/>
        <v/>
      </c>
      <c r="Z15" s="65" t="str">
        <f t="shared" si="4"/>
        <v/>
      </c>
      <c r="AA15" s="70"/>
      <c r="AB15" s="125" t="str">
        <f t="shared" si="5"/>
        <v/>
      </c>
      <c r="AC15" s="125" t="str">
        <f t="shared" si="1"/>
        <v/>
      </c>
      <c r="AD15" s="125" t="str">
        <f t="shared" si="1"/>
        <v/>
      </c>
      <c r="AE15" s="125" t="str">
        <f t="shared" si="1"/>
        <v/>
      </c>
      <c r="AF15" s="125" t="str">
        <f t="shared" si="1"/>
        <v/>
      </c>
    </row>
    <row r="16" spans="1:32">
      <c r="A16" s="64"/>
      <c r="B16" s="64"/>
      <c r="C16" s="64"/>
      <c r="D16" s="64"/>
      <c r="E16" s="64"/>
      <c r="F16" s="72" t="str">
        <f>IF(ISBLANK(B16),"",VLOOKUP(B16,'Vessel Type'!$C$3:$G$57,4,FALSE))</f>
        <v/>
      </c>
      <c r="G16" s="67" t="str">
        <f t="shared" si="0"/>
        <v/>
      </c>
      <c r="H16" s="113" t="str">
        <f>IF(ISBLANK(B16),"",VLOOKUP(A16,'eGRID2018 Region'!$A$5:$J$30,10,FALSE))</f>
        <v/>
      </c>
      <c r="J16" s="102" t="str">
        <f>IF(ISBLANK(B16), "", ROUND((VLOOKUP(C16,'Vessel Fuel Emission Factors'!$C$8:$J$20,2,FALSE)*$G16/1000000), 3))</f>
        <v/>
      </c>
      <c r="K16" s="102" t="str">
        <f>IF(ISBLANK(B16), "",  ROUND((VLOOKUP(C16,'Vessel Fuel Emission Factors'!$C$8:$J$20,3,FALSE)*$G16/1000000),3))</f>
        <v/>
      </c>
      <c r="L16" s="102" t="str">
        <f>IF(ISBLANK(B16), "",  ROUND((VLOOKUP(C16,'Vessel Fuel Emission Factors'!$C$8:$J$20,6,FALSE)*$G16/1000000),3))</f>
        <v/>
      </c>
      <c r="M16" s="67" t="str">
        <f>IF(ISBLANK(B16), "",  ROUND((VLOOKUP(C16,'Vessel Fuel Emission Factors'!$C$8:$J$20,4,FALSE)*$G16/1000000),0))</f>
        <v/>
      </c>
      <c r="N16" s="67" t="str">
        <f>IF(ISBLANK(B16), "",  ROUND((VLOOKUP(C16,'Vessel Fuel Emission Factors'!$C$8:$J$20,8,FALSE)*$G16/1000000),0))</f>
        <v/>
      </c>
      <c r="O16" s="70"/>
      <c r="P16" s="102" t="str">
        <f>IF(ISBLANK(B16), "", ROUND((VLOOKUP($A16, 'eGRID2018 Region'!$A$4:$J$30, 3, FALSE)*$G16/(1-$H16))/1000000,3))</f>
        <v/>
      </c>
      <c r="Q16" s="102" t="str">
        <f>IF(ISBLANK(B16), "", ROUND((VLOOKUP($A16, 'eGRID2018 Region'!$A$4:$J$30, 4, FALSE)*$G16/(1-$H16))/1000000,3))</f>
        <v/>
      </c>
      <c r="R16" s="102" t="str">
        <f>IF(ISBLANK(B16), "", ROUND((VLOOKUP($A16, 'eGRID2018 Region'!$A$4:$J$30, 9, FALSE)*$G16/(1-$H16))/1000000,3))</f>
        <v/>
      </c>
      <c r="S16" s="67" t="str">
        <f>IF(ISBLANK(B16), "", ROUND((VLOOKUP($A16, 'eGRID2018 Region'!$A$4:$J$30, 5, FALSE)*$G16/(1-$H16))/1000000,0))</f>
        <v/>
      </c>
      <c r="T16" s="67" t="str">
        <f>IF(ISBLANK(B16), "", ROUND((VLOOKUP($A16, 'eGRID2018 Region'!$A$4:$J$30, 8, FALSE)*$G16/(1-$H16))/1000000,0))</f>
        <v/>
      </c>
      <c r="U16" s="80"/>
      <c r="V16" s="102" t="str">
        <f t="shared" si="2"/>
        <v/>
      </c>
      <c r="W16" s="102" t="str">
        <f t="shared" si="3"/>
        <v/>
      </c>
      <c r="X16" s="102" t="str">
        <f t="shared" si="3"/>
        <v/>
      </c>
      <c r="Y16" s="67" t="str">
        <f t="shared" si="4"/>
        <v/>
      </c>
      <c r="Z16" s="67" t="str">
        <f t="shared" si="4"/>
        <v/>
      </c>
      <c r="AA16" s="70"/>
      <c r="AB16" s="126" t="str">
        <f t="shared" si="5"/>
        <v/>
      </c>
      <c r="AC16" s="126" t="str">
        <f t="shared" si="1"/>
        <v/>
      </c>
      <c r="AD16" s="126" t="str">
        <f>IF(AND(ISBLANK($A16),ISBLANK($B16)),"",IF(L16=0, "Div/0 Error", ROUND((R16-L16)/L16,2)))</f>
        <v/>
      </c>
      <c r="AE16" s="126" t="str">
        <f t="shared" si="1"/>
        <v/>
      </c>
      <c r="AF16" s="126" t="str">
        <f t="shared" si="1"/>
        <v/>
      </c>
    </row>
    <row r="17" spans="1:32">
      <c r="A17" s="63"/>
      <c r="B17" s="63"/>
      <c r="C17" s="63"/>
      <c r="D17" s="63"/>
      <c r="E17" s="63"/>
      <c r="F17" s="72" t="str">
        <f>IF(ISBLANK(B17),"",VLOOKUP(B17,'Vessel Type'!$C$3:$G$57,4,FALSE))</f>
        <v/>
      </c>
      <c r="G17" s="65" t="str">
        <f t="shared" si="0"/>
        <v/>
      </c>
      <c r="H17" s="112" t="str">
        <f>IF(ISBLANK(B17),"",VLOOKUP(A17,'eGRID2018 Region'!$A$5:$J$30,10,FALSE))</f>
        <v/>
      </c>
      <c r="J17" s="101" t="str">
        <f>IF(ISBLANK(B17), "", ROUND((VLOOKUP(C17,'Vessel Fuel Emission Factors'!$C$8:$J$20,2,FALSE)*$G17/1000000), 3))</f>
        <v/>
      </c>
      <c r="K17" s="101" t="str">
        <f>IF(ISBLANK(B17), "",  ROUND((VLOOKUP(C17,'Vessel Fuel Emission Factors'!$C$8:$J$20,3,FALSE)*$G17/1000000),3))</f>
        <v/>
      </c>
      <c r="L17" s="101" t="str">
        <f>IF(ISBLANK(B17), "",  ROUND((VLOOKUP(C17,'Vessel Fuel Emission Factors'!$C$8:$J$20,6,FALSE)*$G17/1000000),3))</f>
        <v/>
      </c>
      <c r="M17" s="65" t="str">
        <f>IF(ISBLANK(B17), "",  ROUND((VLOOKUP(C17,'Vessel Fuel Emission Factors'!$C$8:$J$20,4,FALSE)*$G17/1000000),0))</f>
        <v/>
      </c>
      <c r="N17" s="65" t="str">
        <f>IF(ISBLANK(B17), "",  ROUND((VLOOKUP(C17,'Vessel Fuel Emission Factors'!$C$8:$J$20,8,FALSE)*$G17/1000000),0))</f>
        <v/>
      </c>
      <c r="O17" s="70"/>
      <c r="P17" s="101" t="str">
        <f>IF(ISBLANK(B17), "", ROUND((VLOOKUP($A17, 'eGRID2018 Region'!$A$4:$J$30, 3, FALSE)*$G17/(1-$H17))/1000000,3))</f>
        <v/>
      </c>
      <c r="Q17" s="101" t="str">
        <f>IF(ISBLANK(B17), "", ROUND((VLOOKUP($A17, 'eGRID2018 Region'!$A$4:$J$30, 4, FALSE)*$G17/(1-$H17))/1000000,3))</f>
        <v/>
      </c>
      <c r="R17" s="101" t="str">
        <f>IF(ISBLANK(B17), "", ROUND((VLOOKUP($A17, 'eGRID2018 Region'!$A$4:$J$30, 9, FALSE)*$G17/(1-$H17))/1000000,3))</f>
        <v/>
      </c>
      <c r="S17" s="65" t="str">
        <f>IF(ISBLANK(B17), "", ROUND((VLOOKUP($A17, 'eGRID2018 Region'!$A$4:$J$30, 5, FALSE)*$G17/(1-$H17))/1000000,0))</f>
        <v/>
      </c>
      <c r="T17" s="65" t="str">
        <f>IF(ISBLANK(B17), "", ROUND((VLOOKUP($A17, 'eGRID2018 Region'!$A$4:$J$30, 8, FALSE)*$G17/(1-$H17))/1000000,0))</f>
        <v/>
      </c>
      <c r="U17" s="80"/>
      <c r="V17" s="101" t="str">
        <f t="shared" si="2"/>
        <v/>
      </c>
      <c r="W17" s="101" t="str">
        <f t="shared" si="3"/>
        <v/>
      </c>
      <c r="X17" s="101" t="str">
        <f t="shared" si="3"/>
        <v/>
      </c>
      <c r="Y17" s="65" t="str">
        <f t="shared" si="4"/>
        <v/>
      </c>
      <c r="Z17" s="65" t="str">
        <f t="shared" si="4"/>
        <v/>
      </c>
      <c r="AA17" s="70"/>
      <c r="AB17" s="125" t="str">
        <f t="shared" si="5"/>
        <v/>
      </c>
      <c r="AC17" s="125" t="str">
        <f t="shared" si="1"/>
        <v/>
      </c>
      <c r="AD17" s="125" t="str">
        <f t="shared" si="1"/>
        <v/>
      </c>
      <c r="AE17" s="125" t="str">
        <f t="shared" si="1"/>
        <v/>
      </c>
      <c r="AF17" s="125" t="str">
        <f t="shared" si="1"/>
        <v/>
      </c>
    </row>
    <row r="18" spans="1:32">
      <c r="A18" s="64"/>
      <c r="B18" s="64"/>
      <c r="C18" s="64"/>
      <c r="D18" s="64"/>
      <c r="E18" s="64"/>
      <c r="F18" s="72" t="str">
        <f>IF(ISBLANK(B18),"",VLOOKUP(B18,'Vessel Type'!$C$3:$G$57,4,FALSE))</f>
        <v/>
      </c>
      <c r="G18" s="67" t="str">
        <f t="shared" si="0"/>
        <v/>
      </c>
      <c r="H18" s="113" t="str">
        <f>IF(ISBLANK(B18),"",VLOOKUP(A18,'eGRID2018 Region'!$A$5:$J$30,10,FALSE))</f>
        <v/>
      </c>
      <c r="J18" s="102" t="str">
        <f>IF(ISBLANK(B18), "", ROUND((VLOOKUP(C18,'Vessel Fuel Emission Factors'!$C$8:$J$20,2,FALSE)*$G18/1000000), 3))</f>
        <v/>
      </c>
      <c r="K18" s="102" t="str">
        <f>IF(ISBLANK(B18), "",  ROUND((VLOOKUP(C18,'Vessel Fuel Emission Factors'!$C$8:$J$20,3,FALSE)*$G18/1000000),3))</f>
        <v/>
      </c>
      <c r="L18" s="102" t="str">
        <f>IF(ISBLANK(B18), "",  ROUND((VLOOKUP(C18,'Vessel Fuel Emission Factors'!$C$8:$J$20,6,FALSE)*$G18/1000000),3))</f>
        <v/>
      </c>
      <c r="M18" s="67" t="str">
        <f>IF(ISBLANK(B18), "",  ROUND((VLOOKUP(C18,'Vessel Fuel Emission Factors'!$C$8:$J$20,4,FALSE)*$G18/1000000),0))</f>
        <v/>
      </c>
      <c r="N18" s="67" t="str">
        <f>IF(ISBLANK(B18), "",  ROUND((VLOOKUP(C18,'Vessel Fuel Emission Factors'!$C$8:$J$20,8,FALSE)*$G18/1000000),0))</f>
        <v/>
      </c>
      <c r="O18" s="70"/>
      <c r="P18" s="102" t="str">
        <f>IF(ISBLANK(B18), "", ROUND((VLOOKUP($A18, 'eGRID2018 Region'!$A$4:$J$30, 3, FALSE)*$G18/(1-$H18))/1000000,3))</f>
        <v/>
      </c>
      <c r="Q18" s="102" t="str">
        <f>IF(ISBLANK(B18), "", ROUND((VLOOKUP($A18, 'eGRID2018 Region'!$A$4:$J$30, 4, FALSE)*$G18/(1-$H18))/1000000,3))</f>
        <v/>
      </c>
      <c r="R18" s="102" t="str">
        <f>IF(ISBLANK(B18), "", ROUND((VLOOKUP($A18, 'eGRID2018 Region'!$A$4:$J$30, 9, FALSE)*$G18/(1-$H18))/1000000,3))</f>
        <v/>
      </c>
      <c r="S18" s="67" t="str">
        <f>IF(ISBLANK(B18), "", ROUND((VLOOKUP($A18, 'eGRID2018 Region'!$A$4:$J$30, 5, FALSE)*$G18/(1-$H18))/1000000,0))</f>
        <v/>
      </c>
      <c r="T18" s="67" t="str">
        <f>IF(ISBLANK(B18), "", ROUND((VLOOKUP($A18, 'eGRID2018 Region'!$A$4:$J$30, 8, FALSE)*$G18/(1-$H18))/1000000,0))</f>
        <v/>
      </c>
      <c r="U18" s="80"/>
      <c r="V18" s="102" t="str">
        <f t="shared" si="2"/>
        <v/>
      </c>
      <c r="W18" s="102" t="str">
        <f t="shared" si="3"/>
        <v/>
      </c>
      <c r="X18" s="102" t="str">
        <f t="shared" si="3"/>
        <v/>
      </c>
      <c r="Y18" s="67" t="str">
        <f t="shared" si="4"/>
        <v/>
      </c>
      <c r="Z18" s="67" t="str">
        <f t="shared" si="4"/>
        <v/>
      </c>
      <c r="AA18" s="70"/>
      <c r="AB18" s="126" t="str">
        <f t="shared" si="5"/>
        <v/>
      </c>
      <c r="AC18" s="126" t="str">
        <f t="shared" si="1"/>
        <v/>
      </c>
      <c r="AD18" s="126" t="str">
        <f t="shared" si="1"/>
        <v/>
      </c>
      <c r="AE18" s="126" t="str">
        <f t="shared" si="1"/>
        <v/>
      </c>
      <c r="AF18" s="126" t="str">
        <f t="shared" si="1"/>
        <v/>
      </c>
    </row>
    <row r="19" spans="1:32">
      <c r="A19" s="63"/>
      <c r="B19" s="63"/>
      <c r="C19" s="63"/>
      <c r="D19" s="63"/>
      <c r="E19" s="63"/>
      <c r="F19" s="72" t="str">
        <f>IF(ISBLANK(B19),"",VLOOKUP(B19,'Vessel Type'!$C$3:$G$57,4,FALSE))</f>
        <v/>
      </c>
      <c r="G19" s="65" t="str">
        <f t="shared" si="0"/>
        <v/>
      </c>
      <c r="H19" s="112" t="str">
        <f>IF(ISBLANK(B19),"",VLOOKUP(A19,'eGRID2018 Region'!$A$5:$J$30,10,FALSE))</f>
        <v/>
      </c>
      <c r="J19" s="101" t="str">
        <f>IF(ISBLANK(B19), "", ROUND((VLOOKUP(C19,'Vessel Fuel Emission Factors'!$C$8:$J$20,2,FALSE)*$G19/1000000), 3))</f>
        <v/>
      </c>
      <c r="K19" s="101" t="str">
        <f>IF(ISBLANK(B19), "",  ROUND((VLOOKUP(C19,'Vessel Fuel Emission Factors'!$C$8:$J$20,3,FALSE)*$G19/1000000),3))</f>
        <v/>
      </c>
      <c r="L19" s="101" t="str">
        <f>IF(ISBLANK(B19), "",  ROUND((VLOOKUP(C19,'Vessel Fuel Emission Factors'!$C$8:$J$20,6,FALSE)*$G19/1000000),3))</f>
        <v/>
      </c>
      <c r="M19" s="65" t="str">
        <f>IF(ISBLANK(B19), "",  ROUND((VLOOKUP(C19,'Vessel Fuel Emission Factors'!$C$8:$J$20,4,FALSE)*$G19/1000000),0))</f>
        <v/>
      </c>
      <c r="N19" s="65" t="str">
        <f>IF(ISBLANK(B19), "",  ROUND((VLOOKUP(C19,'Vessel Fuel Emission Factors'!$C$8:$J$20,8,FALSE)*$G19/1000000),0))</f>
        <v/>
      </c>
      <c r="O19" s="70"/>
      <c r="P19" s="101" t="str">
        <f>IF(ISBLANK(B19), "", ROUND((VLOOKUP($A19, 'eGRID2018 Region'!$A$4:$J$30, 3, FALSE)*$G19/(1-$H19))/1000000,3))</f>
        <v/>
      </c>
      <c r="Q19" s="101" t="str">
        <f>IF(ISBLANK(B19), "", ROUND((VLOOKUP($A19, 'eGRID2018 Region'!$A$4:$J$30, 4, FALSE)*$G19/(1-$H19))/1000000,3))</f>
        <v/>
      </c>
      <c r="R19" s="101" t="str">
        <f>IF(ISBLANK(B19), "", ROUND((VLOOKUP($A19, 'eGRID2018 Region'!$A$4:$J$30, 9, FALSE)*$G19/(1-$H19))/1000000,3))</f>
        <v/>
      </c>
      <c r="S19" s="65" t="str">
        <f>IF(ISBLANK(B19), "", ROUND((VLOOKUP($A19, 'eGRID2018 Region'!$A$4:$J$30, 5, FALSE)*$G19/(1-$H19))/1000000,0))</f>
        <v/>
      </c>
      <c r="T19" s="65" t="str">
        <f>IF(ISBLANK(B19), "", ROUND((VLOOKUP($A19, 'eGRID2018 Region'!$A$4:$J$30, 8, FALSE)*$G19/(1-$H19))/1000000,0))</f>
        <v/>
      </c>
      <c r="U19" s="80"/>
      <c r="V19" s="101" t="str">
        <f t="shared" si="2"/>
        <v/>
      </c>
      <c r="W19" s="101" t="str">
        <f t="shared" si="3"/>
        <v/>
      </c>
      <c r="X19" s="101" t="str">
        <f t="shared" si="3"/>
        <v/>
      </c>
      <c r="Y19" s="65" t="str">
        <f t="shared" si="4"/>
        <v/>
      </c>
      <c r="Z19" s="65" t="str">
        <f t="shared" si="4"/>
        <v/>
      </c>
      <c r="AA19" s="70"/>
      <c r="AB19" s="125" t="str">
        <f t="shared" si="5"/>
        <v/>
      </c>
      <c r="AC19" s="125" t="str">
        <f t="shared" si="1"/>
        <v/>
      </c>
      <c r="AD19" s="125" t="str">
        <f t="shared" si="1"/>
        <v/>
      </c>
      <c r="AE19" s="125" t="str">
        <f t="shared" si="1"/>
        <v/>
      </c>
      <c r="AF19" s="125" t="str">
        <f t="shared" si="1"/>
        <v/>
      </c>
    </row>
    <row r="20" spans="1:32">
      <c r="A20" s="64"/>
      <c r="B20" s="64"/>
      <c r="C20" s="64"/>
      <c r="D20" s="64"/>
      <c r="E20" s="64"/>
      <c r="F20" s="72" t="str">
        <f>IF(ISBLANK(B20),"",VLOOKUP(B20,'Vessel Type'!$C$3:$G$57,4,FALSE))</f>
        <v/>
      </c>
      <c r="G20" s="67" t="str">
        <f t="shared" si="0"/>
        <v/>
      </c>
      <c r="H20" s="113" t="str">
        <f>IF(ISBLANK(B20),"",VLOOKUP(A20,'eGRID2018 Region'!$A$5:$J$30,10,FALSE))</f>
        <v/>
      </c>
      <c r="J20" s="102" t="str">
        <f>IF(ISBLANK(B20), "", ROUND((VLOOKUP(C20,'Vessel Fuel Emission Factors'!$C$8:$J$20,2,FALSE)*$G20/1000000), 3))</f>
        <v/>
      </c>
      <c r="K20" s="102" t="str">
        <f>IF(ISBLANK(B20), "",  ROUND((VLOOKUP(C20,'Vessel Fuel Emission Factors'!$C$8:$J$20,3,FALSE)*$G20/1000000),3))</f>
        <v/>
      </c>
      <c r="L20" s="102" t="str">
        <f>IF(ISBLANK(B20), "",  ROUND((VLOOKUP(C20,'Vessel Fuel Emission Factors'!$C$8:$J$20,6,FALSE)*$G20/1000000),3))</f>
        <v/>
      </c>
      <c r="M20" s="67" t="str">
        <f>IF(ISBLANK(B20), "",  ROUND((VLOOKUP(C20,'Vessel Fuel Emission Factors'!$C$8:$J$20,4,FALSE)*$G20/1000000),0))</f>
        <v/>
      </c>
      <c r="N20" s="67" t="str">
        <f>IF(ISBLANK(B20), "",  ROUND((VLOOKUP(C20,'Vessel Fuel Emission Factors'!$C$8:$J$20,8,FALSE)*$G20/1000000),0))</f>
        <v/>
      </c>
      <c r="O20" s="70"/>
      <c r="P20" s="102" t="str">
        <f>IF(ISBLANK(B20), "", ROUND((VLOOKUP($A20, 'eGRID2018 Region'!$A$4:$J$30, 3, FALSE)*$G20/(1-$H20))/1000000,3))</f>
        <v/>
      </c>
      <c r="Q20" s="102" t="str">
        <f>IF(ISBLANK(B20), "", ROUND((VLOOKUP($A20, 'eGRID2018 Region'!$A$4:$J$30, 4, FALSE)*$G20/(1-$H20))/1000000,3))</f>
        <v/>
      </c>
      <c r="R20" s="102" t="str">
        <f>IF(ISBLANK(B20), "", ROUND((VLOOKUP($A20, 'eGRID2018 Region'!$A$4:$J$30, 9, FALSE)*$G20/(1-$H20))/1000000,3))</f>
        <v/>
      </c>
      <c r="S20" s="67" t="str">
        <f>IF(ISBLANK(B20), "", ROUND((VLOOKUP($A20, 'eGRID2018 Region'!$A$4:$J$30, 5, FALSE)*$G20/(1-$H20))/1000000,0))</f>
        <v/>
      </c>
      <c r="T20" s="67" t="str">
        <f>IF(ISBLANK(B20), "", ROUND((VLOOKUP($A20, 'eGRID2018 Region'!$A$4:$J$30, 8, FALSE)*$G20/(1-$H20))/1000000,0))</f>
        <v/>
      </c>
      <c r="U20" s="80"/>
      <c r="V20" s="102" t="str">
        <f t="shared" si="2"/>
        <v/>
      </c>
      <c r="W20" s="102" t="str">
        <f t="shared" si="3"/>
        <v/>
      </c>
      <c r="X20" s="102" t="str">
        <f t="shared" si="3"/>
        <v/>
      </c>
      <c r="Y20" s="67" t="str">
        <f t="shared" si="4"/>
        <v/>
      </c>
      <c r="Z20" s="67" t="str">
        <f t="shared" si="4"/>
        <v/>
      </c>
      <c r="AA20" s="70"/>
      <c r="AB20" s="126" t="str">
        <f t="shared" si="5"/>
        <v/>
      </c>
      <c r="AC20" s="126" t="str">
        <f t="shared" si="1"/>
        <v/>
      </c>
      <c r="AD20" s="126" t="str">
        <f t="shared" si="1"/>
        <v/>
      </c>
      <c r="AE20" s="126" t="str">
        <f t="shared" si="1"/>
        <v/>
      </c>
      <c r="AF20" s="126" t="str">
        <f t="shared" si="1"/>
        <v/>
      </c>
    </row>
    <row r="21" spans="1:32">
      <c r="A21" s="63"/>
      <c r="B21" s="63"/>
      <c r="C21" s="63"/>
      <c r="D21" s="63"/>
      <c r="E21" s="63"/>
      <c r="F21" s="72" t="str">
        <f>IF(ISBLANK(B21),"",VLOOKUP(B21,'Vessel Type'!$C$3:$G$57,4,FALSE))</f>
        <v/>
      </c>
      <c r="G21" s="65" t="str">
        <f t="shared" si="0"/>
        <v/>
      </c>
      <c r="H21" s="112" t="str">
        <f>IF(ISBLANK(B21),"",VLOOKUP(A21,'eGRID2018 Region'!$A$5:$J$30,10,FALSE))</f>
        <v/>
      </c>
      <c r="J21" s="101" t="str">
        <f>IF(ISBLANK(B21), "", ROUND((VLOOKUP(C21,'Vessel Fuel Emission Factors'!$C$8:$J$20,2,FALSE)*$G21/1000000), 3))</f>
        <v/>
      </c>
      <c r="K21" s="101" t="str">
        <f>IF(ISBLANK(B21), "",  ROUND((VLOOKUP(C21,'Vessel Fuel Emission Factors'!$C$8:$J$20,3,FALSE)*$G21/1000000),3))</f>
        <v/>
      </c>
      <c r="L21" s="101" t="str">
        <f>IF(ISBLANK(B21), "",  ROUND((VLOOKUP(C21,'Vessel Fuel Emission Factors'!$C$8:$J$20,6,FALSE)*$G21/1000000),3))</f>
        <v/>
      </c>
      <c r="M21" s="65" t="str">
        <f>IF(ISBLANK(B21), "",  ROUND((VLOOKUP(C21,'Vessel Fuel Emission Factors'!$C$8:$J$20,4,FALSE)*$G21/1000000),0))</f>
        <v/>
      </c>
      <c r="N21" s="65" t="str">
        <f>IF(ISBLANK(B21), "",  ROUND((VLOOKUP(C21,'Vessel Fuel Emission Factors'!$C$8:$J$20,8,FALSE)*$G21/1000000),0))</f>
        <v/>
      </c>
      <c r="O21" s="70"/>
      <c r="P21" s="101" t="str">
        <f>IF(ISBLANK(B21), "", ROUND((VLOOKUP($A21, 'eGRID2018 Region'!$A$4:$J$30, 3, FALSE)*$G21/(1-$H21))/1000000,3))</f>
        <v/>
      </c>
      <c r="Q21" s="101" t="str">
        <f>IF(ISBLANK(B21), "", ROUND((VLOOKUP($A21, 'eGRID2018 Region'!$A$4:$J$30, 4, FALSE)*$G21/(1-$H21))/1000000,3))</f>
        <v/>
      </c>
      <c r="R21" s="101" t="str">
        <f>IF(ISBLANK(B21), "", ROUND((VLOOKUP($A21, 'eGRID2018 Region'!$A$4:$J$30, 9, FALSE)*$G21/(1-$H21))/1000000,3))</f>
        <v/>
      </c>
      <c r="S21" s="65" t="str">
        <f>IF(ISBLANK(B21), "", ROUND((VLOOKUP($A21, 'eGRID2018 Region'!$A$4:$J$30, 5, FALSE)*$G21/(1-$H21))/1000000,0))</f>
        <v/>
      </c>
      <c r="T21" s="65" t="str">
        <f>IF(ISBLANK(B21), "", ROUND((VLOOKUP($A21, 'eGRID2018 Region'!$A$4:$J$30, 8, FALSE)*$G21/(1-$H21))/1000000,0))</f>
        <v/>
      </c>
      <c r="U21" s="80"/>
      <c r="V21" s="101" t="str">
        <f t="shared" si="2"/>
        <v/>
      </c>
      <c r="W21" s="101" t="str">
        <f t="shared" si="3"/>
        <v/>
      </c>
      <c r="X21" s="101" t="str">
        <f t="shared" si="3"/>
        <v/>
      </c>
      <c r="Y21" s="65" t="str">
        <f t="shared" si="4"/>
        <v/>
      </c>
      <c r="Z21" s="65" t="str">
        <f t="shared" si="4"/>
        <v/>
      </c>
      <c r="AA21" s="70"/>
      <c r="AB21" s="125" t="str">
        <f t="shared" si="5"/>
        <v/>
      </c>
      <c r="AC21" s="125" t="str">
        <f t="shared" si="5"/>
        <v/>
      </c>
      <c r="AD21" s="125" t="str">
        <f t="shared" si="5"/>
        <v/>
      </c>
      <c r="AE21" s="125" t="str">
        <f t="shared" si="5"/>
        <v/>
      </c>
      <c r="AF21" s="125" t="str">
        <f t="shared" si="5"/>
        <v/>
      </c>
    </row>
    <row r="22" spans="1:32">
      <c r="A22" s="64"/>
      <c r="B22" s="64"/>
      <c r="C22" s="64"/>
      <c r="D22" s="64"/>
      <c r="E22" s="64"/>
      <c r="F22" s="72" t="str">
        <f>IF(ISBLANK(B22),"",VLOOKUP(B22,'Vessel Type'!$C$3:$G$57,4,FALSE))</f>
        <v/>
      </c>
      <c r="G22" s="67" t="str">
        <f t="shared" si="0"/>
        <v/>
      </c>
      <c r="H22" s="113" t="str">
        <f>IF(ISBLANK(B22),"",VLOOKUP(A22,'eGRID2018 Region'!$A$5:$J$30,10,FALSE))</f>
        <v/>
      </c>
      <c r="J22" s="102" t="str">
        <f>IF(ISBLANK(B22), "", ROUND((VLOOKUP(C22,'Vessel Fuel Emission Factors'!$C$8:$J$20,2,FALSE)*$G22/1000000), 3))</f>
        <v/>
      </c>
      <c r="K22" s="102" t="str">
        <f>IF(ISBLANK(B22), "",  ROUND((VLOOKUP(C22,'Vessel Fuel Emission Factors'!$C$8:$J$20,3,FALSE)*$G22/1000000),3))</f>
        <v/>
      </c>
      <c r="L22" s="102" t="str">
        <f>IF(ISBLANK(B22), "",  ROUND((VLOOKUP(C22,'Vessel Fuel Emission Factors'!$C$8:$J$20,6,FALSE)*$G22/1000000),3))</f>
        <v/>
      </c>
      <c r="M22" s="67" t="str">
        <f>IF(ISBLANK(B22), "",  ROUND((VLOOKUP(C22,'Vessel Fuel Emission Factors'!$C$8:$J$20,4,FALSE)*$G22/1000000),0))</f>
        <v/>
      </c>
      <c r="N22" s="67" t="str">
        <f>IF(ISBLANK(B22), "",  ROUND((VLOOKUP(C22,'Vessel Fuel Emission Factors'!$C$8:$J$20,8,FALSE)*$G22/1000000),0))</f>
        <v/>
      </c>
      <c r="O22" s="70"/>
      <c r="P22" s="102" t="str">
        <f>IF(ISBLANK(B22), "", ROUND((VLOOKUP($A22, 'eGRID2018 Region'!$A$4:$J$30, 3, FALSE)*$G22/(1-$H22))/1000000,3))</f>
        <v/>
      </c>
      <c r="Q22" s="102" t="str">
        <f>IF(ISBLANK(B22), "", ROUND((VLOOKUP($A22, 'eGRID2018 Region'!$A$4:$J$30, 4, FALSE)*$G22/(1-$H22))/1000000,3))</f>
        <v/>
      </c>
      <c r="R22" s="102" t="str">
        <f>IF(ISBLANK(B22), "", ROUND((VLOOKUP($A22, 'eGRID2018 Region'!$A$4:$J$30, 9, FALSE)*$G22/(1-$H22))/1000000,3))</f>
        <v/>
      </c>
      <c r="S22" s="67" t="str">
        <f>IF(ISBLANK(B22), "", ROUND((VLOOKUP($A22, 'eGRID2018 Region'!$A$4:$J$30, 5, FALSE)*$G22/(1-$H22))/1000000,0))</f>
        <v/>
      </c>
      <c r="T22" s="67" t="str">
        <f>IF(ISBLANK(B22), "", ROUND((VLOOKUP($A22, 'eGRID2018 Region'!$A$4:$J$30, 8, FALSE)*$G22/(1-$H22))/1000000,0))</f>
        <v/>
      </c>
      <c r="U22" s="80"/>
      <c r="V22" s="102" t="str">
        <f t="shared" si="2"/>
        <v/>
      </c>
      <c r="W22" s="102" t="str">
        <f t="shared" si="3"/>
        <v/>
      </c>
      <c r="X22" s="102" t="str">
        <f t="shared" si="3"/>
        <v/>
      </c>
      <c r="Y22" s="67" t="str">
        <f t="shared" si="4"/>
        <v/>
      </c>
      <c r="Z22" s="67" t="str">
        <f t="shared" si="4"/>
        <v/>
      </c>
      <c r="AA22" s="70"/>
      <c r="AB22" s="126" t="str">
        <f t="shared" si="5"/>
        <v/>
      </c>
      <c r="AC22" s="126" t="str">
        <f t="shared" si="5"/>
        <v/>
      </c>
      <c r="AD22" s="126" t="str">
        <f t="shared" si="5"/>
        <v/>
      </c>
      <c r="AE22" s="126" t="str">
        <f t="shared" si="5"/>
        <v/>
      </c>
      <c r="AF22" s="126" t="str">
        <f t="shared" si="5"/>
        <v/>
      </c>
    </row>
    <row r="23" spans="1:32">
      <c r="A23" s="63"/>
      <c r="B23" s="63"/>
      <c r="C23" s="63"/>
      <c r="D23" s="63"/>
      <c r="E23" s="63"/>
      <c r="F23" s="72" t="str">
        <f>IF(ISBLANK(B23),"",VLOOKUP(B23,'Vessel Type'!$C$3:$G$57,4,FALSE))</f>
        <v/>
      </c>
      <c r="G23" s="65" t="str">
        <f t="shared" si="0"/>
        <v/>
      </c>
      <c r="H23" s="112" t="str">
        <f>IF(ISBLANK(B23),"",VLOOKUP(A23,'eGRID2018 Region'!$A$5:$J$30,10,FALSE))</f>
        <v/>
      </c>
      <c r="J23" s="101" t="str">
        <f>IF(ISBLANK(B23), "", ROUND((VLOOKUP(C23,'Vessel Fuel Emission Factors'!$C$8:$J$20,2,FALSE)*$G23/1000000), 3))</f>
        <v/>
      </c>
      <c r="K23" s="101" t="str">
        <f>IF(ISBLANK(B23), "",  ROUND((VLOOKUP(C23,'Vessel Fuel Emission Factors'!$C$8:$J$20,3,FALSE)*$G23/1000000),3))</f>
        <v/>
      </c>
      <c r="L23" s="101" t="str">
        <f>IF(ISBLANK(B23), "",  ROUND((VLOOKUP(C23,'Vessel Fuel Emission Factors'!$C$8:$J$20,6,FALSE)*$G23/1000000),3))</f>
        <v/>
      </c>
      <c r="M23" s="65" t="str">
        <f>IF(ISBLANK(B23), "",  ROUND((VLOOKUP(C23,'Vessel Fuel Emission Factors'!$C$8:$J$20,4,FALSE)*$G23/1000000),0))</f>
        <v/>
      </c>
      <c r="N23" s="65" t="str">
        <f>IF(ISBLANK(B23), "",  ROUND((VLOOKUP(C23,'Vessel Fuel Emission Factors'!$C$8:$J$20,8,FALSE)*$G23/1000000),0))</f>
        <v/>
      </c>
      <c r="O23" s="70"/>
      <c r="P23" s="101" t="str">
        <f>IF(ISBLANK(B23), "", ROUND((VLOOKUP($A23, 'eGRID2018 Region'!$A$4:$J$30, 3, FALSE)*$G23/(1-$H23))/1000000,3))</f>
        <v/>
      </c>
      <c r="Q23" s="101" t="str">
        <f>IF(ISBLANK(B23), "", ROUND((VLOOKUP($A23, 'eGRID2018 Region'!$A$4:$J$30, 4, FALSE)*$G23/(1-$H23))/1000000,3))</f>
        <v/>
      </c>
      <c r="R23" s="101" t="str">
        <f>IF(ISBLANK(B23), "", ROUND((VLOOKUP($A23, 'eGRID2018 Region'!$A$4:$J$30, 9, FALSE)*$G23/(1-$H23))/1000000,3))</f>
        <v/>
      </c>
      <c r="S23" s="65" t="str">
        <f>IF(ISBLANK(B23), "", ROUND((VLOOKUP($A23, 'eGRID2018 Region'!$A$4:$J$30, 5, FALSE)*$G23/(1-$H23))/1000000,0))</f>
        <v/>
      </c>
      <c r="T23" s="65" t="str">
        <f>IF(ISBLANK(B23), "", ROUND((VLOOKUP($A23, 'eGRID2018 Region'!$A$4:$J$30, 8, FALSE)*$G23/(1-$H23))/1000000,0))</f>
        <v/>
      </c>
      <c r="U23" s="80"/>
      <c r="V23" s="101" t="str">
        <f t="shared" si="2"/>
        <v/>
      </c>
      <c r="W23" s="101" t="str">
        <f t="shared" si="3"/>
        <v/>
      </c>
      <c r="X23" s="101" t="str">
        <f t="shared" si="3"/>
        <v/>
      </c>
      <c r="Y23" s="65" t="str">
        <f t="shared" si="4"/>
        <v/>
      </c>
      <c r="Z23" s="65" t="str">
        <f t="shared" si="4"/>
        <v/>
      </c>
      <c r="AA23" s="70"/>
      <c r="AB23" s="125" t="str">
        <f t="shared" si="5"/>
        <v/>
      </c>
      <c r="AC23" s="125" t="str">
        <f t="shared" si="5"/>
        <v/>
      </c>
      <c r="AD23" s="125" t="str">
        <f t="shared" si="5"/>
        <v/>
      </c>
      <c r="AE23" s="125" t="str">
        <f t="shared" si="5"/>
        <v/>
      </c>
      <c r="AF23" s="125" t="str">
        <f t="shared" si="5"/>
        <v/>
      </c>
    </row>
    <row r="24" spans="1:32">
      <c r="A24" s="64"/>
      <c r="B24" s="64"/>
      <c r="C24" s="64"/>
      <c r="D24" s="64"/>
      <c r="E24" s="64"/>
      <c r="F24" s="72" t="str">
        <f>IF(ISBLANK(B24),"",VLOOKUP(B24,'Vessel Type'!$C$3:$G$57,4,FALSE))</f>
        <v/>
      </c>
      <c r="G24" s="67" t="str">
        <f t="shared" si="0"/>
        <v/>
      </c>
      <c r="H24" s="113" t="str">
        <f>IF(ISBLANK(B24),"",VLOOKUP(A24,'eGRID2018 Region'!$A$5:$J$30,10,FALSE))</f>
        <v/>
      </c>
      <c r="J24" s="102" t="str">
        <f>IF(ISBLANK(B24), "", ROUND((VLOOKUP(C24,'Vessel Fuel Emission Factors'!$C$8:$J$20,2,FALSE)*$G24/1000000), 3))</f>
        <v/>
      </c>
      <c r="K24" s="102" t="str">
        <f>IF(ISBLANK(B24), "",  ROUND((VLOOKUP(C24,'Vessel Fuel Emission Factors'!$C$8:$J$20,3,FALSE)*$G24/1000000),3))</f>
        <v/>
      </c>
      <c r="L24" s="102" t="str">
        <f>IF(ISBLANK(B24), "",  ROUND((VLOOKUP(C24,'Vessel Fuel Emission Factors'!$C$8:$J$20,6,FALSE)*$G24/1000000),3))</f>
        <v/>
      </c>
      <c r="M24" s="67" t="str">
        <f>IF(ISBLANK(B24), "",  ROUND((VLOOKUP(C24,'Vessel Fuel Emission Factors'!$C$8:$J$20,4,FALSE)*$G24/1000000),0))</f>
        <v/>
      </c>
      <c r="N24" s="67" t="str">
        <f>IF(ISBLANK(B24), "",  ROUND((VLOOKUP(C24,'Vessel Fuel Emission Factors'!$C$8:$J$20,8,FALSE)*$G24/1000000),0))</f>
        <v/>
      </c>
      <c r="O24" s="70"/>
      <c r="P24" s="102" t="str">
        <f>IF(ISBLANK(B24), "", ROUND((VLOOKUP($A24, 'eGRID2018 Region'!$A$4:$J$30, 3, FALSE)*$G24/(1-$H24))/1000000,3))</f>
        <v/>
      </c>
      <c r="Q24" s="102" t="str">
        <f>IF(ISBLANK(B24), "", ROUND((VLOOKUP($A24, 'eGRID2018 Region'!$A$4:$J$30, 4, FALSE)*$G24/(1-$H24))/1000000,3))</f>
        <v/>
      </c>
      <c r="R24" s="102" t="str">
        <f>IF(ISBLANK(B24), "", ROUND((VLOOKUP($A24, 'eGRID2018 Region'!$A$4:$J$30, 9, FALSE)*$G24/(1-$H24))/1000000,3))</f>
        <v/>
      </c>
      <c r="S24" s="67" t="str">
        <f>IF(ISBLANK(B24), "", ROUND((VLOOKUP($A24, 'eGRID2018 Region'!$A$4:$J$30, 5, FALSE)*$G24/(1-$H24))/1000000,0))</f>
        <v/>
      </c>
      <c r="T24" s="67" t="str">
        <f>IF(ISBLANK(B24), "", ROUND((VLOOKUP($A24, 'eGRID2018 Region'!$A$4:$J$30, 8, FALSE)*$G24/(1-$H24))/1000000,0))</f>
        <v/>
      </c>
      <c r="U24" s="80"/>
      <c r="V24" s="102" t="str">
        <f t="shared" si="2"/>
        <v/>
      </c>
      <c r="W24" s="102" t="str">
        <f t="shared" si="3"/>
        <v/>
      </c>
      <c r="X24" s="102" t="str">
        <f t="shared" si="3"/>
        <v/>
      </c>
      <c r="Y24" s="67" t="str">
        <f t="shared" si="4"/>
        <v/>
      </c>
      <c r="Z24" s="67" t="str">
        <f t="shared" si="4"/>
        <v/>
      </c>
      <c r="AA24" s="70"/>
      <c r="AB24" s="126" t="str">
        <f>IF(AND(ISBLANK($A24),ISBLANK($B24)),"",IF(J24=0, "Div/0 Error", ROUND((P24-J24)/J24,2)))</f>
        <v/>
      </c>
      <c r="AC24" s="126" t="str">
        <f t="shared" ref="AC24:AE24" si="6">IF(AND(ISBLANK($A24),ISBLANK($B24)),"",IF(K24=0, "Div/0 Error", ROUND((Q24-K24)/K24,2)))</f>
        <v/>
      </c>
      <c r="AD24" s="126" t="str">
        <f t="shared" si="6"/>
        <v/>
      </c>
      <c r="AE24" s="126" t="str">
        <f t="shared" si="6"/>
        <v/>
      </c>
      <c r="AF24" s="126" t="str">
        <f>IF(AND(ISBLANK($A24),ISBLANK($B24)),"",IF(N24=0, "Div/0 Error", ROUND((T24-N24)/N24,2)))</f>
        <v/>
      </c>
    </row>
    <row r="25" spans="1:32">
      <c r="A25" s="76"/>
      <c r="B25" s="76"/>
      <c r="C25" s="76"/>
      <c r="D25" s="76"/>
      <c r="F25" s="76"/>
      <c r="G25" s="12">
        <f>SUMIF(G5:G24, "&lt;&gt;#N/A")</f>
        <v>6143760</v>
      </c>
      <c r="H25" s="12"/>
      <c r="I25" s="21"/>
      <c r="J25" s="103">
        <f>ROUND(SUMIF(J5:J24, "&lt;&gt;#N/A"),3)</f>
        <v>65.075999999999993</v>
      </c>
      <c r="K25" s="103">
        <f>ROUND(SUMIF(K5:K24, "&lt;&gt;#N/A"),2)</f>
        <v>2.73</v>
      </c>
      <c r="L25" s="103">
        <f>ROUND(SUMIF(L5:L24, "&lt;&gt;#N/A"), 3)</f>
        <v>1.0289999999999999</v>
      </c>
      <c r="M25" s="68">
        <f>ROUND(SUMIF(M5:M24, "&lt;&gt;#N/A"),3)</f>
        <v>4276</v>
      </c>
      <c r="N25" s="68">
        <f>ROUND(SUMIF(N5:N24, "&lt;&gt;#N/A"), 0)</f>
        <v>4332</v>
      </c>
      <c r="O25" s="69"/>
      <c r="P25" s="103">
        <f>ROUND(SUMIF(P5:P24, "&lt;&gt;#N/A"),3)</f>
        <v>1.0429999999999999</v>
      </c>
      <c r="Q25" s="103">
        <f>ROUND(SUMIF(Q5:Q24, "&lt;&gt;#N/A"), 2)</f>
        <v>0.81</v>
      </c>
      <c r="R25" s="103">
        <f>ROUND(SUMIF(R5:R24, "&lt;&gt;#N/A"), 3)</f>
        <v>0.189</v>
      </c>
      <c r="S25" s="68">
        <f>ROUND(SUMIF(S5:S24, "&lt;&gt;#N/A"), 3)</f>
        <v>2730</v>
      </c>
      <c r="T25" s="68">
        <f>ROUND(SUMIF(T5:T24, "&lt;&gt;#N/A"), 0)</f>
        <v>2742</v>
      </c>
      <c r="U25" s="69"/>
      <c r="V25" s="103">
        <f>ROUND(SUMIF(V5:V24, "&lt;&gt;#N/A"), 3)</f>
        <v>-64.033000000000001</v>
      </c>
      <c r="W25" s="103">
        <f>ROUND(SUMIF(W5:W24, "&lt;&gt;#N/A"), 2)</f>
        <v>-1.91</v>
      </c>
      <c r="X25" s="103">
        <f>ROUND(SUMIF(X5:X24, "&lt;&gt;#N/A"), 3)</f>
        <v>-0.84</v>
      </c>
      <c r="Y25" s="68">
        <f>ROUND(SUMIF(Y5:Y24, "&lt;&gt;#N/A"), 3)</f>
        <v>-1546</v>
      </c>
      <c r="Z25" s="68">
        <f>ROUND(SUMIF(Z5:Z24, "&lt;&gt;#N/A"), 0)</f>
        <v>-1590</v>
      </c>
      <c r="AA25" s="71"/>
      <c r="AB25" s="108">
        <f>IF(J25 = 0, "", ROUND((P25-J25)/J25, 2))</f>
        <v>-0.98</v>
      </c>
      <c r="AC25" s="108">
        <f t="shared" ref="AC25:AF25" si="7">IF(K25 = 0, "", ROUND((Q25-K25)/K25, 2))</f>
        <v>-0.7</v>
      </c>
      <c r="AD25" s="108">
        <f t="shared" si="7"/>
        <v>-0.82</v>
      </c>
      <c r="AE25" s="108">
        <f t="shared" si="7"/>
        <v>-0.36</v>
      </c>
      <c r="AF25" s="108">
        <f t="shared" si="7"/>
        <v>-0.37</v>
      </c>
    </row>
    <row r="26" spans="1:32">
      <c r="A26" s="75"/>
      <c r="B26" s="75"/>
      <c r="C26" s="75"/>
      <c r="D26" s="75"/>
      <c r="E26" s="75"/>
      <c r="F26" s="75"/>
      <c r="G26" s="3"/>
      <c r="H26" s="3"/>
      <c r="J26" s="75"/>
      <c r="K26" s="75"/>
      <c r="L26" s="75"/>
      <c r="M26" s="76"/>
      <c r="N26" s="76"/>
      <c r="P26" s="75"/>
      <c r="Q26" s="75"/>
      <c r="R26" s="75"/>
      <c r="S26" s="76"/>
      <c r="T26" s="76"/>
      <c r="V26" s="75"/>
      <c r="W26" s="75"/>
      <c r="X26" s="75"/>
      <c r="Y26" s="76"/>
      <c r="Z26" s="76"/>
    </row>
    <row r="27" spans="1:32">
      <c r="B27" s="110"/>
    </row>
  </sheetData>
  <sheetProtection formatCells="0" formatColumns="0" formatRows="0"/>
  <mergeCells count="4">
    <mergeCell ref="J2:N2"/>
    <mergeCell ref="P2:T2"/>
    <mergeCell ref="V2:Z2"/>
    <mergeCell ref="AB2:AF2"/>
  </mergeCells>
  <dataValidations count="5">
    <dataValidation type="decimal" allowBlank="1" showInputMessage="1" showErrorMessage="1" error="Must enter value greater than 0 and less than 8,760" sqref="E5:E24" xr:uid="{EBEBF23F-43CA-4677-B33F-DB34F9DB900B}">
      <formula1>0</formula1>
      <formula2>8760</formula2>
    </dataValidation>
    <dataValidation type="whole" allowBlank="1" showInputMessage="1" showErrorMessage="1" error="Must enter integer value greater than or equal to 1 and less than 8,760" sqref="F5:F24" xr:uid="{2B35EC8F-4DCF-4B64-9142-039E3E48833C}">
      <formula1>1</formula1>
      <formula2>8760</formula2>
    </dataValidation>
    <dataValidation type="whole" allowBlank="1" showInputMessage="1" showErrorMessage="1" error="Must enter integer value greater than or equal to 1 and less than 100,000" sqref="D5:D24" xr:uid="{1AB81E2B-8744-4BAF-8811-1B63B1AE14D9}">
      <formula1>1</formula1>
      <formula2>100000</formula2>
    </dataValidation>
    <dataValidation type="list" allowBlank="1" showInputMessage="1" showErrorMessage="1" sqref="A25" xr:uid="{D236235B-8D74-43B0-83EF-47939F88BDD9}">
      <formula1>Subregion</formula1>
    </dataValidation>
    <dataValidation type="list" allowBlank="1" showInputMessage="1" showErrorMessage="1" sqref="B25:C25" xr:uid="{68A582CE-4283-46ED-AD9F-73EE08AD4EF0}">
      <formula1>VesselType</formula1>
    </dataValidation>
  </dataValidations>
  <pageMargins left="0.75" right="0.75" top="1" bottom="1" header="0.5" footer="0.5"/>
  <pageSetup scale="31" fitToHeight="0" orientation="landscape" horizontalDpi="4294967292" verticalDpi="4294967292" r:id="rId1"/>
  <headerFooter differentFirst="1">
    <oddFooter>&amp;LShore Power Emissions Calculator, Version 2022a
&amp;A&amp;RPage &amp;P of &amp;N</oddFooter>
    <firstFooter>&amp;RPage &amp;P of &amp;N</first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FB1D231-14E8-49EE-AADD-9DD347717712}">
          <x14:formula1>
            <xm:f>'Vessel Fuel Emission Factors'!$C$7:$C$20</xm:f>
          </x14:formula1>
          <xm:sqref>C5:C24</xm:sqref>
        </x14:dataValidation>
        <x14:dataValidation type="list" allowBlank="1" showInputMessage="1" showErrorMessage="1" xr:uid="{CCC4D45B-E94A-4077-AE11-4EA68BB67E4D}">
          <x14:formula1>
            <xm:f>'Vessel Type'!$C$4:$C$57</xm:f>
          </x14:formula1>
          <xm:sqref>B5:B24</xm:sqref>
        </x14:dataValidation>
        <x14:dataValidation type="list" showInputMessage="1" showErrorMessage="1" promptTitle="Region" xr:uid="{30835407-4228-492A-960C-D9E66485BFD4}">
          <x14:formula1>
            <xm:f>'eGRID2018 Region'!$A$4:$A$30</xm:f>
          </x14:formula1>
          <xm:sqref>A5:A24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G67"/>
  <sheetViews>
    <sheetView workbookViewId="0"/>
  </sheetViews>
  <sheetFormatPr defaultColWidth="11" defaultRowHeight="15.6"/>
  <cols>
    <col min="1" max="2" width="19.69921875" customWidth="1"/>
    <col min="3" max="3" width="49.69921875" bestFit="1" customWidth="1"/>
    <col min="4" max="5" width="19.69921875" customWidth="1"/>
    <col min="6" max="6" width="13.296875" bestFit="1" customWidth="1"/>
    <col min="7" max="7" width="14.5" bestFit="1" customWidth="1"/>
  </cols>
  <sheetData>
    <row r="1" spans="1:7">
      <c r="A1" s="33" t="s">
        <v>191</v>
      </c>
    </row>
    <row r="2" spans="1:7">
      <c r="A2" t="s">
        <v>350</v>
      </c>
    </row>
    <row r="3" spans="1:7" s="27" customFormat="1" ht="16.2" thickBot="1">
      <c r="A3" s="47" t="s">
        <v>192</v>
      </c>
      <c r="B3" s="47" t="s">
        <v>193</v>
      </c>
      <c r="C3" s="47" t="s">
        <v>194</v>
      </c>
      <c r="D3" s="47" t="s">
        <v>195</v>
      </c>
      <c r="E3" s="47" t="s">
        <v>196</v>
      </c>
      <c r="F3" s="47" t="s">
        <v>197</v>
      </c>
      <c r="G3" s="47" t="s">
        <v>198</v>
      </c>
    </row>
    <row r="4" spans="1:7">
      <c r="A4" s="75"/>
      <c r="B4" s="75"/>
      <c r="C4" s="75"/>
      <c r="D4" s="75"/>
      <c r="E4" s="75"/>
      <c r="F4" s="75"/>
      <c r="G4" s="75"/>
    </row>
    <row r="5" spans="1:7">
      <c r="A5" t="s">
        <v>199</v>
      </c>
      <c r="B5" t="s">
        <v>200</v>
      </c>
      <c r="C5" t="str">
        <f>_xlfn.CONCAT(A5, " - ", B5)</f>
        <v>Bulk Carrier - Small</v>
      </c>
      <c r="D5" s="1">
        <v>190</v>
      </c>
      <c r="E5" s="1">
        <v>310</v>
      </c>
      <c r="F5" s="1">
        <v>280</v>
      </c>
      <c r="G5" s="1">
        <v>190</v>
      </c>
    </row>
    <row r="6" spans="1:7">
      <c r="A6" t="s">
        <v>199</v>
      </c>
      <c r="B6" t="s">
        <v>201</v>
      </c>
      <c r="C6" t="str">
        <f t="shared" ref="C6:C57" si="0">_xlfn.CONCAT(A6, " - ", B6)</f>
        <v>Bulk Carrier - Handysize</v>
      </c>
      <c r="D6" s="1">
        <v>190</v>
      </c>
      <c r="E6" s="1">
        <v>310</v>
      </c>
      <c r="F6" s="1">
        <v>280</v>
      </c>
      <c r="G6" s="1">
        <v>190</v>
      </c>
    </row>
    <row r="7" spans="1:7">
      <c r="A7" t="s">
        <v>199</v>
      </c>
      <c r="B7" t="s">
        <v>202</v>
      </c>
      <c r="C7" t="str">
        <f t="shared" si="0"/>
        <v>Bulk Carrier - Handymax</v>
      </c>
      <c r="D7" s="1">
        <v>260</v>
      </c>
      <c r="E7" s="1">
        <v>420</v>
      </c>
      <c r="F7" s="1">
        <v>370</v>
      </c>
      <c r="G7" s="1">
        <v>260</v>
      </c>
    </row>
    <row r="8" spans="1:7">
      <c r="A8" t="s">
        <v>199</v>
      </c>
      <c r="B8" t="s">
        <v>203</v>
      </c>
      <c r="C8" t="str">
        <f t="shared" si="0"/>
        <v>Bulk Carrier - Panamax</v>
      </c>
      <c r="D8" s="1">
        <v>420</v>
      </c>
      <c r="E8" s="1">
        <v>680</v>
      </c>
      <c r="F8" s="1">
        <v>600</v>
      </c>
      <c r="G8" s="1">
        <v>420</v>
      </c>
    </row>
    <row r="9" spans="1:7">
      <c r="A9" t="s">
        <v>199</v>
      </c>
      <c r="B9" t="s">
        <v>204</v>
      </c>
      <c r="C9" t="str">
        <f t="shared" si="0"/>
        <v>Bulk Carrier - Capesize</v>
      </c>
      <c r="D9" s="1">
        <v>420</v>
      </c>
      <c r="E9" s="1">
        <v>680</v>
      </c>
      <c r="F9" s="1">
        <v>600</v>
      </c>
      <c r="G9" s="1">
        <v>420</v>
      </c>
    </row>
    <row r="10" spans="1:7">
      <c r="A10" t="s">
        <v>199</v>
      </c>
      <c r="B10" t="s">
        <v>205</v>
      </c>
      <c r="C10" t="str">
        <f t="shared" si="0"/>
        <v>Bulk Carrier - Capesize Largest</v>
      </c>
      <c r="D10" s="1">
        <v>420</v>
      </c>
      <c r="E10" s="1">
        <v>680</v>
      </c>
      <c r="F10" s="1">
        <v>600</v>
      </c>
      <c r="G10" s="1">
        <v>420</v>
      </c>
    </row>
    <row r="11" spans="1:7">
      <c r="A11" t="s">
        <v>206</v>
      </c>
      <c r="B11" t="s">
        <v>207</v>
      </c>
      <c r="C11" t="str">
        <f t="shared" si="0"/>
        <v>Chemical Tanker - Smallest</v>
      </c>
      <c r="D11" s="1">
        <v>80</v>
      </c>
      <c r="E11" s="1">
        <v>110</v>
      </c>
      <c r="F11" s="1">
        <v>160</v>
      </c>
      <c r="G11" s="1">
        <v>80</v>
      </c>
    </row>
    <row r="12" spans="1:7">
      <c r="A12" t="s">
        <v>206</v>
      </c>
      <c r="B12" t="s">
        <v>200</v>
      </c>
      <c r="C12" t="str">
        <f t="shared" si="0"/>
        <v>Chemical Tanker - Small</v>
      </c>
      <c r="D12" s="1">
        <v>230</v>
      </c>
      <c r="E12" s="1">
        <v>330</v>
      </c>
      <c r="F12" s="1">
        <v>490</v>
      </c>
      <c r="G12" s="1">
        <v>230</v>
      </c>
    </row>
    <row r="13" spans="1:7">
      <c r="A13" t="s">
        <v>206</v>
      </c>
      <c r="B13" t="s">
        <v>201</v>
      </c>
      <c r="C13" t="str">
        <f t="shared" si="0"/>
        <v>Chemical Tanker - Handysize</v>
      </c>
      <c r="D13" s="1">
        <v>230</v>
      </c>
      <c r="E13" s="1">
        <v>330</v>
      </c>
      <c r="F13" s="1">
        <v>490</v>
      </c>
      <c r="G13" s="1">
        <v>230</v>
      </c>
    </row>
    <row r="14" spans="1:7">
      <c r="A14" t="s">
        <v>206</v>
      </c>
      <c r="B14" t="s">
        <v>202</v>
      </c>
      <c r="C14" t="str">
        <f t="shared" si="0"/>
        <v>Chemical Tanker - Handymax</v>
      </c>
      <c r="D14" s="1">
        <v>550</v>
      </c>
      <c r="E14" s="1">
        <v>780</v>
      </c>
      <c r="F14" s="1">
        <v>1170</v>
      </c>
      <c r="G14" s="1">
        <v>550</v>
      </c>
    </row>
    <row r="15" spans="1:7">
      <c r="A15" t="s">
        <v>208</v>
      </c>
      <c r="B15" t="s">
        <v>209</v>
      </c>
      <c r="C15" t="str">
        <f t="shared" si="0"/>
        <v>Container Ship - 1,000 TEU</v>
      </c>
      <c r="D15" s="1">
        <v>300</v>
      </c>
      <c r="E15" s="1">
        <v>550</v>
      </c>
      <c r="F15" s="1">
        <v>340</v>
      </c>
      <c r="G15" s="1">
        <v>300</v>
      </c>
    </row>
    <row r="16" spans="1:7">
      <c r="A16" t="s">
        <v>208</v>
      </c>
      <c r="B16" t="s">
        <v>210</v>
      </c>
      <c r="C16" t="str">
        <f t="shared" si="0"/>
        <v>Container Ship - 2,000 TEU</v>
      </c>
      <c r="D16" s="1">
        <v>820</v>
      </c>
      <c r="E16" s="1">
        <v>1320</v>
      </c>
      <c r="F16" s="1">
        <v>600</v>
      </c>
      <c r="G16" s="1">
        <v>820</v>
      </c>
    </row>
    <row r="17" spans="1:7">
      <c r="A17" t="s">
        <v>208</v>
      </c>
      <c r="B17" t="s">
        <v>211</v>
      </c>
      <c r="C17" t="str">
        <f t="shared" si="0"/>
        <v>Container Ship - 3,000 TEU</v>
      </c>
      <c r="D17" s="1">
        <v>1230</v>
      </c>
      <c r="E17" s="1">
        <v>1800</v>
      </c>
      <c r="F17" s="1">
        <v>700</v>
      </c>
      <c r="G17" s="1">
        <v>1230</v>
      </c>
    </row>
    <row r="18" spans="1:7">
      <c r="A18" t="s">
        <v>208</v>
      </c>
      <c r="B18" t="s">
        <v>212</v>
      </c>
      <c r="C18" t="str">
        <f t="shared" si="0"/>
        <v>Container Ship - 5,000 TEU</v>
      </c>
      <c r="D18" s="1">
        <v>1390</v>
      </c>
      <c r="E18" s="1">
        <v>2470</v>
      </c>
      <c r="F18" s="1">
        <v>940</v>
      </c>
      <c r="G18" s="1">
        <v>1390</v>
      </c>
    </row>
    <row r="19" spans="1:7">
      <c r="A19" t="s">
        <v>208</v>
      </c>
      <c r="B19" t="s">
        <v>213</v>
      </c>
      <c r="C19" t="str">
        <f t="shared" si="0"/>
        <v>Container Ship - 8,000 TEU</v>
      </c>
      <c r="D19" s="1">
        <v>1420</v>
      </c>
      <c r="E19" s="1">
        <v>2600</v>
      </c>
      <c r="F19" s="1">
        <v>970</v>
      </c>
      <c r="G19" s="1">
        <v>1420</v>
      </c>
    </row>
    <row r="20" spans="1:7">
      <c r="A20" t="s">
        <v>208</v>
      </c>
      <c r="B20" t="s">
        <v>214</v>
      </c>
      <c r="C20" t="str">
        <f t="shared" si="0"/>
        <v>Container Ship - 12,000 TEU</v>
      </c>
      <c r="D20" s="1">
        <v>1630</v>
      </c>
      <c r="E20" s="1">
        <v>2780</v>
      </c>
      <c r="F20" s="1">
        <v>1000</v>
      </c>
      <c r="G20" s="1">
        <v>1630</v>
      </c>
    </row>
    <row r="21" spans="1:7">
      <c r="A21" t="s">
        <v>208</v>
      </c>
      <c r="B21" t="s">
        <v>215</v>
      </c>
      <c r="C21" t="str">
        <f t="shared" si="0"/>
        <v>Container Ship - 14,500 TEU</v>
      </c>
      <c r="D21" s="1">
        <v>1960</v>
      </c>
      <c r="E21" s="1">
        <v>3330</v>
      </c>
      <c r="F21" s="1">
        <v>1200</v>
      </c>
      <c r="G21" s="1">
        <v>1960</v>
      </c>
    </row>
    <row r="22" spans="1:7">
      <c r="A22" t="s">
        <v>208</v>
      </c>
      <c r="B22" t="s">
        <v>216</v>
      </c>
      <c r="C22" t="str">
        <f t="shared" si="0"/>
        <v>Container Ship - Largest</v>
      </c>
      <c r="D22" s="1">
        <v>2160</v>
      </c>
      <c r="E22" s="1">
        <v>3670</v>
      </c>
      <c r="F22" s="1">
        <v>1320</v>
      </c>
      <c r="G22" s="1">
        <v>2160</v>
      </c>
    </row>
    <row r="23" spans="1:7">
      <c r="A23" t="s">
        <v>217</v>
      </c>
      <c r="B23" t="s">
        <v>218</v>
      </c>
      <c r="C23" t="str">
        <f t="shared" si="0"/>
        <v>Cruise - 2,000 Ton</v>
      </c>
      <c r="D23" s="1">
        <v>450</v>
      </c>
      <c r="E23" s="1">
        <v>580</v>
      </c>
      <c r="F23" s="1">
        <v>450</v>
      </c>
      <c r="G23" s="1">
        <v>450</v>
      </c>
    </row>
    <row r="24" spans="1:7">
      <c r="A24" t="s">
        <v>217</v>
      </c>
      <c r="B24" t="s">
        <v>219</v>
      </c>
      <c r="C24" t="str">
        <f t="shared" si="0"/>
        <v>Cruise - 10,000 Ton</v>
      </c>
      <c r="D24" s="1">
        <v>450</v>
      </c>
      <c r="E24" s="1">
        <v>580</v>
      </c>
      <c r="F24" s="1">
        <v>450</v>
      </c>
      <c r="G24" s="1">
        <v>450</v>
      </c>
    </row>
    <row r="25" spans="1:7">
      <c r="A25" t="s">
        <v>217</v>
      </c>
      <c r="B25" t="s">
        <v>220</v>
      </c>
      <c r="C25" t="str">
        <f t="shared" si="0"/>
        <v>Cruise - 60,000 Ton</v>
      </c>
      <c r="D25" s="1">
        <v>3500</v>
      </c>
      <c r="E25" s="1">
        <v>5460</v>
      </c>
      <c r="F25" s="1">
        <v>3500</v>
      </c>
      <c r="G25" s="1">
        <v>3500</v>
      </c>
    </row>
    <row r="26" spans="1:7">
      <c r="A26" t="s">
        <v>217</v>
      </c>
      <c r="B26" t="s">
        <v>221</v>
      </c>
      <c r="C26" t="str">
        <f t="shared" si="0"/>
        <v>Cruise - 100,000 Ton</v>
      </c>
      <c r="D26" s="1">
        <v>11480</v>
      </c>
      <c r="E26" s="1">
        <v>14900</v>
      </c>
      <c r="F26" s="1">
        <v>11480</v>
      </c>
      <c r="G26" s="1">
        <v>11480</v>
      </c>
    </row>
    <row r="27" spans="1:7">
      <c r="A27" t="s">
        <v>217</v>
      </c>
      <c r="B27" t="s">
        <v>216</v>
      </c>
      <c r="C27" t="str">
        <f t="shared" si="0"/>
        <v>Cruise - Largest</v>
      </c>
      <c r="D27" s="1">
        <v>11480</v>
      </c>
      <c r="E27" s="1">
        <v>14900</v>
      </c>
      <c r="F27" s="1">
        <v>11480</v>
      </c>
      <c r="G27" s="1">
        <v>11480</v>
      </c>
    </row>
    <row r="28" spans="1:7">
      <c r="A28" t="s">
        <v>222</v>
      </c>
      <c r="B28" t="s">
        <v>218</v>
      </c>
      <c r="C28" t="str">
        <f t="shared" si="0"/>
        <v>Ferry/Passenger (C3) - 2,000 Ton</v>
      </c>
      <c r="D28" s="1">
        <v>186</v>
      </c>
      <c r="E28" s="1">
        <v>186</v>
      </c>
      <c r="F28" s="1">
        <v>186</v>
      </c>
      <c r="G28" s="1">
        <v>186</v>
      </c>
    </row>
    <row r="29" spans="1:7">
      <c r="A29" t="s">
        <v>222</v>
      </c>
      <c r="B29" t="s">
        <v>216</v>
      </c>
      <c r="C29" t="str">
        <f t="shared" si="0"/>
        <v>Ferry/Passenger (C3) - Largest</v>
      </c>
      <c r="D29" s="1">
        <v>524</v>
      </c>
      <c r="E29" s="1">
        <v>524</v>
      </c>
      <c r="F29" s="1">
        <v>524</v>
      </c>
      <c r="G29" s="1">
        <v>524</v>
      </c>
    </row>
    <row r="30" spans="1:7">
      <c r="A30" t="s">
        <v>223</v>
      </c>
      <c r="B30" t="s">
        <v>218</v>
      </c>
      <c r="C30" t="str">
        <f t="shared" si="0"/>
        <v>Ferry/Roll-on/Passenger (C3) - 2,000 Ton</v>
      </c>
      <c r="D30" s="1">
        <v>105</v>
      </c>
      <c r="E30" s="1">
        <v>105</v>
      </c>
      <c r="F30" s="1">
        <v>105</v>
      </c>
      <c r="G30" s="1">
        <v>105</v>
      </c>
    </row>
    <row r="31" spans="1:7">
      <c r="A31" t="s">
        <v>223</v>
      </c>
      <c r="B31" t="s">
        <v>216</v>
      </c>
      <c r="C31" t="str">
        <f t="shared" si="0"/>
        <v>Ferry/Roll-on/Passenger (C3) - Largest</v>
      </c>
      <c r="D31" s="1">
        <v>710</v>
      </c>
      <c r="E31" s="1">
        <v>710</v>
      </c>
      <c r="F31" s="1">
        <v>710</v>
      </c>
      <c r="G31" s="1">
        <v>710</v>
      </c>
    </row>
    <row r="32" spans="1:7">
      <c r="A32" t="s">
        <v>224</v>
      </c>
      <c r="B32" t="s">
        <v>225</v>
      </c>
      <c r="C32" t="str">
        <f t="shared" si="0"/>
        <v>Fishing (C3) - All C3 Fishing</v>
      </c>
      <c r="D32" s="1">
        <v>200</v>
      </c>
      <c r="E32" s="1">
        <v>200</v>
      </c>
      <c r="F32" s="1">
        <v>200</v>
      </c>
      <c r="G32" s="1">
        <v>200</v>
      </c>
    </row>
    <row r="33" spans="1:7">
      <c r="A33" t="s">
        <v>226</v>
      </c>
      <c r="B33" t="s">
        <v>227</v>
      </c>
      <c r="C33" t="str">
        <f t="shared" si="0"/>
        <v>General Cargo - 5,000 DWT</v>
      </c>
      <c r="D33" s="1">
        <v>60</v>
      </c>
      <c r="E33" s="1">
        <v>90</v>
      </c>
      <c r="F33" s="1">
        <v>120</v>
      </c>
      <c r="G33" s="1">
        <v>60</v>
      </c>
    </row>
    <row r="34" spans="1:7">
      <c r="A34" t="s">
        <v>226</v>
      </c>
      <c r="B34" t="s">
        <v>228</v>
      </c>
      <c r="C34" t="str">
        <f t="shared" si="0"/>
        <v>General Cargo - 10,000 DWT</v>
      </c>
      <c r="D34" s="1">
        <v>170</v>
      </c>
      <c r="E34" s="1">
        <v>250</v>
      </c>
      <c r="F34" s="1">
        <v>330</v>
      </c>
      <c r="G34" s="1">
        <v>170</v>
      </c>
    </row>
    <row r="35" spans="1:7">
      <c r="A35" t="s">
        <v>226</v>
      </c>
      <c r="B35" t="s">
        <v>216</v>
      </c>
      <c r="C35" t="str">
        <f t="shared" si="0"/>
        <v>General Cargo - Largest</v>
      </c>
      <c r="D35" s="1">
        <v>490</v>
      </c>
      <c r="E35" s="1">
        <v>730</v>
      </c>
      <c r="F35" s="1">
        <v>970</v>
      </c>
      <c r="G35" s="1">
        <v>490</v>
      </c>
    </row>
    <row r="36" spans="1:7">
      <c r="A36" t="s">
        <v>229</v>
      </c>
      <c r="B36" t="s">
        <v>230</v>
      </c>
      <c r="C36" t="str">
        <f t="shared" si="0"/>
        <v>Liquified Gas Tanker - 50,000 DWT</v>
      </c>
      <c r="D36" s="1">
        <v>240</v>
      </c>
      <c r="E36" s="1">
        <v>360</v>
      </c>
      <c r="F36" s="1">
        <v>240</v>
      </c>
      <c r="G36" s="1">
        <v>240</v>
      </c>
    </row>
    <row r="37" spans="1:7">
      <c r="A37" t="s">
        <v>229</v>
      </c>
      <c r="B37" t="s">
        <v>231</v>
      </c>
      <c r="C37" t="str">
        <f t="shared" si="0"/>
        <v>Liquified Gas Tanker - 100,000 DWT</v>
      </c>
      <c r="D37" s="1">
        <v>240</v>
      </c>
      <c r="E37" s="1">
        <v>360</v>
      </c>
      <c r="F37" s="1">
        <v>240</v>
      </c>
      <c r="G37" s="1">
        <v>240</v>
      </c>
    </row>
    <row r="38" spans="1:7">
      <c r="A38" t="s">
        <v>229</v>
      </c>
      <c r="B38" t="s">
        <v>232</v>
      </c>
      <c r="C38" t="str">
        <f t="shared" si="0"/>
        <v>Liquified Gas Tanker - 200,000 DWT</v>
      </c>
      <c r="D38" s="1">
        <v>1710</v>
      </c>
      <c r="E38" s="1">
        <v>2565</v>
      </c>
      <c r="F38" s="1">
        <v>1710</v>
      </c>
      <c r="G38" s="1">
        <v>1710</v>
      </c>
    </row>
    <row r="39" spans="1:7">
      <c r="A39" t="s">
        <v>229</v>
      </c>
      <c r="B39" t="s">
        <v>216</v>
      </c>
      <c r="C39" t="str">
        <f t="shared" si="0"/>
        <v>Liquified Gas Tanker - Largest</v>
      </c>
      <c r="D39" s="1">
        <v>1710</v>
      </c>
      <c r="E39" s="1">
        <v>2565</v>
      </c>
      <c r="F39" s="1">
        <v>1710</v>
      </c>
      <c r="G39" s="1">
        <v>1710</v>
      </c>
    </row>
    <row r="40" spans="1:7">
      <c r="A40" t="s">
        <v>233</v>
      </c>
      <c r="B40" t="s">
        <v>234</v>
      </c>
      <c r="C40" t="str">
        <f t="shared" si="0"/>
        <v>Miscellaneous (C3) - All C3 Misc.</v>
      </c>
      <c r="D40" s="1">
        <v>190</v>
      </c>
      <c r="E40" s="1">
        <v>190</v>
      </c>
      <c r="F40" s="1">
        <v>190</v>
      </c>
      <c r="G40" s="1">
        <v>190</v>
      </c>
    </row>
    <row r="41" spans="1:7">
      <c r="A41" t="s">
        <v>235</v>
      </c>
      <c r="B41" t="s">
        <v>236</v>
      </c>
      <c r="C41" t="str">
        <f t="shared" si="0"/>
        <v>Offshore Support/Drillship - All Offshore Support/Drillship</v>
      </c>
      <c r="D41" s="1">
        <v>320</v>
      </c>
      <c r="E41" s="1">
        <v>320</v>
      </c>
      <c r="F41" s="1">
        <v>320</v>
      </c>
      <c r="G41" s="1">
        <v>320</v>
      </c>
    </row>
    <row r="42" spans="1:7">
      <c r="A42" t="s">
        <v>237</v>
      </c>
      <c r="B42" t="s">
        <v>207</v>
      </c>
      <c r="C42" t="str">
        <f t="shared" si="0"/>
        <v>Oil Tanker - Smallest</v>
      </c>
      <c r="D42" s="1">
        <v>250</v>
      </c>
      <c r="E42" s="1">
        <v>375</v>
      </c>
      <c r="F42" s="1">
        <v>250</v>
      </c>
      <c r="G42" s="1">
        <v>250</v>
      </c>
    </row>
    <row r="43" spans="1:7">
      <c r="A43" t="s">
        <v>237</v>
      </c>
      <c r="B43" t="s">
        <v>200</v>
      </c>
      <c r="C43" t="str">
        <f t="shared" si="0"/>
        <v>Oil Tanker - Small</v>
      </c>
      <c r="D43" s="1">
        <v>375</v>
      </c>
      <c r="E43" s="1">
        <v>563</v>
      </c>
      <c r="F43" s="1">
        <v>375</v>
      </c>
      <c r="G43" s="1">
        <v>375</v>
      </c>
    </row>
    <row r="44" spans="1:7">
      <c r="A44" t="s">
        <v>237</v>
      </c>
      <c r="B44" t="s">
        <v>201</v>
      </c>
      <c r="C44" t="str">
        <f t="shared" si="0"/>
        <v>Oil Tanker - Handysize</v>
      </c>
      <c r="D44" s="1">
        <v>625</v>
      </c>
      <c r="E44" s="1">
        <v>938</v>
      </c>
      <c r="F44" s="1">
        <v>625</v>
      </c>
      <c r="G44" s="1">
        <v>625</v>
      </c>
    </row>
    <row r="45" spans="1:7">
      <c r="A45" t="s">
        <v>237</v>
      </c>
      <c r="B45" t="s">
        <v>202</v>
      </c>
      <c r="C45" t="str">
        <f t="shared" si="0"/>
        <v>Oil Tanker - Handymax</v>
      </c>
      <c r="D45" s="1">
        <v>750</v>
      </c>
      <c r="E45" s="1">
        <v>1125</v>
      </c>
      <c r="F45" s="1">
        <v>750</v>
      </c>
      <c r="G45" s="1">
        <v>750</v>
      </c>
    </row>
    <row r="46" spans="1:7">
      <c r="A46" t="s">
        <v>237</v>
      </c>
      <c r="B46" t="s">
        <v>203</v>
      </c>
      <c r="C46" t="str">
        <f t="shared" si="0"/>
        <v>Oil Tanker - Panamax</v>
      </c>
      <c r="D46" s="1">
        <v>750</v>
      </c>
      <c r="E46" s="1">
        <v>1125</v>
      </c>
      <c r="F46" s="1">
        <v>750</v>
      </c>
      <c r="G46" s="1">
        <v>750</v>
      </c>
    </row>
    <row r="47" spans="1:7">
      <c r="A47" t="s">
        <v>237</v>
      </c>
      <c r="B47" t="s">
        <v>238</v>
      </c>
      <c r="C47" t="str">
        <f t="shared" si="0"/>
        <v>Oil Tanker - Aframax</v>
      </c>
      <c r="D47" s="1">
        <v>1000</v>
      </c>
      <c r="E47" s="1">
        <v>1500</v>
      </c>
      <c r="F47" s="1">
        <v>1000</v>
      </c>
      <c r="G47" s="1">
        <v>1000</v>
      </c>
    </row>
    <row r="48" spans="1:7">
      <c r="A48" t="s">
        <v>237</v>
      </c>
      <c r="B48" t="s">
        <v>239</v>
      </c>
      <c r="C48" t="str">
        <f t="shared" si="0"/>
        <v>Oil Tanker - Suezmax</v>
      </c>
      <c r="D48" s="1">
        <v>1250</v>
      </c>
      <c r="E48" s="1">
        <v>1875</v>
      </c>
      <c r="F48" s="1">
        <v>1250</v>
      </c>
      <c r="G48" s="1">
        <v>1250</v>
      </c>
    </row>
    <row r="49" spans="1:7">
      <c r="A49" t="s">
        <v>237</v>
      </c>
      <c r="B49" t="s">
        <v>240</v>
      </c>
      <c r="C49" t="str">
        <f t="shared" si="0"/>
        <v>Oil Tanker - VLCC</v>
      </c>
      <c r="D49" s="1">
        <v>1500</v>
      </c>
      <c r="E49" s="1">
        <v>2250</v>
      </c>
      <c r="F49" s="1">
        <v>1500</v>
      </c>
      <c r="G49" s="1">
        <v>1500</v>
      </c>
    </row>
    <row r="50" spans="1:7">
      <c r="A50" t="s">
        <v>241</v>
      </c>
      <c r="B50" t="s">
        <v>242</v>
      </c>
      <c r="C50" t="str">
        <f t="shared" si="0"/>
        <v>Other Service - All Other Service</v>
      </c>
      <c r="D50" s="1">
        <v>220</v>
      </c>
      <c r="E50" s="1">
        <v>220</v>
      </c>
      <c r="F50" s="1">
        <v>220</v>
      </c>
      <c r="G50" s="1">
        <v>220</v>
      </c>
    </row>
    <row r="51" spans="1:7">
      <c r="A51" t="s">
        <v>243</v>
      </c>
      <c r="B51" t="s">
        <v>244</v>
      </c>
      <c r="C51" t="str">
        <f t="shared" si="0"/>
        <v>Other Tanker - All Other Tanker</v>
      </c>
      <c r="D51" s="1">
        <v>500</v>
      </c>
      <c r="E51" s="1">
        <v>750</v>
      </c>
      <c r="F51" s="1">
        <v>500</v>
      </c>
      <c r="G51" s="1">
        <v>500</v>
      </c>
    </row>
    <row r="52" spans="1:7">
      <c r="A52" t="s">
        <v>245</v>
      </c>
      <c r="B52" t="s">
        <v>246</v>
      </c>
      <c r="C52" t="str">
        <f t="shared" si="0"/>
        <v>Reefer - All Reefer</v>
      </c>
      <c r="D52" s="1">
        <v>1170</v>
      </c>
      <c r="E52" s="1">
        <v>1150</v>
      </c>
      <c r="F52" s="1">
        <v>1080</v>
      </c>
      <c r="G52" s="1">
        <v>1170</v>
      </c>
    </row>
    <row r="53" spans="1:7">
      <c r="A53" t="s">
        <v>247</v>
      </c>
      <c r="B53" t="s">
        <v>248</v>
      </c>
      <c r="C53" t="str">
        <f t="shared" si="0"/>
        <v>RORO - 5,000 Ton</v>
      </c>
      <c r="D53" s="1">
        <v>600</v>
      </c>
      <c r="E53" s="1">
        <v>1700</v>
      </c>
      <c r="F53" s="1">
        <v>800</v>
      </c>
      <c r="G53" s="1">
        <v>600</v>
      </c>
    </row>
    <row r="54" spans="1:7">
      <c r="A54" t="s">
        <v>247</v>
      </c>
      <c r="B54" t="s">
        <v>216</v>
      </c>
      <c r="C54" t="str">
        <f t="shared" si="0"/>
        <v>RORO - Largest</v>
      </c>
      <c r="D54" s="1">
        <v>950</v>
      </c>
      <c r="E54" s="1">
        <v>2720</v>
      </c>
      <c r="F54" s="1">
        <v>1200</v>
      </c>
      <c r="G54" s="1">
        <v>950</v>
      </c>
    </row>
    <row r="55" spans="1:7">
      <c r="A55" t="s">
        <v>249</v>
      </c>
      <c r="B55" t="s">
        <v>250</v>
      </c>
      <c r="C55" t="str">
        <f t="shared" si="0"/>
        <v>Vehicle Carrier - 4,000 Vehicles</v>
      </c>
      <c r="D55" s="1">
        <v>500</v>
      </c>
      <c r="E55" s="1">
        <v>1125</v>
      </c>
      <c r="F55" s="1">
        <v>800</v>
      </c>
      <c r="G55" s="1">
        <v>500</v>
      </c>
    </row>
    <row r="56" spans="1:7">
      <c r="A56" t="s">
        <v>249</v>
      </c>
      <c r="B56" t="s">
        <v>216</v>
      </c>
      <c r="C56" t="str">
        <f t="shared" si="0"/>
        <v>Vehicle Carrier - Largest</v>
      </c>
      <c r="D56" s="1">
        <v>500</v>
      </c>
      <c r="E56" s="1">
        <v>1125</v>
      </c>
      <c r="F56" s="1">
        <v>800</v>
      </c>
      <c r="G56" s="1">
        <v>500</v>
      </c>
    </row>
    <row r="57" spans="1:7">
      <c r="A57" t="s">
        <v>251</v>
      </c>
      <c r="B57" t="s">
        <v>252</v>
      </c>
      <c r="C57" t="str">
        <f t="shared" si="0"/>
        <v>Yacht - C2/C3 Yacht</v>
      </c>
      <c r="D57" s="1">
        <v>130</v>
      </c>
      <c r="E57" s="1">
        <v>130</v>
      </c>
      <c r="F57" s="1">
        <v>130</v>
      </c>
      <c r="G57" s="1">
        <v>130</v>
      </c>
    </row>
    <row r="58" spans="1:7" ht="16.2" customHeight="1">
      <c r="A58" s="30" t="s">
        <v>253</v>
      </c>
      <c r="B58" s="30" t="s">
        <v>253</v>
      </c>
      <c r="C58" s="30" t="str">
        <f t="shared" ref="C58:C67" si="1">A58</f>
        <v>USER VESSEL 1</v>
      </c>
      <c r="D58" s="58"/>
      <c r="E58" s="58"/>
      <c r="F58" s="58"/>
      <c r="G58" s="58"/>
    </row>
    <row r="59" spans="1:7">
      <c r="A59" s="30" t="s">
        <v>254</v>
      </c>
      <c r="B59" s="30" t="s">
        <v>254</v>
      </c>
      <c r="C59" s="30" t="str">
        <f t="shared" si="1"/>
        <v>USER VESSEL 2</v>
      </c>
      <c r="D59" s="58"/>
      <c r="E59" s="58"/>
      <c r="F59" s="58"/>
      <c r="G59" s="58"/>
    </row>
    <row r="60" spans="1:7">
      <c r="A60" s="30" t="s">
        <v>255</v>
      </c>
      <c r="B60" s="30" t="s">
        <v>255</v>
      </c>
      <c r="C60" s="30" t="str">
        <f t="shared" si="1"/>
        <v>USER VESSEL 3</v>
      </c>
      <c r="D60" s="58"/>
      <c r="E60" s="58"/>
      <c r="F60" s="58"/>
      <c r="G60" s="58"/>
    </row>
    <row r="61" spans="1:7">
      <c r="A61" s="30" t="s">
        <v>256</v>
      </c>
      <c r="B61" s="30" t="s">
        <v>256</v>
      </c>
      <c r="C61" s="30" t="str">
        <f t="shared" si="1"/>
        <v>USER VESSEL 4</v>
      </c>
      <c r="D61" s="58"/>
      <c r="E61" s="58"/>
      <c r="F61" s="58"/>
      <c r="G61" s="58"/>
    </row>
    <row r="62" spans="1:7">
      <c r="A62" s="30" t="s">
        <v>257</v>
      </c>
      <c r="B62" s="30" t="s">
        <v>257</v>
      </c>
      <c r="C62" s="30" t="str">
        <f t="shared" si="1"/>
        <v>USER VESSEL 5</v>
      </c>
      <c r="D62" s="58"/>
      <c r="E62" s="58"/>
      <c r="F62" s="58"/>
      <c r="G62" s="58"/>
    </row>
    <row r="63" spans="1:7">
      <c r="A63" s="30" t="s">
        <v>258</v>
      </c>
      <c r="B63" s="30" t="s">
        <v>258</v>
      </c>
      <c r="C63" s="30" t="str">
        <f t="shared" si="1"/>
        <v>USER VESSEL 6</v>
      </c>
      <c r="D63" s="58"/>
      <c r="E63" s="58"/>
      <c r="F63" s="58"/>
      <c r="G63" s="58"/>
    </row>
    <row r="64" spans="1:7">
      <c r="A64" s="30" t="s">
        <v>259</v>
      </c>
      <c r="B64" s="30" t="s">
        <v>259</v>
      </c>
      <c r="C64" s="30" t="str">
        <f t="shared" si="1"/>
        <v>USER VESSEL 7</v>
      </c>
      <c r="D64" s="58"/>
      <c r="E64" s="58"/>
      <c r="F64" s="58"/>
      <c r="G64" s="58"/>
    </row>
    <row r="65" spans="1:7">
      <c r="A65" s="30" t="s">
        <v>260</v>
      </c>
      <c r="B65" s="30" t="s">
        <v>260</v>
      </c>
      <c r="C65" s="30" t="str">
        <f t="shared" si="1"/>
        <v>USER VESSEL 8</v>
      </c>
      <c r="D65" s="58"/>
      <c r="E65" s="58"/>
      <c r="F65" s="58"/>
      <c r="G65" s="58"/>
    </row>
    <row r="66" spans="1:7">
      <c r="A66" s="30" t="s">
        <v>261</v>
      </c>
      <c r="B66" s="30" t="s">
        <v>261</v>
      </c>
      <c r="C66" s="30" t="str">
        <f t="shared" si="1"/>
        <v>USER VESSEL 9</v>
      </c>
      <c r="D66" s="58"/>
      <c r="E66" s="58"/>
      <c r="F66" s="58"/>
      <c r="G66" s="58"/>
    </row>
    <row r="67" spans="1:7">
      <c r="A67" s="30" t="s">
        <v>262</v>
      </c>
      <c r="B67" s="30" t="s">
        <v>262</v>
      </c>
      <c r="C67" s="30" t="str">
        <f t="shared" si="1"/>
        <v>USER VESSEL 10</v>
      </c>
      <c r="D67" s="58"/>
      <c r="E67" s="58"/>
      <c r="F67" s="58"/>
      <c r="G67" s="58"/>
    </row>
  </sheetData>
  <phoneticPr fontId="15" type="noConversion"/>
  <dataValidations count="1">
    <dataValidation allowBlank="1" showInputMessage="1" showErrorMessage="1" promptTitle="User Defined" prompt="User Defined" sqref="D58:G67" xr:uid="{B48D9BCB-F8C8-43AC-A9B8-C5CA273E8175}"/>
  </dataValidations>
  <pageMargins left="0.75" right="0.75" top="1" bottom="1" header="0.5" footer="0.5"/>
  <pageSetup scale="71" fitToHeight="0" orientation="landscape" r:id="rId1"/>
  <headerFooter differentFirst="1">
    <oddFooter>&amp;LShore Power Emissions Calculator, Version 2022a
&amp;A&amp;RPage &amp;P of &amp;N</oddFooter>
    <firstFooter>&amp;RPage &amp;P of &amp;N</first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645E7-109A-2343-A2B3-3C7EABF77416}">
  <sheetPr>
    <tabColor theme="8" tint="0.39997558519241921"/>
    <pageSetUpPr fitToPage="1"/>
  </sheetPr>
  <dimension ref="A1:B7"/>
  <sheetViews>
    <sheetView workbookViewId="0">
      <selection activeCell="B10" sqref="B10"/>
    </sheetView>
  </sheetViews>
  <sheetFormatPr defaultColWidth="11.19921875" defaultRowHeight="15.6"/>
  <cols>
    <col min="1" max="1" width="18.19921875" style="13" customWidth="1"/>
    <col min="2" max="2" width="17" style="13" customWidth="1"/>
    <col min="3" max="16384" width="11.19921875" style="13"/>
  </cols>
  <sheetData>
    <row r="1" spans="1:2">
      <c r="A1" s="34" t="s">
        <v>263</v>
      </c>
    </row>
    <row r="2" spans="1:2">
      <c r="A2" s="13" t="s">
        <v>357</v>
      </c>
    </row>
    <row r="3" spans="1:2" ht="19.05" customHeight="1" thickBot="1">
      <c r="A3" s="43" t="s">
        <v>13</v>
      </c>
      <c r="B3" s="44" t="s">
        <v>362</v>
      </c>
    </row>
    <row r="4" spans="1:2" ht="19.05" customHeight="1">
      <c r="A4" s="45" t="s">
        <v>15</v>
      </c>
      <c r="B4" s="46" t="s">
        <v>16</v>
      </c>
    </row>
    <row r="5" spans="1:2" ht="19.05" customHeight="1">
      <c r="A5" s="45" t="s">
        <v>17</v>
      </c>
      <c r="B5" s="46" t="s">
        <v>18</v>
      </c>
    </row>
    <row r="6" spans="1:2" ht="19.05" customHeight="1">
      <c r="A6" s="45" t="s">
        <v>363</v>
      </c>
      <c r="B6" s="46" t="s">
        <v>20</v>
      </c>
    </row>
    <row r="7" spans="1:2" ht="19.05" customHeight="1">
      <c r="A7" s="45" t="s">
        <v>21</v>
      </c>
      <c r="B7" s="46" t="s">
        <v>22</v>
      </c>
    </row>
  </sheetData>
  <pageMargins left="0.7" right="0.7" top="0.75" bottom="0.75" header="0.3" footer="0.3"/>
  <pageSetup fitToHeight="0" orientation="landscape" r:id="rId1"/>
  <headerFooter differentFirst="1">
    <oddFooter>&amp;LShore Power Emissions Calculator, Version 2022a
&amp;A&amp;RPage &amp;P of &amp;N</oddFooter>
    <firstFooter>&amp;RPage &amp;P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96E5-2F5C-224E-BB86-174DA81D732F}">
  <sheetPr>
    <pageSetUpPr fitToPage="1"/>
  </sheetPr>
  <dimension ref="A1:AB44"/>
  <sheetViews>
    <sheetView workbookViewId="0">
      <selection activeCell="P29" sqref="P29"/>
    </sheetView>
  </sheetViews>
  <sheetFormatPr defaultColWidth="11.19921875" defaultRowHeight="15.6"/>
  <cols>
    <col min="1" max="1" width="11.19921875" style="13"/>
    <col min="2" max="2" width="14" style="13" bestFit="1" customWidth="1"/>
    <col min="3" max="3" width="22.296875" style="13" customWidth="1"/>
    <col min="4" max="5" width="11.19921875" style="13"/>
    <col min="6" max="6" width="12" style="13" bestFit="1" customWidth="1"/>
    <col min="7" max="12" width="11.19921875" style="13"/>
    <col min="13" max="13" width="45.796875" style="13" bestFit="1" customWidth="1"/>
    <col min="14" max="14" width="18.69921875" style="13" bestFit="1" customWidth="1"/>
    <col min="15" max="16384" width="11.19921875" style="13"/>
  </cols>
  <sheetData>
    <row r="1" spans="1:28">
      <c r="A1" s="13" t="s">
        <v>351</v>
      </c>
    </row>
    <row r="2" spans="1:28">
      <c r="A2" s="13" t="s">
        <v>358</v>
      </c>
    </row>
    <row r="3" spans="1:28">
      <c r="A3" s="13" t="s">
        <v>359</v>
      </c>
    </row>
    <row r="4" spans="1:28">
      <c r="A4" s="13" t="s">
        <v>264</v>
      </c>
    </row>
    <row r="5" spans="1:28" ht="16.95" customHeight="1"/>
    <row r="6" spans="1:28">
      <c r="A6" s="13" t="s">
        <v>265</v>
      </c>
    </row>
    <row r="7" spans="1:28">
      <c r="B7" s="13" t="s">
        <v>159</v>
      </c>
      <c r="C7" s="37" t="s">
        <v>344</v>
      </c>
      <c r="D7" s="51" t="s">
        <v>160</v>
      </c>
      <c r="E7" s="51" t="s">
        <v>161</v>
      </c>
      <c r="F7" s="51" t="s">
        <v>162</v>
      </c>
      <c r="G7" s="51" t="s">
        <v>163</v>
      </c>
      <c r="H7" s="51" t="s">
        <v>164</v>
      </c>
      <c r="I7" s="51" t="s">
        <v>165</v>
      </c>
      <c r="M7" s="13" t="s">
        <v>266</v>
      </c>
    </row>
    <row r="8" spans="1:28" ht="16.2" thickBot="1">
      <c r="B8" s="13" t="s">
        <v>267</v>
      </c>
      <c r="C8" s="38" t="s">
        <v>168</v>
      </c>
      <c r="D8" s="52"/>
      <c r="E8" s="52" t="s">
        <v>268</v>
      </c>
      <c r="F8" s="52"/>
      <c r="G8" s="52" t="s">
        <v>269</v>
      </c>
      <c r="H8" s="52"/>
      <c r="I8" s="52"/>
      <c r="M8" s="13" t="s">
        <v>270</v>
      </c>
      <c r="N8" s="13" t="s">
        <v>271</v>
      </c>
      <c r="O8" s="13" t="s">
        <v>272</v>
      </c>
      <c r="P8" s="13" t="s">
        <v>273</v>
      </c>
    </row>
    <row r="9" spans="1:28" ht="16.95" customHeight="1" thickBot="1">
      <c r="A9" s="49" t="s">
        <v>171</v>
      </c>
      <c r="B9" s="49" t="s">
        <v>172</v>
      </c>
      <c r="C9" s="49" t="s">
        <v>14</v>
      </c>
      <c r="D9" s="53" t="s">
        <v>100</v>
      </c>
      <c r="E9" s="53" t="s">
        <v>86</v>
      </c>
      <c r="F9" s="53" t="s">
        <v>88</v>
      </c>
      <c r="G9" s="53" t="s">
        <v>101</v>
      </c>
      <c r="H9" s="53" t="s">
        <v>87</v>
      </c>
      <c r="I9" s="53" t="s">
        <v>102</v>
      </c>
      <c r="J9" s="53" t="s">
        <v>89</v>
      </c>
      <c r="M9" s="13" t="s">
        <v>274</v>
      </c>
      <c r="N9" s="13" t="s">
        <v>275</v>
      </c>
      <c r="O9" s="98">
        <v>217</v>
      </c>
      <c r="P9" s="13" t="s">
        <v>352</v>
      </c>
    </row>
    <row r="10" spans="1:28">
      <c r="A10" t="s">
        <v>16</v>
      </c>
      <c r="B10" t="s">
        <v>276</v>
      </c>
      <c r="C10" s="117" t="str">
        <f>_xlfn.CONCAT(B10, " - ", A10)</f>
        <v>MGO (0.1% S) - Tier 0</v>
      </c>
      <c r="D10" s="78">
        <v>13.8</v>
      </c>
      <c r="E10" s="120">
        <f>ROUND(($O$9*$O$13*$O$17*$O$18), 3)</f>
        <v>0.42399999999999999</v>
      </c>
      <c r="F10" s="77">
        <f>ROUND($O$9*$O$19,0)</f>
        <v>696</v>
      </c>
      <c r="G10" s="78">
        <f>ROUND(($O$32*$O$22), 2)</f>
        <v>0.01</v>
      </c>
      <c r="H10" s="121">
        <f>ROUND(((ROUND(($O$24+ROUND(($O$13*$O$9*$O$26*$O$27), 2)), 2))*$O$23), 3)</f>
        <v>0.16600000000000001</v>
      </c>
      <c r="I10" s="121">
        <f>ROUND(0.029, 3)</f>
        <v>2.9000000000000001E-2</v>
      </c>
      <c r="J10" s="77">
        <f t="shared" ref="J10:J21" si="0">ROUND((F10+(ROUND((G10*$O$30), 1)) + (ROUND((I10*$O$31), 1))),0)</f>
        <v>705</v>
      </c>
      <c r="M10" s="13" t="s">
        <v>277</v>
      </c>
      <c r="N10" s="13" t="s">
        <v>278</v>
      </c>
      <c r="O10" s="98">
        <v>217</v>
      </c>
      <c r="P10" s="13" t="s">
        <v>352</v>
      </c>
      <c r="W10" s="50"/>
      <c r="X10" s="50"/>
      <c r="Y10" s="50"/>
      <c r="Z10" s="50"/>
      <c r="AA10" s="50"/>
      <c r="AB10" s="50"/>
    </row>
    <row r="11" spans="1:28">
      <c r="A11" t="s">
        <v>18</v>
      </c>
      <c r="B11" t="s">
        <v>276</v>
      </c>
      <c r="C11" s="117" t="str">
        <f t="shared" ref="C11:C22" si="1">_xlfn.CONCAT(B11, " - ", A11)</f>
        <v>MGO (0.1% S) - Tier I</v>
      </c>
      <c r="D11" s="78">
        <v>12.2</v>
      </c>
      <c r="E11" s="120">
        <f t="shared" ref="E11:E13" si="2">ROUND(($O$9*$O$13*$O$17*$O$18), 3)</f>
        <v>0.42399999999999999</v>
      </c>
      <c r="F11" s="77">
        <f t="shared" ref="F11:F17" si="3">ROUND($O$9*$O$19,0)</f>
        <v>696</v>
      </c>
      <c r="G11" s="78">
        <f t="shared" ref="G11:G21" si="4">ROUND(($O$32*$O$22), 2)</f>
        <v>0.01</v>
      </c>
      <c r="H11" s="121">
        <f t="shared" ref="H11:H13" si="5">ROUND(((ROUND(($O$24+ROUND(($O$13*$O$9*$O$26*$O$27), 2)), 2))*$O$23), 3)</f>
        <v>0.16600000000000001</v>
      </c>
      <c r="I11" s="121">
        <f t="shared" ref="I11:I17" si="6">ROUND(0.029, 3)</f>
        <v>2.9000000000000001E-2</v>
      </c>
      <c r="J11" s="77">
        <f t="shared" si="0"/>
        <v>705</v>
      </c>
      <c r="M11" s="13" t="s">
        <v>279</v>
      </c>
      <c r="N11" s="13" t="s">
        <v>280</v>
      </c>
      <c r="O11" s="98">
        <v>227</v>
      </c>
      <c r="P11" s="13" t="s">
        <v>352</v>
      </c>
      <c r="W11" s="50"/>
      <c r="X11" s="50"/>
      <c r="Y11" s="50"/>
      <c r="Z11" s="50"/>
      <c r="AA11" s="50"/>
      <c r="AB11" s="50"/>
    </row>
    <row r="12" spans="1:28">
      <c r="A12" t="s">
        <v>20</v>
      </c>
      <c r="B12" t="s">
        <v>276</v>
      </c>
      <c r="C12" s="117" t="str">
        <f t="shared" si="1"/>
        <v>MGO (0.1% S) - Tier II</v>
      </c>
      <c r="D12" s="78">
        <v>10.5</v>
      </c>
      <c r="E12" s="120">
        <f t="shared" si="2"/>
        <v>0.42399999999999999</v>
      </c>
      <c r="F12" s="77">
        <f t="shared" si="3"/>
        <v>696</v>
      </c>
      <c r="G12" s="78">
        <f t="shared" si="4"/>
        <v>0.01</v>
      </c>
      <c r="H12" s="121">
        <f t="shared" si="5"/>
        <v>0.16600000000000001</v>
      </c>
      <c r="I12" s="121">
        <f t="shared" si="6"/>
        <v>2.9000000000000001E-2</v>
      </c>
      <c r="J12" s="77">
        <f t="shared" si="0"/>
        <v>705</v>
      </c>
      <c r="M12" s="13" t="s">
        <v>281</v>
      </c>
      <c r="N12" s="13" t="s">
        <v>282</v>
      </c>
      <c r="O12" s="98">
        <v>166</v>
      </c>
      <c r="P12" s="13" t="s">
        <v>352</v>
      </c>
      <c r="W12" s="50"/>
      <c r="X12" s="50"/>
      <c r="Y12" s="50"/>
      <c r="Z12" s="50"/>
      <c r="AA12" s="50"/>
      <c r="AB12" s="50"/>
    </row>
    <row r="13" spans="1:28">
      <c r="A13" t="s">
        <v>22</v>
      </c>
      <c r="B13" t="s">
        <v>276</v>
      </c>
      <c r="C13" s="117" t="str">
        <f t="shared" si="1"/>
        <v>MGO (0.1% S) - Tier III</v>
      </c>
      <c r="D13" s="78">
        <v>2.6</v>
      </c>
      <c r="E13" s="120">
        <f t="shared" si="2"/>
        <v>0.42399999999999999</v>
      </c>
      <c r="F13" s="77">
        <f t="shared" si="3"/>
        <v>696</v>
      </c>
      <c r="G13" s="78">
        <f t="shared" si="4"/>
        <v>0.01</v>
      </c>
      <c r="H13" s="121">
        <f t="shared" si="5"/>
        <v>0.16600000000000001</v>
      </c>
      <c r="I13" s="121">
        <f t="shared" si="6"/>
        <v>2.9000000000000001E-2</v>
      </c>
      <c r="J13" s="77">
        <f t="shared" si="0"/>
        <v>705</v>
      </c>
      <c r="M13" s="13" t="s">
        <v>283</v>
      </c>
      <c r="N13" s="13" t="s">
        <v>284</v>
      </c>
      <c r="O13" s="39">
        <v>1E-3</v>
      </c>
      <c r="P13" s="13" t="s">
        <v>353</v>
      </c>
      <c r="W13" s="50"/>
      <c r="X13" s="50"/>
      <c r="Y13" s="50"/>
      <c r="Z13" s="50"/>
      <c r="AA13" s="50"/>
      <c r="AB13" s="50"/>
    </row>
    <row r="14" spans="1:28">
      <c r="A14" t="s">
        <v>16</v>
      </c>
      <c r="B14" t="s">
        <v>285</v>
      </c>
      <c r="C14" s="117" t="str">
        <f t="shared" si="1"/>
        <v>MDO (0.5% S) - Tier 0</v>
      </c>
      <c r="D14" s="78">
        <v>13.8</v>
      </c>
      <c r="E14" s="120">
        <f>ROUND(($O$10*$O$14*$O$17*$O$18),3)</f>
        <v>2.121</v>
      </c>
      <c r="F14" s="77">
        <f t="shared" si="3"/>
        <v>696</v>
      </c>
      <c r="G14" s="78">
        <f t="shared" si="4"/>
        <v>0.01</v>
      </c>
      <c r="H14" s="121">
        <f>ROUND(((ROUND(($O$24+ROUND(($O$14*$O$10*$O$26*$O$27), 2)), 2))*$O$23), 3)</f>
        <v>0.29399999999999998</v>
      </c>
      <c r="I14" s="121">
        <f t="shared" si="6"/>
        <v>2.9000000000000001E-2</v>
      </c>
      <c r="J14" s="77">
        <f t="shared" si="0"/>
        <v>705</v>
      </c>
      <c r="M14" s="13" t="s">
        <v>286</v>
      </c>
      <c r="N14" s="13" t="s">
        <v>287</v>
      </c>
      <c r="O14" s="39">
        <v>5.0000000000000001E-3</v>
      </c>
      <c r="P14" s="13" t="s">
        <v>353</v>
      </c>
      <c r="W14" s="50"/>
      <c r="X14" s="50"/>
      <c r="Y14" s="50"/>
      <c r="Z14" s="50"/>
      <c r="AA14" s="50"/>
      <c r="AB14" s="50"/>
    </row>
    <row r="15" spans="1:28">
      <c r="A15" t="s">
        <v>18</v>
      </c>
      <c r="B15" t="s">
        <v>285</v>
      </c>
      <c r="C15" s="117" t="str">
        <f t="shared" si="1"/>
        <v>MDO (0.5% S) - Tier I</v>
      </c>
      <c r="D15" s="78">
        <v>12.2</v>
      </c>
      <c r="E15" s="120">
        <f t="shared" ref="E15:E17" si="7">ROUND(($O$10*$O$14*$O$17*$O$18),3)</f>
        <v>2.121</v>
      </c>
      <c r="F15" s="77">
        <f t="shared" si="3"/>
        <v>696</v>
      </c>
      <c r="G15" s="78">
        <f>ROUND(($O$32*$O$22), 2)</f>
        <v>0.01</v>
      </c>
      <c r="H15" s="121">
        <f t="shared" ref="H15:H17" si="8">ROUND(((ROUND(($O$24+ROUND(($O$14*$O$10*$O$26*$O$27), 2)), 2))*$O$23), 3)</f>
        <v>0.29399999999999998</v>
      </c>
      <c r="I15" s="121">
        <f t="shared" si="6"/>
        <v>2.9000000000000001E-2</v>
      </c>
      <c r="J15" s="77">
        <f t="shared" si="0"/>
        <v>705</v>
      </c>
      <c r="M15" s="13" t="s">
        <v>288</v>
      </c>
      <c r="N15" s="13" t="s">
        <v>289</v>
      </c>
      <c r="O15" s="39">
        <v>2.7E-2</v>
      </c>
      <c r="P15" s="13" t="s">
        <v>353</v>
      </c>
      <c r="W15" s="50"/>
      <c r="X15" s="50"/>
      <c r="Y15" s="50"/>
      <c r="Z15" s="50"/>
      <c r="AA15" s="50"/>
      <c r="AB15" s="50"/>
    </row>
    <row r="16" spans="1:28">
      <c r="A16" t="s">
        <v>20</v>
      </c>
      <c r="B16" t="s">
        <v>285</v>
      </c>
      <c r="C16" s="117" t="str">
        <f t="shared" si="1"/>
        <v>MDO (0.5% S) - Tier II</v>
      </c>
      <c r="D16" s="78">
        <v>10.5</v>
      </c>
      <c r="E16" s="120">
        <f t="shared" si="7"/>
        <v>2.121</v>
      </c>
      <c r="F16" s="77">
        <f t="shared" si="3"/>
        <v>696</v>
      </c>
      <c r="G16" s="78">
        <f t="shared" si="4"/>
        <v>0.01</v>
      </c>
      <c r="H16" s="121">
        <f t="shared" si="8"/>
        <v>0.29399999999999998</v>
      </c>
      <c r="I16" s="121">
        <f t="shared" si="6"/>
        <v>2.9000000000000001E-2</v>
      </c>
      <c r="J16" s="77">
        <f t="shared" si="0"/>
        <v>705</v>
      </c>
      <c r="M16" s="13" t="s">
        <v>290</v>
      </c>
      <c r="N16" s="13" t="s">
        <v>291</v>
      </c>
      <c r="O16" s="74">
        <v>3.1699999999999998E-5</v>
      </c>
      <c r="P16" s="13" t="s">
        <v>292</v>
      </c>
      <c r="W16" s="50"/>
      <c r="X16" s="50"/>
      <c r="Y16" s="50"/>
      <c r="Z16" s="50"/>
      <c r="AA16" s="50"/>
      <c r="AB16" s="50"/>
    </row>
    <row r="17" spans="1:28">
      <c r="A17" t="s">
        <v>22</v>
      </c>
      <c r="B17" t="s">
        <v>285</v>
      </c>
      <c r="C17" s="117" t="str">
        <f t="shared" si="1"/>
        <v>MDO (0.5% S) - Tier III</v>
      </c>
      <c r="D17" s="78">
        <v>2.6</v>
      </c>
      <c r="E17" s="120">
        <f t="shared" si="7"/>
        <v>2.121</v>
      </c>
      <c r="F17" s="77">
        <f t="shared" si="3"/>
        <v>696</v>
      </c>
      <c r="G17" s="78">
        <f t="shared" si="4"/>
        <v>0.01</v>
      </c>
      <c r="H17" s="121">
        <f t="shared" si="8"/>
        <v>0.29399999999999998</v>
      </c>
      <c r="I17" s="121">
        <f t="shared" si="6"/>
        <v>2.9000000000000001E-2</v>
      </c>
      <c r="J17" s="77">
        <f t="shared" si="0"/>
        <v>705</v>
      </c>
      <c r="M17" s="13" t="s">
        <v>293</v>
      </c>
      <c r="N17" s="13" t="s">
        <v>294</v>
      </c>
      <c r="O17" s="95">
        <v>0.97753000000000001</v>
      </c>
      <c r="P17" s="13" t="s">
        <v>353</v>
      </c>
      <c r="W17" s="50"/>
      <c r="X17" s="50"/>
      <c r="Y17" s="50"/>
      <c r="Z17" s="50"/>
      <c r="AA17" s="50"/>
      <c r="AB17" s="50"/>
    </row>
    <row r="18" spans="1:28">
      <c r="A18" t="s">
        <v>16</v>
      </c>
      <c r="B18" t="s">
        <v>295</v>
      </c>
      <c r="C18" s="117" t="str">
        <f t="shared" si="1"/>
        <v>HFO (2.7% S) - Tier 0</v>
      </c>
      <c r="D18" s="78">
        <v>14.7</v>
      </c>
      <c r="E18" s="120">
        <f>ROUND(($O$11*$O$15*$O$17*$O$18), 3)</f>
        <v>11.983000000000001</v>
      </c>
      <c r="F18" s="77">
        <f>ROUND(($O$11*$O$20),0)</f>
        <v>707</v>
      </c>
      <c r="G18" s="78">
        <f t="shared" si="4"/>
        <v>0.01</v>
      </c>
      <c r="H18" s="121">
        <f>ROUND(((ROUND(($O$25+ROUND(($O$15*$O$11*$O$26*$O$27),3)),3))*$O$23),3)</f>
        <v>1.417</v>
      </c>
      <c r="I18" s="121">
        <f>ROUND(0.031, 3)</f>
        <v>3.1E-2</v>
      </c>
      <c r="J18" s="77">
        <f t="shared" si="0"/>
        <v>717</v>
      </c>
      <c r="M18" s="13" t="s">
        <v>296</v>
      </c>
      <c r="N18" s="13" t="s">
        <v>297</v>
      </c>
      <c r="O18" s="98">
        <f>64/32</f>
        <v>2</v>
      </c>
      <c r="P18" s="13" t="s">
        <v>353</v>
      </c>
      <c r="W18" s="50"/>
      <c r="X18" s="50"/>
      <c r="Y18" s="50"/>
      <c r="Z18" s="50"/>
      <c r="AA18" s="50"/>
      <c r="AB18" s="50"/>
    </row>
    <row r="19" spans="1:28">
      <c r="A19" t="s">
        <v>18</v>
      </c>
      <c r="B19" t="s">
        <v>295</v>
      </c>
      <c r="C19" s="117" t="str">
        <f t="shared" si="1"/>
        <v>HFO (2.7% S) - Tier I</v>
      </c>
      <c r="D19" s="78">
        <v>13</v>
      </c>
      <c r="E19" s="120">
        <f t="shared" ref="E19:E21" si="9">ROUND(($O$11*$O$15*$O$17*$O$18), 3)</f>
        <v>11.983000000000001</v>
      </c>
      <c r="F19" s="77">
        <f t="shared" ref="F19:F21" si="10">ROUND(($O$11*$O$20),0)</f>
        <v>707</v>
      </c>
      <c r="G19" s="78">
        <f t="shared" si="4"/>
        <v>0.01</v>
      </c>
      <c r="H19" s="121">
        <f>ROUND(((ROUND(($O$25+ROUND(($O$15*$O$11*$O$26*$O$27),3)),3))*$O$23),3)</f>
        <v>1.417</v>
      </c>
      <c r="I19" s="121">
        <f t="shared" ref="I19:I21" si="11">ROUND(0.031, 3)</f>
        <v>3.1E-2</v>
      </c>
      <c r="J19" s="77">
        <f t="shared" si="0"/>
        <v>717</v>
      </c>
      <c r="M19" s="13" t="s">
        <v>298</v>
      </c>
      <c r="N19" s="13" t="s">
        <v>299</v>
      </c>
      <c r="O19" s="39">
        <v>3.206</v>
      </c>
      <c r="P19" s="13" t="s">
        <v>354</v>
      </c>
      <c r="W19" s="50"/>
      <c r="X19" s="50"/>
      <c r="Y19" s="50"/>
      <c r="Z19" s="50"/>
      <c r="AA19" s="50"/>
      <c r="AB19" s="50"/>
    </row>
    <row r="20" spans="1:28">
      <c r="A20" t="s">
        <v>20</v>
      </c>
      <c r="B20" t="s">
        <v>295</v>
      </c>
      <c r="C20" s="117" t="str">
        <f t="shared" si="1"/>
        <v>HFO (2.7% S) - Tier II</v>
      </c>
      <c r="D20" s="78">
        <v>11.2</v>
      </c>
      <c r="E20" s="120">
        <f t="shared" si="9"/>
        <v>11.983000000000001</v>
      </c>
      <c r="F20" s="77">
        <f t="shared" si="10"/>
        <v>707</v>
      </c>
      <c r="G20" s="78">
        <f t="shared" si="4"/>
        <v>0.01</v>
      </c>
      <c r="H20" s="121">
        <f>ROUND(((ROUND(($O$25+ROUND(($O$15*$O$11*$O$26*$O$27),3)),3))*$O$23),3)</f>
        <v>1.417</v>
      </c>
      <c r="I20" s="121">
        <f t="shared" si="11"/>
        <v>3.1E-2</v>
      </c>
      <c r="J20" s="77">
        <f t="shared" si="0"/>
        <v>717</v>
      </c>
      <c r="M20" s="13" t="s">
        <v>300</v>
      </c>
      <c r="N20" s="13" t="s">
        <v>301</v>
      </c>
      <c r="O20" s="39">
        <v>3.1139999999999999</v>
      </c>
      <c r="P20" s="13" t="s">
        <v>354</v>
      </c>
      <c r="W20" s="50"/>
      <c r="X20" s="50"/>
      <c r="Y20" s="50"/>
      <c r="Z20" s="50"/>
      <c r="AA20" s="50"/>
      <c r="AB20" s="50"/>
    </row>
    <row r="21" spans="1:28">
      <c r="A21" t="s">
        <v>22</v>
      </c>
      <c r="B21" t="s">
        <v>295</v>
      </c>
      <c r="C21" s="117" t="str">
        <f t="shared" si="1"/>
        <v>HFO (2.7% S) - Tier III</v>
      </c>
      <c r="D21" s="78">
        <v>2.8</v>
      </c>
      <c r="E21" s="120">
        <f t="shared" si="9"/>
        <v>11.983000000000001</v>
      </c>
      <c r="F21" s="77">
        <f t="shared" si="10"/>
        <v>707</v>
      </c>
      <c r="G21" s="78">
        <f t="shared" si="4"/>
        <v>0.01</v>
      </c>
      <c r="H21" s="121">
        <f>ROUND(((ROUND(($O$25+ROUND(($O$15*$O$11*$O$26*$O$27),3)),3))*$O$23),3)</f>
        <v>1.417</v>
      </c>
      <c r="I21" s="121">
        <f t="shared" si="11"/>
        <v>3.1E-2</v>
      </c>
      <c r="J21" s="77">
        <f t="shared" si="0"/>
        <v>717</v>
      </c>
      <c r="M21" s="13" t="s">
        <v>302</v>
      </c>
      <c r="N21" s="13" t="s">
        <v>303</v>
      </c>
      <c r="O21" s="39">
        <v>2.75</v>
      </c>
      <c r="P21" s="13" t="s">
        <v>354</v>
      </c>
      <c r="W21" s="50"/>
      <c r="X21" s="50"/>
      <c r="Y21" s="50"/>
      <c r="Z21" s="50"/>
      <c r="AA21" s="50"/>
      <c r="AB21" s="50"/>
    </row>
    <row r="22" spans="1:28">
      <c r="A22" t="s">
        <v>181</v>
      </c>
      <c r="B22" t="s">
        <v>58</v>
      </c>
      <c r="C22" s="117" t="str">
        <f t="shared" si="1"/>
        <v>LNG - Otto - MS</v>
      </c>
      <c r="D22" s="78">
        <v>1.3</v>
      </c>
      <c r="E22" s="134">
        <f>ROUND(O16*O12,5)</f>
        <v>5.2599999999999999E-3</v>
      </c>
      <c r="F22" s="77">
        <f>ROUND(O12*O21,0)</f>
        <v>457</v>
      </c>
      <c r="G22" s="79">
        <v>5.5</v>
      </c>
      <c r="H22" s="121">
        <f>ROUND(O28*O23,2)</f>
        <v>0.03</v>
      </c>
      <c r="I22" s="121">
        <f t="shared" ref="I22" si="12">ROUND(0.029, 3)</f>
        <v>2.9000000000000001E-2</v>
      </c>
      <c r="J22" s="77">
        <f>ROUND((F22+(ROUND((G22*$O$30), 1)) + (ROUND((I22*$O$31), 1))),0)</f>
        <v>603</v>
      </c>
      <c r="M22" s="13" t="s">
        <v>304</v>
      </c>
      <c r="N22" s="13" t="s">
        <v>48</v>
      </c>
      <c r="O22" s="50">
        <v>0.4</v>
      </c>
      <c r="P22" s="13" t="s">
        <v>355</v>
      </c>
      <c r="W22" s="50"/>
      <c r="X22" s="50"/>
      <c r="Y22" s="50"/>
      <c r="Z22" s="50"/>
      <c r="AA22" s="50"/>
      <c r="AB22" s="50"/>
    </row>
    <row r="23" spans="1:28">
      <c r="M23" s="13" t="s">
        <v>305</v>
      </c>
      <c r="N23" s="13" t="s">
        <v>306</v>
      </c>
      <c r="O23" s="97">
        <v>0.92</v>
      </c>
      <c r="P23" s="13" t="s">
        <v>356</v>
      </c>
    </row>
    <row r="24" spans="1:28">
      <c r="I24" s="73"/>
      <c r="J24"/>
      <c r="M24" s="13" t="s">
        <v>307</v>
      </c>
      <c r="N24" s="13" t="s">
        <v>308</v>
      </c>
      <c r="O24" s="96">
        <v>0.1545</v>
      </c>
      <c r="P24" s="13" t="s">
        <v>356</v>
      </c>
    </row>
    <row r="25" spans="1:28">
      <c r="A25" s="84"/>
      <c r="B25" s="84"/>
      <c r="C25" s="84"/>
      <c r="D25" s="84"/>
      <c r="E25" s="84"/>
      <c r="F25" s="84"/>
      <c r="G25" s="84"/>
      <c r="H25" s="84"/>
      <c r="I25" s="84"/>
      <c r="J25" s="84"/>
      <c r="K25" s="84"/>
      <c r="M25" s="13" t="s">
        <v>309</v>
      </c>
      <c r="N25" s="13" t="s">
        <v>310</v>
      </c>
      <c r="O25" s="96">
        <v>0.57609999999999995</v>
      </c>
      <c r="P25" s="13" t="s">
        <v>356</v>
      </c>
    </row>
    <row r="26" spans="1:28">
      <c r="A26" s="84"/>
      <c r="B26" s="84"/>
      <c r="C26" s="84"/>
      <c r="D26" s="85"/>
      <c r="E26" s="85"/>
      <c r="F26" s="85"/>
      <c r="G26" s="85"/>
      <c r="H26" s="85"/>
      <c r="I26" s="85"/>
      <c r="J26" s="84"/>
      <c r="K26" s="84"/>
      <c r="M26" s="13" t="s">
        <v>311</v>
      </c>
      <c r="N26" s="13" t="s">
        <v>312</v>
      </c>
      <c r="O26" s="96">
        <v>2.247E-2</v>
      </c>
      <c r="P26" s="13" t="s">
        <v>356</v>
      </c>
    </row>
    <row r="27" spans="1:28">
      <c r="A27" s="84"/>
      <c r="B27" s="84"/>
      <c r="C27" s="84"/>
      <c r="D27" s="85"/>
      <c r="E27" s="85"/>
      <c r="F27" s="85"/>
      <c r="G27" s="85"/>
      <c r="H27" s="85"/>
      <c r="I27" s="85"/>
      <c r="J27" s="84"/>
      <c r="K27" s="84"/>
      <c r="M27" s="13" t="s">
        <v>313</v>
      </c>
      <c r="N27" s="13" t="s">
        <v>314</v>
      </c>
      <c r="O27" s="98">
        <f>224/32</f>
        <v>7</v>
      </c>
      <c r="P27" s="13" t="s">
        <v>356</v>
      </c>
    </row>
    <row r="28" spans="1:28">
      <c r="A28" s="86"/>
      <c r="B28" s="86"/>
      <c r="C28" s="86"/>
      <c r="D28" s="87"/>
      <c r="E28" s="87"/>
      <c r="F28" s="87"/>
      <c r="G28" s="87"/>
      <c r="H28" s="87"/>
      <c r="I28" s="87"/>
      <c r="J28" s="87"/>
      <c r="K28" s="84"/>
      <c r="M28" s="13" t="s">
        <v>315</v>
      </c>
      <c r="N28" s="13" t="s">
        <v>316</v>
      </c>
      <c r="O28" s="97">
        <v>0.03</v>
      </c>
      <c r="P28" s="13" t="s">
        <v>356</v>
      </c>
    </row>
    <row r="29" spans="1:28">
      <c r="A29" s="76"/>
      <c r="B29" s="76"/>
      <c r="C29" s="88"/>
      <c r="D29" s="89"/>
      <c r="E29" s="90"/>
      <c r="F29" s="91"/>
      <c r="G29" s="90"/>
      <c r="H29" s="90"/>
      <c r="I29" s="92"/>
      <c r="J29" s="91"/>
      <c r="K29" s="84"/>
      <c r="M29" s="13" t="s">
        <v>317</v>
      </c>
      <c r="N29" s="13" t="s">
        <v>318</v>
      </c>
      <c r="O29" s="98">
        <v>1</v>
      </c>
      <c r="P29" s="13" t="s">
        <v>360</v>
      </c>
    </row>
    <row r="30" spans="1:28">
      <c r="A30" s="76"/>
      <c r="B30" s="76"/>
      <c r="C30" s="88"/>
      <c r="D30" s="89"/>
      <c r="E30" s="90"/>
      <c r="F30" s="91"/>
      <c r="G30" s="90"/>
      <c r="H30" s="90"/>
      <c r="I30" s="92"/>
      <c r="J30" s="91"/>
      <c r="K30" s="84"/>
      <c r="M30" s="13" t="s">
        <v>319</v>
      </c>
      <c r="N30" s="13" t="s">
        <v>320</v>
      </c>
      <c r="O30" s="98">
        <v>25</v>
      </c>
      <c r="P30" s="13" t="s">
        <v>360</v>
      </c>
    </row>
    <row r="31" spans="1:28">
      <c r="A31" s="76"/>
      <c r="B31" s="76"/>
      <c r="C31" s="88"/>
      <c r="D31" s="89"/>
      <c r="E31" s="90"/>
      <c r="F31" s="91"/>
      <c r="G31" s="90"/>
      <c r="H31" s="90"/>
      <c r="I31" s="92"/>
      <c r="J31" s="91"/>
      <c r="K31" s="84"/>
      <c r="M31" s="15" t="s">
        <v>321</v>
      </c>
      <c r="N31" s="15" t="s">
        <v>322</v>
      </c>
      <c r="O31" s="100">
        <v>298</v>
      </c>
      <c r="P31" s="13" t="s">
        <v>360</v>
      </c>
    </row>
    <row r="32" spans="1:28">
      <c r="A32" s="76"/>
      <c r="B32" s="76"/>
      <c r="C32" s="88"/>
      <c r="D32" s="89"/>
      <c r="E32" s="90"/>
      <c r="F32" s="91"/>
      <c r="G32" s="90"/>
      <c r="H32" s="90"/>
      <c r="I32" s="92"/>
      <c r="J32" s="91"/>
      <c r="K32" s="84"/>
      <c r="M32" s="15" t="s">
        <v>323</v>
      </c>
      <c r="N32" s="15" t="s">
        <v>324</v>
      </c>
      <c r="O32" s="99">
        <v>0.02</v>
      </c>
      <c r="P32" s="13" t="s">
        <v>355</v>
      </c>
    </row>
    <row r="33" spans="1:11">
      <c r="A33" s="76"/>
      <c r="B33" s="76"/>
      <c r="C33" s="88"/>
      <c r="D33" s="89"/>
      <c r="E33" s="93"/>
      <c r="F33" s="91"/>
      <c r="G33" s="90"/>
      <c r="H33" s="90"/>
      <c r="I33" s="92"/>
      <c r="J33" s="91"/>
      <c r="K33" s="84"/>
    </row>
    <row r="34" spans="1:11">
      <c r="A34" s="76"/>
      <c r="B34" s="76"/>
      <c r="C34" s="88"/>
      <c r="D34" s="89"/>
      <c r="E34" s="93"/>
      <c r="F34" s="91"/>
      <c r="G34" s="90"/>
      <c r="H34" s="90"/>
      <c r="I34" s="92"/>
      <c r="J34" s="91"/>
      <c r="K34" s="84"/>
    </row>
    <row r="35" spans="1:11">
      <c r="A35" s="76"/>
      <c r="B35" s="76"/>
      <c r="C35" s="88"/>
      <c r="D35" s="89"/>
      <c r="E35" s="93"/>
      <c r="F35" s="91"/>
      <c r="G35" s="90"/>
      <c r="H35" s="90"/>
      <c r="I35" s="92"/>
      <c r="J35" s="91"/>
      <c r="K35" s="84"/>
    </row>
    <row r="36" spans="1:11">
      <c r="A36" s="76"/>
      <c r="B36" s="76"/>
      <c r="C36" s="88"/>
      <c r="D36" s="89"/>
      <c r="E36" s="93"/>
      <c r="F36" s="91"/>
      <c r="G36" s="90"/>
      <c r="H36" s="90"/>
      <c r="I36" s="92"/>
      <c r="J36" s="91"/>
      <c r="K36" s="84"/>
    </row>
    <row r="37" spans="1:11">
      <c r="A37" s="76"/>
      <c r="B37" s="76"/>
      <c r="C37" s="88"/>
      <c r="D37" s="89"/>
      <c r="E37" s="93"/>
      <c r="F37" s="91"/>
      <c r="G37" s="90"/>
      <c r="H37" s="90"/>
      <c r="I37" s="92"/>
      <c r="J37" s="91"/>
      <c r="K37" s="84"/>
    </row>
    <row r="38" spans="1:11">
      <c r="A38" s="76"/>
      <c r="B38" s="76"/>
      <c r="C38" s="88"/>
      <c r="D38" s="89"/>
      <c r="E38" s="93"/>
      <c r="F38" s="91"/>
      <c r="G38" s="90"/>
      <c r="H38" s="90"/>
      <c r="I38" s="92"/>
      <c r="J38" s="91"/>
      <c r="K38" s="84"/>
    </row>
    <row r="39" spans="1:11">
      <c r="A39" s="76"/>
      <c r="B39" s="76"/>
      <c r="C39" s="88"/>
      <c r="D39" s="89"/>
      <c r="E39" s="93"/>
      <c r="F39" s="91"/>
      <c r="G39" s="90"/>
      <c r="H39" s="90"/>
      <c r="I39" s="92"/>
      <c r="J39" s="91"/>
      <c r="K39" s="84"/>
    </row>
    <row r="40" spans="1:11">
      <c r="A40" s="76"/>
      <c r="B40" s="76"/>
      <c r="C40" s="88"/>
      <c r="D40" s="89"/>
      <c r="E40" s="93"/>
      <c r="F40" s="91"/>
      <c r="G40" s="90"/>
      <c r="H40" s="90"/>
      <c r="I40" s="92"/>
      <c r="J40" s="91"/>
      <c r="K40" s="84"/>
    </row>
    <row r="41" spans="1:11">
      <c r="A41" s="76"/>
      <c r="B41" s="76"/>
      <c r="C41" s="88"/>
      <c r="D41" s="89"/>
      <c r="E41" s="90"/>
      <c r="F41" s="91"/>
      <c r="G41" s="94"/>
      <c r="H41" s="90"/>
      <c r="I41" s="92"/>
      <c r="J41" s="91"/>
      <c r="K41" s="84"/>
    </row>
    <row r="42" spans="1:11">
      <c r="A42" s="84"/>
      <c r="B42" s="84"/>
      <c r="C42" s="84"/>
      <c r="D42" s="84"/>
      <c r="E42" s="84"/>
      <c r="F42" s="84"/>
      <c r="G42" s="84"/>
      <c r="H42" s="84"/>
      <c r="I42" s="84"/>
      <c r="J42" s="84"/>
      <c r="K42" s="84"/>
    </row>
    <row r="44" spans="1:11">
      <c r="J44" s="74"/>
    </row>
  </sheetData>
  <phoneticPr fontId="15" type="noConversion"/>
  <dataValidations count="3">
    <dataValidation allowBlank="1" showInputMessage="1" showErrorMessage="1" promptTitle="Ref IMO 2020" prompt="Ref IMO 2020" sqref="C8:I8 C27:I27" xr:uid="{FD0448CC-2369-9D4E-9E46-17F4D0E91C23}"/>
    <dataValidation allowBlank="1" showInputMessage="1" showErrorMessage="1" promptTitle="Ref EPA 2020a" prompt="Ref EPA 2020a" sqref="C26:I26" xr:uid="{65943390-A094-C440-B473-3DB98EE89D43}"/>
    <dataValidation allowBlank="1" showInputMessage="1" showErrorMessage="1" promptTitle="Ref EPA 2022" prompt="Ref EPA 2022" sqref="C7:I7" xr:uid="{892D6311-7D47-3847-B30A-387FC884849D}"/>
  </dataValidations>
  <pageMargins left="0.7" right="0.7" top="0.75" bottom="0.75" header="0.3" footer="0.3"/>
  <pageSetup scale="44" fitToHeight="0" orientation="landscape" r:id="rId1"/>
  <headerFooter differentFirst="1">
    <oddFooter>&amp;LShore Power Emissions Calculator, Version 2022a
&amp;A&amp;RPage &amp;P of &amp;N</oddFooter>
    <firstFooter>&amp;RPage &amp;P of &amp;N</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User Guide</vt:lpstr>
      <vt:lpstr>General Calculator</vt:lpstr>
      <vt:lpstr>User Entry Calculator</vt:lpstr>
      <vt:lpstr>eGRID2018 Region</vt:lpstr>
      <vt:lpstr>Vessel Fuel Emission Factors</vt:lpstr>
      <vt:lpstr>General Calculator - Example</vt:lpstr>
      <vt:lpstr>Vessel Type</vt:lpstr>
      <vt:lpstr>Engine Tier</vt:lpstr>
      <vt:lpstr>References</vt:lpstr>
      <vt:lpstr>'User Guide'!_Ref54877151</vt:lpstr>
      <vt:lpstr>Abbr</vt:lpstr>
      <vt:lpstr>Additional_Resources</vt:lpstr>
      <vt:lpstr>EGRID_REGION</vt:lpstr>
      <vt:lpstr>EGRID18</vt:lpstr>
      <vt:lpstr>Footnotes</vt:lpstr>
      <vt:lpstr>Gen_calc</vt:lpstr>
      <vt:lpstr>Subregion</vt:lpstr>
      <vt:lpstr>Title</vt:lpstr>
      <vt:lpstr>user_defined</vt:lpstr>
      <vt:lpstr>VesselType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Shore Power Emissions Calculator, Version 2022a (May 2022)</dc:title>
  <dc:subject>The shore power emissions calculator calculates vessel and fuel emissions of criteria and greenhouse gas (GHG) pollutants using EPA’s Emissions &amp; Generation Resource Integrated Database (eGRID) 2018 data and 2022 Port Emissions Inventory Guidance.</dc:subject>
  <dc:creator>U.S. EPA; OAR; Office of Transportation and Air Quality; Transportation and Climate Division</dc:creator>
  <cp:keywords>shore;power;emission;calculator;version 2022a,criteria,greenhouse gas;GHG;pollutant;marine;diesel;vessel;fuel;input;regional;electricity;grid;factor;emissions &amp; generation resource integrated database;eGRID;2018 data;2022 port emissions inventory guidance</cp:keywords>
  <dc:description/>
  <cp:lastModifiedBy>Anagnost, Eloise</cp:lastModifiedBy>
  <cp:revision/>
  <cp:lastPrinted>2022-05-04T16:41:56Z</cp:lastPrinted>
  <dcterms:created xsi:type="dcterms:W3CDTF">2015-08-11T16:00:37Z</dcterms:created>
  <dcterms:modified xsi:type="dcterms:W3CDTF">2022-05-04T16:45:43Z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1e9c26dd-9229-40ac-a27d-8b2875919e54</vt:lpwstr>
  </property>
  <property fmtid="{D5CDD505-2E9C-101B-9397-08002B2CF9AE}" pid="3" name="ContentTypeId">
    <vt:lpwstr>0x01010074D30AB50BBE424F9A07A143A3AFCF02</vt:lpwstr>
  </property>
  <property fmtid="{D5CDD505-2E9C-101B-9397-08002B2CF9AE}" pid="4" name="TaxKeyword">
    <vt:lpwstr>396;#engines|aed1db36-003f-43ea-8d04-6d848ca734e1;#570;#ports|00b0fcba-d4e7-43fd-9a27-5a2940680f87;#2061;#Connection|ed3ff239-1676-438f-9ba7-60a6b8214f4c;#506;#marine|89c756af-c6d0-405b-8a58-5e529781ef18;#694;#vessel|c2774f40-d848-4dbc-8a39-71a1849f8c4d</vt:lpwstr>
  </property>
  <property fmtid="{D5CDD505-2E9C-101B-9397-08002B2CF9AE}" pid="5" name="Document Type">
    <vt:lpwstr/>
  </property>
  <property fmtid="{D5CDD505-2E9C-101B-9397-08002B2CF9AE}" pid="6" name="EPA Subject">
    <vt:lpwstr/>
  </property>
</Properties>
</file>