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defaultThemeVersion="124226"/>
  <mc:AlternateContent xmlns:mc="http://schemas.openxmlformats.org/markup-compatibility/2006">
    <mc:Choice Requires="x15">
      <x15ac:absPath xmlns:x15ac="http://schemas.microsoft.com/office/spreadsheetml/2010/11/ac" url="https://usepa.sharepoint.com/sites/ocspp_Work/wpc/TSCA Scoping Next 20 HPS Review/Other Chems/Asbestos 2/Final RE/Supplemental Files/"/>
    </mc:Choice>
  </mc:AlternateContent>
  <xr:revisionPtr revIDLastSave="127" documentId="13_ncr:1_{5B9C3697-2E41-4648-912D-9F2FEB35AE87}" xr6:coauthVersionLast="47" xr6:coauthVersionMax="47" xr10:uidLastSave="{14260936-4C29-4869-845E-5C66E480D0A4}"/>
  <bookViews>
    <workbookView xWindow="-120" yWindow="-120" windowWidth="29040" windowHeight="15720" tabRatio="679" firstSheet="1" activeTab="1" xr2:uid="{268E932F-F0B8-4386-887A-23442D126DAE}"/>
  </bookViews>
  <sheets>
    <sheet name="Cover Page" sheetId="43" r:id="rId1"/>
    <sheet name="README" sheetId="44" r:id="rId2"/>
    <sheet name="OES and SEG Summary" sheetId="46" r:id="rId3"/>
    <sheet name="Dashboard" sheetId="31" r:id="rId4"/>
    <sheet name="Bridge Table" sheetId="45" r:id="rId5"/>
    <sheet name="RR" sheetId="40" r:id="rId6"/>
    <sheet name="Health Data" sheetId="39" r:id="rId7"/>
    <sheet name="Inhalation Exposure" sheetId="47" r:id="rId8"/>
    <sheet name="List Values" sheetId="35" r:id="rId9"/>
    <sheet name="Exposure Factors" sheetId="38"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15</definedName>
    <definedName name="_AtRisk_SimSetting_ReportOptionReportsFileType" hidden="1">1</definedName>
    <definedName name="_AtRisk_SimSetting_ReportOptionSelectiveQR" hidden="1">FALSE</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'Inhalation Exposure'!$B$5:$Z$24</definedName>
    <definedName name="_xlnm._FilterDatabase" localSheetId="2" hidden="1">'OES and SEG Summary'!$A$11:$G$28</definedName>
    <definedName name="AT_ADC_high">'List Values'!#REF!</definedName>
    <definedName name="AT_ADC_mid">'List Values'!#REF!</definedName>
    <definedName name="AT_LADC">'List Values'!#REF!</definedName>
    <definedName name="BW_default">'Exposure Factors'!$C$6</definedName>
    <definedName name="BW_women">'Exposure Factors'!$D$6</definedName>
    <definedName name="ED_12" localSheetId="7">#REF!</definedName>
    <definedName name="ED_12">'List Values'!#REF!</definedName>
    <definedName name="ED_8" localSheetId="7">#REF!</definedName>
    <definedName name="ED_8">'List Values'!#REF!</definedName>
    <definedName name="EF" localSheetId="7">#REF!</definedName>
    <definedName name="EF">'List Values'!$J$23</definedName>
    <definedName name="Exposure_Drop_down" localSheetId="6">'Health Data'!$M$11:$M$11</definedName>
    <definedName name="LT" localSheetId="7">#REF!</definedName>
    <definedName name="LT">'List Values'!#REF!</definedName>
    <definedName name="MW">'List Values'!#REF!</definedName>
    <definedName name="Pal_Workbook_GUID" hidden="1">"QFFA8IQU6YFGRFCXE7L4LIWR"</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olver_adj" localSheetId="5" hidden="1">RR!#REF!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RR!#REF!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1</definedName>
    <definedName name="solver_ver" localSheetId="5" hidden="1">3</definedName>
    <definedName name="ug_per_mg" localSheetId="7">#REF!</definedName>
    <definedName name="ug_per_mg">'List Values'!#REF!</definedName>
    <definedName name="WY_CT_default">'Exposure Factors'!$C$8</definedName>
    <definedName name="WY_CT_women">'Exposure Factors'!$D$8</definedName>
    <definedName name="WY_HE_default">'Exposure Factors'!$C$7</definedName>
    <definedName name="WY_HE_women">'Exposure Factors'!$D$7</definedName>
    <definedName name="WY_high" localSheetId="7">#REF!</definedName>
    <definedName name="WY_high">'List Values'!#REF!</definedName>
    <definedName name="WY_mid" localSheetId="7">#REF!</definedName>
    <definedName name="WY_mid">'List Values'!$J$26</definedName>
  </definedName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5" l="1"/>
  <c r="E15" i="31"/>
  <c r="R24" i="40" l="1"/>
  <c r="R22" i="40"/>
  <c r="R14" i="40"/>
  <c r="R15" i="40"/>
  <c r="R13" i="40"/>
  <c r="R11" i="40"/>
  <c r="R12" i="40"/>
  <c r="R10" i="40"/>
  <c r="K14" i="40"/>
  <c r="K15" i="40"/>
  <c r="K13" i="40"/>
  <c r="K11" i="40"/>
  <c r="K12" i="40"/>
  <c r="K10" i="40"/>
  <c r="H22" i="40"/>
  <c r="D20" i="31"/>
  <c r="H24" i="40"/>
  <c r="K69" i="45"/>
  <c r="K67" i="45"/>
  <c r="K63" i="45"/>
  <c r="K61" i="45"/>
  <c r="K59" i="45"/>
  <c r="K57" i="45"/>
  <c r="K53" i="45"/>
  <c r="K51" i="45"/>
  <c r="K49" i="45"/>
  <c r="K47" i="45"/>
  <c r="K43" i="45"/>
  <c r="K41" i="45"/>
  <c r="K39" i="45"/>
  <c r="K37" i="45"/>
  <c r="K35" i="45"/>
  <c r="K33" i="45"/>
  <c r="K31" i="45"/>
  <c r="K29" i="45"/>
  <c r="K25" i="45"/>
  <c r="K23" i="45"/>
  <c r="K21" i="45"/>
  <c r="K19" i="45"/>
  <c r="K15" i="45"/>
  <c r="K13" i="45"/>
  <c r="K11" i="45"/>
  <c r="K9" i="45"/>
  <c r="I45" i="45"/>
  <c r="I44" i="45"/>
  <c r="I27" i="45"/>
  <c r="I26" i="45"/>
  <c r="I68" i="45"/>
  <c r="K68" i="45" s="1"/>
  <c r="I66" i="45"/>
  <c r="K66" i="45" s="1"/>
  <c r="I62" i="45"/>
  <c r="K62" i="45" s="1"/>
  <c r="I60" i="45"/>
  <c r="K60" i="45" s="1"/>
  <c r="I52" i="45"/>
  <c r="K52" i="45" s="1"/>
  <c r="I50" i="45"/>
  <c r="K50" i="45" s="1"/>
  <c r="I17" i="45"/>
  <c r="I16" i="45"/>
  <c r="I8" i="45"/>
  <c r="K8" i="45" s="1"/>
  <c r="I42" i="45"/>
  <c r="K42" i="45" s="1"/>
  <c r="I40" i="45"/>
  <c r="K40" i="45" s="1"/>
  <c r="I38" i="45"/>
  <c r="K38" i="45" s="1"/>
  <c r="I36" i="45"/>
  <c r="K36" i="45" s="1"/>
  <c r="I34" i="45"/>
  <c r="K34" i="45" s="1"/>
  <c r="I32" i="45"/>
  <c r="K32" i="45" s="1"/>
  <c r="I30" i="45"/>
  <c r="K30" i="45" s="1"/>
  <c r="I28" i="45"/>
  <c r="K28" i="45" s="1"/>
  <c r="I24" i="45"/>
  <c r="K24" i="45" s="1"/>
  <c r="I22" i="45"/>
  <c r="K22" i="45" s="1"/>
  <c r="I20" i="45"/>
  <c r="K20" i="45" s="1"/>
  <c r="I18" i="45"/>
  <c r="K18" i="45" s="1"/>
  <c r="I14" i="45"/>
  <c r="K14" i="45" s="1"/>
  <c r="I12" i="45"/>
  <c r="K12" i="45" s="1"/>
  <c r="I10" i="45"/>
  <c r="K10" i="45" s="1"/>
  <c r="K23" i="40" l="1"/>
  <c r="L23" i="40" s="1"/>
  <c r="U22" i="40"/>
  <c r="W22" i="40" s="1"/>
  <c r="U23" i="40"/>
  <c r="V23" i="40" s="1"/>
  <c r="K22" i="40"/>
  <c r="M22" i="40" s="1"/>
  <c r="Y23" i="40" l="1"/>
  <c r="Z23" i="40"/>
  <c r="O23" i="40"/>
  <c r="N23" i="40"/>
  <c r="X22" i="40"/>
  <c r="W23" i="40"/>
  <c r="P23" i="40"/>
  <c r="V22" i="40"/>
  <c r="X23" i="40"/>
  <c r="M23" i="40"/>
  <c r="Z22" i="40"/>
  <c r="Y22" i="40"/>
  <c r="L22" i="40"/>
  <c r="O22" i="40"/>
  <c r="P22" i="40"/>
  <c r="N22" i="40"/>
  <c r="Q21" i="31"/>
  <c r="Q20" i="31"/>
  <c r="O20" i="31"/>
  <c r="U18" i="31"/>
  <c r="O25" i="31"/>
  <c r="D25" i="31"/>
  <c r="F21" i="31"/>
  <c r="F20" i="31"/>
  <c r="R14" i="31"/>
  <c r="R15" i="31"/>
  <c r="R13" i="31"/>
  <c r="R11" i="31"/>
  <c r="R12" i="31"/>
  <c r="R10" i="31"/>
  <c r="F14" i="31"/>
  <c r="H21" i="31" s="1"/>
  <c r="K21" i="31" s="1"/>
  <c r="F15" i="31"/>
  <c r="F13" i="31"/>
  <c r="G21" i="31" s="1"/>
  <c r="J21" i="31" s="1"/>
  <c r="F12" i="31"/>
  <c r="I20" i="31" s="1"/>
  <c r="L20" i="31" s="1"/>
  <c r="F11" i="31"/>
  <c r="H20" i="31" s="1"/>
  <c r="K20" i="31" s="1"/>
  <c r="F10" i="31"/>
  <c r="G20" i="31" s="1"/>
  <c r="J20" i="31" s="1"/>
  <c r="R21" i="47"/>
  <c r="Q21" i="47"/>
  <c r="R16" i="47"/>
  <c r="Q16" i="47"/>
  <c r="R9" i="47"/>
  <c r="R10" i="47"/>
  <c r="R11" i="47"/>
  <c r="Q11" i="47"/>
  <c r="Q10" i="47"/>
  <c r="Q9" i="47"/>
  <c r="P23" i="47"/>
  <c r="O23" i="47"/>
  <c r="O18" i="47"/>
  <c r="P18" i="47"/>
  <c r="O19" i="47"/>
  <c r="I55" i="45" s="1"/>
  <c r="P19" i="47"/>
  <c r="I54" i="45" s="1"/>
  <c r="P17" i="47"/>
  <c r="I46" i="45" s="1"/>
  <c r="K46" i="45" s="1"/>
  <c r="O17" i="47"/>
  <c r="I48" i="45" s="1"/>
  <c r="K48" i="45" s="1"/>
  <c r="O15" i="47"/>
  <c r="P15" i="47"/>
  <c r="P14" i="47"/>
  <c r="O14" i="47"/>
  <c r="P13" i="47"/>
  <c r="O13" i="47"/>
  <c r="P12" i="47"/>
  <c r="O12" i="47"/>
  <c r="O7" i="47"/>
  <c r="P7" i="47"/>
  <c r="O8" i="47"/>
  <c r="P8" i="47"/>
  <c r="P6" i="47"/>
  <c r="O6" i="47"/>
  <c r="I21" i="31" l="1"/>
  <c r="L21" i="31" s="1"/>
  <c r="R20" i="31"/>
  <c r="U20" i="31" s="1"/>
  <c r="T20" i="31"/>
  <c r="W20" i="31" s="1"/>
  <c r="S20" i="31"/>
  <c r="V20" i="31" s="1"/>
  <c r="T21" i="31"/>
  <c r="W21" i="31" s="1"/>
  <c r="S21" i="31"/>
  <c r="V21" i="31" s="1"/>
  <c r="R21" i="31"/>
  <c r="U21" i="31" s="1"/>
  <c r="J18" i="31"/>
  <c r="M9" i="47" l="1"/>
  <c r="J41" i="35"/>
  <c r="J40" i="35"/>
  <c r="J39" i="35"/>
  <c r="L23" i="45" l="1"/>
  <c r="F64" i="45"/>
  <c r="L63" i="45"/>
  <c r="L61" i="45"/>
  <c r="F60" i="45"/>
  <c r="L59" i="45"/>
  <c r="L57" i="45"/>
  <c r="F56" i="45"/>
  <c r="L43" i="45"/>
  <c r="L41" i="45"/>
  <c r="F40" i="45"/>
  <c r="F26" i="45"/>
  <c r="L25" i="45"/>
  <c r="F22" i="45"/>
  <c r="L21" i="45"/>
  <c r="L19" i="45"/>
  <c r="F18" i="45"/>
  <c r="T52" i="40" l="1"/>
  <c r="S52" i="40"/>
  <c r="U20" i="40"/>
  <c r="K20" i="40"/>
  <c r="P14" i="40"/>
  <c r="P15" i="40"/>
  <c r="P13" i="40"/>
  <c r="P11" i="40"/>
  <c r="P12" i="40"/>
  <c r="P10" i="40"/>
  <c r="J14" i="40"/>
  <c r="J15" i="40"/>
  <c r="J13" i="40"/>
  <c r="J11" i="40"/>
  <c r="J12" i="40"/>
  <c r="J10" i="40"/>
  <c r="P79" i="31"/>
  <c r="P14" i="31"/>
  <c r="P15" i="31"/>
  <c r="P13" i="31"/>
  <c r="P11" i="31"/>
  <c r="P12" i="31"/>
  <c r="P10" i="31"/>
  <c r="E14" i="31"/>
  <c r="E13" i="31"/>
  <c r="E11" i="31"/>
  <c r="E12" i="31"/>
  <c r="E10" i="31"/>
  <c r="U23" i="31"/>
  <c r="M20" i="47"/>
  <c r="N16" i="47"/>
  <c r="M16" i="47"/>
  <c r="N20" i="47"/>
  <c r="R20" i="47" s="1"/>
  <c r="I56" i="45" s="1"/>
  <c r="K56" i="45" s="1"/>
  <c r="M21" i="47"/>
  <c r="N21" i="47"/>
  <c r="M22" i="47"/>
  <c r="Q22" i="47" s="1"/>
  <c r="I65" i="45" s="1"/>
  <c r="N22" i="47"/>
  <c r="R22" i="47" s="1"/>
  <c r="I64" i="45" s="1"/>
  <c r="Q10" i="40"/>
  <c r="M10" i="47"/>
  <c r="N10" i="47"/>
  <c r="M11" i="47"/>
  <c r="N11" i="47"/>
  <c r="N9" i="47"/>
  <c r="H14" i="47"/>
  <c r="S14" i="47" s="1"/>
  <c r="H15" i="47"/>
  <c r="S15" i="47" s="1"/>
  <c r="H16" i="47"/>
  <c r="H17" i="47"/>
  <c r="T17" i="47" s="1"/>
  <c r="H18" i="47"/>
  <c r="S18" i="47" s="1"/>
  <c r="H19" i="47"/>
  <c r="S19" i="47" s="1"/>
  <c r="H20" i="47"/>
  <c r="H21" i="47"/>
  <c r="H22" i="47"/>
  <c r="H23" i="47"/>
  <c r="S23" i="47" s="1"/>
  <c r="H24" i="47"/>
  <c r="H6" i="47"/>
  <c r="S6" i="47" s="1"/>
  <c r="H13" i="47"/>
  <c r="S13" i="47" s="1"/>
  <c r="H12" i="47"/>
  <c r="S12" i="47" s="1"/>
  <c r="H11" i="47"/>
  <c r="H10" i="47"/>
  <c r="H9" i="47"/>
  <c r="U9" i="47" s="1"/>
  <c r="S10" i="40" s="1"/>
  <c r="H8" i="47"/>
  <c r="S8" i="47" s="1"/>
  <c r="L12" i="40" s="1"/>
  <c r="H7" i="47"/>
  <c r="S7" i="47" s="1"/>
  <c r="Q10" i="31" l="1"/>
  <c r="Q20" i="47"/>
  <c r="I58" i="45" s="1"/>
  <c r="K58" i="45" s="1"/>
  <c r="T6" i="47"/>
  <c r="G13" i="31" s="1"/>
  <c r="T23" i="47"/>
  <c r="Q13" i="31"/>
  <c r="S17" i="47"/>
  <c r="T15" i="47"/>
  <c r="U22" i="47"/>
  <c r="V11" i="47"/>
  <c r="U11" i="47"/>
  <c r="S12" i="40" s="1"/>
  <c r="U24" i="40" s="1"/>
  <c r="S53" i="40" s="1"/>
  <c r="U21" i="47"/>
  <c r="V21" i="47"/>
  <c r="V10" i="47"/>
  <c r="S14" i="40" s="1"/>
  <c r="U10" i="47"/>
  <c r="S11" i="40" s="1"/>
  <c r="U16" i="47"/>
  <c r="V22" i="47"/>
  <c r="S15" i="31" s="1"/>
  <c r="T26" i="31" s="1"/>
  <c r="O80" i="31" s="1"/>
  <c r="V16" i="47"/>
  <c r="T7" i="47"/>
  <c r="V20" i="47"/>
  <c r="U20" i="47"/>
  <c r="S10" i="31" s="1"/>
  <c r="R25" i="31" s="1"/>
  <c r="Q15" i="40"/>
  <c r="Q12" i="40"/>
  <c r="Q12" i="31"/>
  <c r="Q15" i="31"/>
  <c r="L11" i="40"/>
  <c r="Q11" i="40"/>
  <c r="Q14" i="40"/>
  <c r="Q14" i="31"/>
  <c r="Q13" i="40"/>
  <c r="V9" i="47"/>
  <c r="Q11" i="31"/>
  <c r="S15" i="40"/>
  <c r="L10" i="40"/>
  <c r="K24" i="40" s="1"/>
  <c r="L24" i="40" s="1"/>
  <c r="G10" i="31"/>
  <c r="G12" i="31"/>
  <c r="G11" i="31"/>
  <c r="T18" i="47"/>
  <c r="T14" i="47"/>
  <c r="T19" i="47"/>
  <c r="T13" i="47"/>
  <c r="T12" i="47"/>
  <c r="T8" i="47"/>
  <c r="S12" i="31" l="1"/>
  <c r="T25" i="31" s="1"/>
  <c r="O81" i="31" s="1"/>
  <c r="V24" i="40"/>
  <c r="S54" i="40" s="1"/>
  <c r="U25" i="31"/>
  <c r="P85" i="31" s="1"/>
  <c r="O85" i="31"/>
  <c r="S14" i="31"/>
  <c r="S26" i="31" s="1"/>
  <c r="O82" i="31" s="1"/>
  <c r="S11" i="31"/>
  <c r="S25" i="31" s="1"/>
  <c r="O83" i="31" s="1"/>
  <c r="G14" i="31"/>
  <c r="L14" i="40"/>
  <c r="S13" i="31"/>
  <c r="R26" i="31" s="1"/>
  <c r="O84" i="31" s="1"/>
  <c r="G25" i="31"/>
  <c r="G15" i="31"/>
  <c r="Z24" i="40"/>
  <c r="S58" i="40" s="1"/>
  <c r="W24" i="40"/>
  <c r="S55" i="40" s="1"/>
  <c r="Y24" i="40"/>
  <c r="S57" i="40" s="1"/>
  <c r="X24" i="40"/>
  <c r="S56" i="40" s="1"/>
  <c r="S13" i="40"/>
  <c r="U25" i="40" s="1"/>
  <c r="L15" i="40"/>
  <c r="W26" i="31"/>
  <c r="P80" i="31" s="1"/>
  <c r="L13" i="40"/>
  <c r="K25" i="40" s="1"/>
  <c r="W25" i="31" l="1"/>
  <c r="P81" i="31" s="1"/>
  <c r="V26" i="31"/>
  <c r="P82" i="31" s="1"/>
  <c r="T53" i="40"/>
  <c r="X25" i="40"/>
  <c r="T56" i="40" s="1"/>
  <c r="V25" i="40"/>
  <c r="T54" i="40" s="1"/>
  <c r="Z25" i="40"/>
  <c r="T58" i="40" s="1"/>
  <c r="W25" i="40"/>
  <c r="T55" i="40" s="1"/>
  <c r="Y25" i="40"/>
  <c r="T57" i="40" s="1"/>
  <c r="V25" i="31"/>
  <c r="P83" i="31" s="1"/>
  <c r="U26" i="31"/>
  <c r="P84" i="31" s="1"/>
  <c r="F66" i="45"/>
  <c r="F54" i="45"/>
  <c r="F50" i="45"/>
  <c r="F46" i="45"/>
  <c r="F44" i="45"/>
  <c r="F36" i="45"/>
  <c r="F32" i="45"/>
  <c r="F28" i="45"/>
  <c r="F16" i="45"/>
  <c r="F12" i="45"/>
  <c r="F8" i="45"/>
  <c r="L9" i="45"/>
  <c r="L53" i="45" l="1"/>
  <c r="L51" i="45"/>
  <c r="L49" i="45"/>
  <c r="L47" i="45"/>
  <c r="L35" i="45"/>
  <c r="L33" i="45"/>
  <c r="L15" i="45"/>
  <c r="L13" i="45"/>
  <c r="J52" i="40" l="1"/>
  <c r="I52" i="40"/>
  <c r="N7" i="39" l="1"/>
  <c r="J4" i="45" s="1"/>
  <c r="L4" i="45" s="1"/>
  <c r="J53" i="40" l="1"/>
  <c r="L25" i="40"/>
  <c r="J54" i="40" s="1"/>
  <c r="N24" i="40"/>
  <c r="O24" i="40"/>
  <c r="M24" i="40"/>
  <c r="I54" i="40"/>
  <c r="P24" i="40"/>
  <c r="I58" i="40" s="1"/>
  <c r="I53" i="40"/>
  <c r="E79" i="31"/>
  <c r="P25" i="40" l="1"/>
  <c r="J58" i="40" s="1"/>
  <c r="N25" i="40"/>
  <c r="J56" i="40" s="1"/>
  <c r="O25" i="40"/>
  <c r="J57" i="40" s="1"/>
  <c r="M25" i="40"/>
  <c r="J55" i="40" s="1"/>
  <c r="T7" i="45"/>
  <c r="L69" i="45"/>
  <c r="L67" i="45"/>
  <c r="L39" i="45"/>
  <c r="L37" i="45"/>
  <c r="L31" i="45"/>
  <c r="L29" i="45"/>
  <c r="L11" i="45"/>
  <c r="J23" i="31"/>
  <c r="D6" i="38"/>
  <c r="J58" i="45" l="1"/>
  <c r="J45" i="45"/>
  <c r="J30" i="45"/>
  <c r="L30" i="45" s="1"/>
  <c r="J17" i="45"/>
  <c r="J56" i="45"/>
  <c r="L56" i="45" s="1"/>
  <c r="J44" i="45"/>
  <c r="J28" i="45"/>
  <c r="J16" i="45"/>
  <c r="J68" i="45"/>
  <c r="L68" i="45" s="1"/>
  <c r="J55" i="45"/>
  <c r="J42" i="45"/>
  <c r="L42" i="45" s="1"/>
  <c r="J27" i="45"/>
  <c r="J14" i="45"/>
  <c r="L14" i="45" s="1"/>
  <c r="J66" i="45"/>
  <c r="J54" i="45"/>
  <c r="J40" i="45"/>
  <c r="L40" i="45" s="1"/>
  <c r="J26" i="45"/>
  <c r="J12" i="45"/>
  <c r="L12" i="45" s="1"/>
  <c r="J65" i="45"/>
  <c r="J52" i="45"/>
  <c r="L52" i="45" s="1"/>
  <c r="J38" i="45"/>
  <c r="L38" i="45" s="1"/>
  <c r="J24" i="45"/>
  <c r="L24" i="45" s="1"/>
  <c r="J10" i="45"/>
  <c r="L10" i="45" s="1"/>
  <c r="J64" i="45"/>
  <c r="J50" i="45"/>
  <c r="J36" i="45"/>
  <c r="J22" i="45"/>
  <c r="L22" i="45" s="1"/>
  <c r="J8" i="45"/>
  <c r="L8" i="45" s="1"/>
  <c r="J32" i="45"/>
  <c r="L32" i="45" s="1"/>
  <c r="J62" i="45"/>
  <c r="L62" i="45" s="1"/>
  <c r="J48" i="45"/>
  <c r="L48" i="45" s="1"/>
  <c r="J34" i="45"/>
  <c r="L34" i="45" s="1"/>
  <c r="J20" i="45"/>
  <c r="L20" i="45" s="1"/>
  <c r="J60" i="45"/>
  <c r="L60" i="45" s="1"/>
  <c r="J46" i="45"/>
  <c r="L46" i="45" s="1"/>
  <c r="J18" i="45"/>
  <c r="L18" i="45" s="1"/>
  <c r="L58" i="45"/>
  <c r="L50" i="45"/>
  <c r="I26" i="31"/>
  <c r="L26" i="31" s="1"/>
  <c r="E80" i="31" s="1"/>
  <c r="H25" i="31"/>
  <c r="D83" i="31" s="1"/>
  <c r="H26" i="31"/>
  <c r="D82" i="31" s="1"/>
  <c r="I25" i="31"/>
  <c r="L25" i="31" s="1"/>
  <c r="E81" i="31" s="1"/>
  <c r="K26" i="31" l="1"/>
  <c r="E82" i="31" s="1"/>
  <c r="K25" i="31"/>
  <c r="E83" i="31" s="1"/>
  <c r="D81" i="31"/>
  <c r="J25" i="31"/>
  <c r="E85" i="31" s="1"/>
  <c r="D85" i="31"/>
  <c r="I57" i="40"/>
  <c r="G26" i="31"/>
  <c r="I55" i="40"/>
  <c r="I56" i="40"/>
  <c r="D80" i="31"/>
  <c r="L36" i="45"/>
  <c r="L28" i="45"/>
  <c r="L66" i="45"/>
  <c r="D84" i="31" l="1"/>
  <c r="J26" i="31"/>
  <c r="E84" i="31" s="1"/>
</calcChain>
</file>

<file path=xl/sharedStrings.xml><?xml version="1.0" encoding="utf-8"?>
<sst xmlns="http://schemas.openxmlformats.org/spreadsheetml/2006/main" count="1020" uniqueCount="281">
  <si>
    <t>PUBLIC RELEASE FINAL - September 2024</t>
  </si>
  <si>
    <t>Part 2 Risk Evaluation for Asbestos Legacy Uses</t>
  </si>
  <si>
    <t>Supplemental Information File on</t>
  </si>
  <si>
    <t>Occupational Risk Calculations</t>
  </si>
  <si>
    <t>Asbestos</t>
  </si>
  <si>
    <t>CASRN: 1332-21-4</t>
  </si>
  <si>
    <t>Supplemental Risk Evaluation for Asbestos</t>
  </si>
  <si>
    <t>Supplemental File on Asbestos Risk Calculations, November 2024</t>
  </si>
  <si>
    <t>Description of this workbook:</t>
  </si>
  <si>
    <t xml:space="preserve">The risk calculator for asbestos contains the following spreadsheets: 1) OES Summary, 2) Dashboard, 3) Bridge Table, 4) Risk Reduction (RR), 5) Health Data, 6) Inhalation Exposure, 7) List Values, and 8) Exposure Factors. The workbook is designed so that the user need only use/change the input cells in three spreadsheets, the Dashboard, the Bridge Table, and the RR, which have tabs colored green and contain the results of the risk calculator. The remaining spreadsheets contain data storage and calculation spreadsheets. </t>
  </si>
  <si>
    <t>Key Worksheets</t>
  </si>
  <si>
    <t>Description</t>
  </si>
  <si>
    <t>OES and SEG Summary</t>
  </si>
  <si>
    <t>This tab includes a list of the occupational exposure scenarios (OESs) and a description of the significant exposure groups (SEGs) included in the Risk Calculator</t>
  </si>
  <si>
    <t>Dashboard</t>
  </si>
  <si>
    <r>
      <rPr>
        <sz val="12"/>
        <color rgb="FF000000"/>
        <rFont val="Times New Roman"/>
      </rPr>
      <t xml:space="preserve">This Dashboard is an interactive spreadsheet that allows a user to view exposure results for a selected OES and with a single personal protective equipment (PPE) option of their choosing </t>
    </r>
    <r>
      <rPr>
        <i/>
        <sz val="12"/>
        <color rgb="FF000000"/>
        <rFont val="Times New Roman"/>
      </rPr>
      <t>(i.e.</t>
    </r>
    <r>
      <rPr>
        <sz val="12"/>
        <color rgb="FF000000"/>
        <rFont val="Times New Roman"/>
      </rPr>
      <t>, respirator assigned protection factor [APF]). The user can select a) the desired OES, or b) PPE options for the worker type (either an average adult or a woman of childbearing age) from a drop-down menu. The exposure estimates are shown in the “Exposure Outputs” section for inhalation and for high-end and central tendency exposures. For inhalation exposures the columns show results for both worker and occupational non-user (ONU) exposures. The “Risk Estimation” section includes chronic cancer and non-cancer calculations, with the associated hazard endpoint, hazard value (</t>
    </r>
    <r>
      <rPr>
        <i/>
        <sz val="12"/>
        <color rgb="FF000000"/>
        <rFont val="Times New Roman"/>
      </rPr>
      <t>i.e.</t>
    </r>
    <r>
      <rPr>
        <sz val="12"/>
        <color rgb="FF000000"/>
        <rFont val="Times New Roman"/>
      </rPr>
      <t>, Inhalation Unit Risk (IUR) for cancer effects from inhalation exposure), and benchmark values for cancer risk. The risk estimations show two columns of risk estimates: one column for exposures without PPE and one column for the results of the user-selected PPE option. These two columns allow the user to compare with and without PPE results side-by-side. Note that health data (</t>
    </r>
    <r>
      <rPr>
        <i/>
        <sz val="12"/>
        <color rgb="FF000000"/>
        <rFont val="Times New Roman"/>
      </rPr>
      <t>e.g.</t>
    </r>
    <r>
      <rPr>
        <sz val="12"/>
        <color rgb="FF000000"/>
        <rFont val="Times New Roman"/>
      </rPr>
      <t>, IUR) are on an 8-hr TWA basis.</t>
    </r>
  </si>
  <si>
    <t>Bridge Table</t>
  </si>
  <si>
    <r>
      <rPr>
        <sz val="12"/>
        <color rgb="FF000000"/>
        <rFont val="Times New Roman"/>
      </rPr>
      <t>The table provides summary of the risk estimates for inhalation exposures for all occupational exposure scenarios. Risk estimates that exceed the benchmark (</t>
    </r>
    <r>
      <rPr>
        <i/>
        <sz val="12"/>
        <color rgb="FF000000"/>
        <rFont val="Times New Roman"/>
      </rPr>
      <t>i.e.</t>
    </r>
    <r>
      <rPr>
        <sz val="12"/>
        <color rgb="FF000000"/>
        <rFont val="Times New Roman"/>
      </rPr>
      <t xml:space="preserve">, cancer risks greater than the cancer risk benchmark) are highlighted by bolding the number and shading the cell. </t>
    </r>
  </si>
  <si>
    <t>RR</t>
  </si>
  <si>
    <r>
      <rPr>
        <sz val="12"/>
        <color rgb="FF000000"/>
        <rFont val="Times New Roman"/>
      </rPr>
      <t xml:space="preserve">The RR spreadsheet is an expanded version of the Dashboard. Similar to the Dashboard, the RR allows the user to select a OES. In the RR spreadsheet, the user can also elect to see results for a worker or ONU separately. Additionally, the Heat Map displays all the PPE options. The RR spreadsheet includes results without PPE and for each of the PPE options </t>
    </r>
    <r>
      <rPr>
        <i/>
        <sz val="12"/>
        <color rgb="FF000000"/>
        <rFont val="Times New Roman"/>
      </rPr>
      <t>(i.e.</t>
    </r>
    <r>
      <rPr>
        <sz val="12"/>
        <color rgb="FF000000"/>
        <rFont val="Times New Roman"/>
      </rPr>
      <t>, APF). The RR spreadsheet has a row for each toxicity endpoint, and each row shows the health risk values. Similar to the Dashboard, the RR spreadsheet shades results if the cancer risk is greater than the benchmark cancer risk.</t>
    </r>
  </si>
  <si>
    <t>Health Data, 
Inhalation Exposure, 
List Values and 
Exposure Factors</t>
  </si>
  <si>
    <t>As described above the remaining spreadsheets are data storage and calculation spreadsheets. These worksheets store the exposure estimates, health values and store some of the risk calculations. The user does not need to access these worksheets to use the Dashboard and RR spreadsheets as described above; all results are automatically loaded into the Dashboard and RR spreadsheets.</t>
  </si>
  <si>
    <t>This tab includes a list of the occupational exposure scenarios (OESs) included in the Risk Calculator, a crosswalk between the conditions of use (COUs) and OESs in the risk evaluation, and a description of the three significant exposure groups (SEGs) assessed in the Risk Calculator</t>
  </si>
  <si>
    <t>Life Cycle Stage</t>
  </si>
  <si>
    <t>Category</t>
  </si>
  <si>
    <t>Subcategory</t>
  </si>
  <si>
    <t>Occupational Exposure Scenario (OES)</t>
  </si>
  <si>
    <t>OES Group Number</t>
  </si>
  <si>
    <t>Significant Exposure Group (SEG)</t>
  </si>
  <si>
    <t>Industrial/ Commercial Uses</t>
  </si>
  <si>
    <t>Chemical Substances in Construction, Paint, Electrical, and Metal Products</t>
  </si>
  <si>
    <t>Construction and building materials covering large surface areas, including paper articles; metal articles; stone, plaster, cement, glass, and ceramic articles</t>
  </si>
  <si>
    <t>Handling Asbestos-Containing Building Materials During Maintenance, Renovation, and Demolition Activities</t>
  </si>
  <si>
    <t>Higher-Exposure Potential Workers</t>
  </si>
  <si>
    <t xml:space="preserve">Workers that may directly generate friable asbestos through actions such as grinding, sanding, cutting, or abrading. For the purposes of this Risk Calculator, this group includes career firefighters (OES 2), and all workers for OESs 3 and 5. </t>
  </si>
  <si>
    <t>Handling of Asbestos-Containing Building Materials during Firefighting or Other Disaster Response Activities</t>
  </si>
  <si>
    <t>Lower-Exposure Potential Workers</t>
  </si>
  <si>
    <t>Workers who may come into direct contact with friable asbestos while performing their required work activities. For the purposes of this Risk Calculator, this group includes volunteer firefighters (OES 2)</t>
  </si>
  <si>
    <t>Machinery, mechanical appliances, electrical/electronic articles</t>
  </si>
  <si>
    <t>Use, Repair, or Removal of Industrial and Commercial Appliances or Machinery Containing Asbestos</t>
  </si>
  <si>
    <t>ONUs</t>
  </si>
  <si>
    <t>Workers that may be in the vicinity of asbestos but are unlikely to have direct contact with the ACM.</t>
  </si>
  <si>
    <t>Other machinery, mechanical appliances, electronic/electronic articles</t>
  </si>
  <si>
    <t>Electrical batteries and accumulators</t>
  </si>
  <si>
    <t>Handling Articles or Formulations that Contain Asbestos</t>
  </si>
  <si>
    <t>Solvent-based/water-based paint</t>
  </si>
  <si>
    <t>Fillers and putties</t>
  </si>
  <si>
    <t>Chemical Substances in Furnishing, Cleaning, Treatment Care Products</t>
  </si>
  <si>
    <t>Construction and building materials covering large surface areas, including fabrics, textiles, and apparel</t>
  </si>
  <si>
    <t xml:space="preserve">Handling Asbestos-Containing Building Materials During Maintenance, Renovation, and Demolition Activities; </t>
  </si>
  <si>
    <t>Furniture &amp; furnishings including stone, plaster, cement, glass, and ceramic articles; metal articles; or rubber articles</t>
  </si>
  <si>
    <t>Chemical Substances in Packaging, Paper, Plastic, Toys, Hobby Products</t>
  </si>
  <si>
    <t>Packaging (excluding food packaging), including rubber articles; plastic articles (hard); plastic articles (soft)</t>
  </si>
  <si>
    <t>Toys intended for children’s use (and child dedicated articles), including fabrics, textiles, and apparel; or plastic articles (hard)</t>
  </si>
  <si>
    <t>Chemical Substances in Products not Described by Other Codes</t>
  </si>
  <si>
    <t>Other (artifacts)</t>
  </si>
  <si>
    <t>Other (aerospace applications)</t>
  </si>
  <si>
    <t>Chemical Substances in Automotive, Fuel, Agriculture, Outdoor Use Products</t>
  </si>
  <si>
    <t>Lawn and garden products (vermiculite soil treatment)</t>
  </si>
  <si>
    <r>
      <t>Handling of Vermiculite-Containing Products</t>
    </r>
    <r>
      <rPr>
        <sz val="11"/>
        <color theme="1"/>
        <rFont val="Calibri"/>
        <family val="2"/>
        <scheme val="minor"/>
      </rPr>
      <t> </t>
    </r>
  </si>
  <si>
    <t>N/A - no occupational exposure expected for this use</t>
  </si>
  <si>
    <t>Laboratory chemicals</t>
  </si>
  <si>
    <t>Laboratory chemicals (vermiculite packaging products)</t>
  </si>
  <si>
    <t>Disposal, including Distribution for Disposal</t>
  </si>
  <si>
    <t>Waste Handling, Disposal, and Treatment</t>
  </si>
  <si>
    <t>Occupational Exposure Scenario</t>
  </si>
  <si>
    <t>Personal Protective Equipment (PPE)</t>
  </si>
  <si>
    <t>Select the OES (select)</t>
  </si>
  <si>
    <t>Respirator Protection Factor (Select)</t>
  </si>
  <si>
    <t>8-hr TWA Exposures</t>
  </si>
  <si>
    <t>30-min and Adjusted 8-hr TWA Exposures</t>
  </si>
  <si>
    <t>Exposure Outputs</t>
  </si>
  <si>
    <t>Exposure Level</t>
  </si>
  <si>
    <t>Full-Shift (Eight-Hour) TWA Exposure</t>
  </si>
  <si>
    <t>Chronic, Non-Cancer Exposures</t>
  </si>
  <si>
    <t>Chronic, Cancer Exposures</t>
  </si>
  <si>
    <t>Short-term (30 Minute)  Exposure</t>
  </si>
  <si>
    <t>Adjusted 8-hr TWA Exposure</t>
  </si>
  <si>
    <r>
      <t>C</t>
    </r>
    <r>
      <rPr>
        <b/>
        <vertAlign val="subscript"/>
        <sz val="10"/>
        <rFont val="Calibri"/>
        <family val="2"/>
        <scheme val="minor"/>
      </rPr>
      <t>asbestos, 8-hr TWA</t>
    </r>
    <r>
      <rPr>
        <b/>
        <sz val="10"/>
        <rFont val="Calibri"/>
        <family val="2"/>
        <scheme val="minor"/>
      </rPr>
      <t xml:space="preserve"> (f/cc)</t>
    </r>
  </si>
  <si>
    <r>
      <t>ADC</t>
    </r>
    <r>
      <rPr>
        <b/>
        <vertAlign val="subscript"/>
        <sz val="10"/>
        <rFont val="Calibri"/>
        <family val="2"/>
        <scheme val="minor"/>
      </rPr>
      <t>asbestos, 8-hr TWA</t>
    </r>
  </si>
  <si>
    <r>
      <t>ELCR</t>
    </r>
    <r>
      <rPr>
        <b/>
        <vertAlign val="subscript"/>
        <sz val="10"/>
        <rFont val="Calibri"/>
        <family val="2"/>
        <scheme val="minor"/>
      </rPr>
      <t>asbestos, 8-hr TWA</t>
    </r>
  </si>
  <si>
    <r>
      <t>C</t>
    </r>
    <r>
      <rPr>
        <b/>
        <vertAlign val="subscript"/>
        <sz val="10"/>
        <rFont val="Calibri"/>
        <family val="2"/>
        <scheme val="minor"/>
      </rPr>
      <t>asbestos, 30-min</t>
    </r>
    <r>
      <rPr>
        <b/>
        <sz val="10"/>
        <rFont val="Calibri"/>
        <family val="2"/>
        <scheme val="minor"/>
      </rPr>
      <t xml:space="preserve"> (f/cc)</t>
    </r>
  </si>
  <si>
    <r>
      <t>C</t>
    </r>
    <r>
      <rPr>
        <b/>
        <vertAlign val="subscript"/>
        <sz val="10"/>
        <rFont val="Calibri"/>
        <family val="2"/>
        <scheme val="minor"/>
      </rPr>
      <t>asbestos, 8-hr TWA, adjusted</t>
    </r>
    <r>
      <rPr>
        <b/>
        <sz val="10"/>
        <rFont val="Calibri"/>
        <family val="2"/>
        <scheme val="minor"/>
      </rPr>
      <t xml:space="preserve"> (f/cc)</t>
    </r>
  </si>
  <si>
    <r>
      <t>ADC</t>
    </r>
    <r>
      <rPr>
        <b/>
        <vertAlign val="subscript"/>
        <sz val="10"/>
        <rFont val="Calibri"/>
        <family val="2"/>
        <scheme val="minor"/>
      </rPr>
      <t>asbestos, 8-hr TWA,adjusted</t>
    </r>
  </si>
  <si>
    <r>
      <t>ELCR</t>
    </r>
    <r>
      <rPr>
        <b/>
        <vertAlign val="subscript"/>
        <sz val="10"/>
        <rFont val="Calibri"/>
        <family val="2"/>
        <scheme val="minor"/>
      </rPr>
      <t>asbestos, 8-hr TWA, adjusted</t>
    </r>
  </si>
  <si>
    <t>Higher-Exposure Workers</t>
  </si>
  <si>
    <t>High End</t>
  </si>
  <si>
    <t>Lower-Exposure Workers</t>
  </si>
  <si>
    <t>ONU</t>
  </si>
  <si>
    <t>Central Tendency</t>
  </si>
  <si>
    <t>Risk Estimation for Chronic, Non-Cancer Inhalation Exposures</t>
  </si>
  <si>
    <t>Health Effect, Endpoint</t>
  </si>
  <si>
    <r>
      <t>POD (mg/m</t>
    </r>
    <r>
      <rPr>
        <b/>
        <vertAlign val="superscript"/>
        <sz val="10"/>
        <rFont val="Calibri"/>
        <family val="2"/>
        <scheme val="minor"/>
      </rPr>
      <t>3</t>
    </r>
    <r>
      <rPr>
        <b/>
        <sz val="10"/>
        <rFont val="Calibri"/>
        <family val="2"/>
        <scheme val="minor"/>
      </rPr>
      <t>)</t>
    </r>
  </si>
  <si>
    <t>Benchmark MOE 
(= Total UF)</t>
  </si>
  <si>
    <t>Chronic Exposure Estimates</t>
  </si>
  <si>
    <t>Higher-Exposure Potential Worker</t>
  </si>
  <si>
    <t xml:space="preserve">Lower-Exposure Potential Worker </t>
  </si>
  <si>
    <t>Lower-Exposure Potential Worker</t>
  </si>
  <si>
    <t>Tox1</t>
  </si>
  <si>
    <t>Pleural thickening</t>
  </si>
  <si>
    <t>Risk Estimation for Chronic Cancer Risks (8-hr TWA)</t>
  </si>
  <si>
    <t>Chronic Cancer Exposure Estimates</t>
  </si>
  <si>
    <t>Risk Estimation for Chronic Cancer Risks (8-hr TWA, adjusted)</t>
  </si>
  <si>
    <t>IUR (f/cc)-1</t>
  </si>
  <si>
    <t>Benchmark</t>
  </si>
  <si>
    <t>Tox2</t>
  </si>
  <si>
    <t>Mesothelioma</t>
  </si>
  <si>
    <r>
      <t>10</t>
    </r>
    <r>
      <rPr>
        <b/>
        <vertAlign val="superscript"/>
        <sz val="10"/>
        <color theme="1"/>
        <rFont val="Calibri"/>
        <family val="2"/>
        <scheme val="minor"/>
      </rPr>
      <t>-4</t>
    </r>
  </si>
  <si>
    <t>Inhalation Cancer Risk Estimates</t>
  </si>
  <si>
    <t>Cancer Risk</t>
  </si>
  <si>
    <t>ONU: Central Tendency</t>
  </si>
  <si>
    <t>ONU: High End</t>
  </si>
  <si>
    <t>Lower-Exposure Worker: Central Tendency</t>
  </si>
  <si>
    <t>Lower-Exposure Worker: High End</t>
  </si>
  <si>
    <t>Higher-Exposure Worker: Central Tendency</t>
  </si>
  <si>
    <t>Higher-Exposure Worker: High End</t>
  </si>
  <si>
    <t>Summary of Risk Estimates for Inhalation Exposures to Workers by Occupational Exposure Scenario</t>
  </si>
  <si>
    <t>Benchmarks</t>
  </si>
  <si>
    <t>OES Group</t>
  </si>
  <si>
    <t>Exposure Route</t>
  </si>
  <si>
    <t>Population</t>
  </si>
  <si>
    <t>Exposure Scenario</t>
  </si>
  <si>
    <t>Risk Estimates for No PPE</t>
  </si>
  <si>
    <t>Risk Estimates with PPE</t>
  </si>
  <si>
    <t>Select the PPE APF Here</t>
  </si>
  <si>
    <t>Chronic Non-Cancer POD (f/cc)</t>
  </si>
  <si>
    <t xml:space="preserve">Cancer IUR (f/cc)-1 </t>
  </si>
  <si>
    <t>Chronic Non-cancer (bench­mark MOE = 300)</t>
  </si>
  <si>
    <r>
      <t>Cancer (bench­mark = 10</t>
    </r>
    <r>
      <rPr>
        <b/>
        <vertAlign val="superscript"/>
        <sz val="9.5"/>
        <color rgb="FF000000"/>
        <rFont val="Times New Roman"/>
        <family val="1"/>
      </rPr>
      <t>-4</t>
    </r>
    <r>
      <rPr>
        <b/>
        <sz val="9.5"/>
        <color rgb="FF000000"/>
        <rFont val="Times New Roman"/>
        <family val="1"/>
      </rPr>
      <t>)</t>
    </r>
  </si>
  <si>
    <r>
      <t>Cancer (bench­mark = 10</t>
    </r>
    <r>
      <rPr>
        <b/>
        <vertAlign val="superscript"/>
        <sz val="9.5"/>
        <color rgb="FF000000"/>
        <rFont val="Times New Roman"/>
        <family val="1"/>
      </rPr>
      <t>‑4</t>
    </r>
    <r>
      <rPr>
        <b/>
        <sz val="9.5"/>
        <color rgb="FF000000"/>
        <rFont val="Times New Roman"/>
        <family val="1"/>
      </rPr>
      <t>)</t>
    </r>
  </si>
  <si>
    <t>Chronic Non-cancer</t>
  </si>
  <si>
    <t>Cancer</t>
  </si>
  <si>
    <t>Inhalation</t>
  </si>
  <si>
    <t>8-hr</t>
  </si>
  <si>
    <t>APF</t>
  </si>
  <si>
    <t>High-End</t>
  </si>
  <si>
    <t>N/A</t>
  </si>
  <si>
    <t>30-min</t>
  </si>
  <si>
    <t>Handling Asbestos-Containing Building Materials During Firefighting or Other Disaster Response Activities</t>
  </si>
  <si>
    <t>Handling articles or formulations that contain asbestos (Battery insulators, Burner mats, Plastics, Cured Coatings/Adhesives/Sealants)</t>
  </si>
  <si>
    <t>Condition of Use</t>
  </si>
  <si>
    <t>Inhalation Exposure</t>
  </si>
  <si>
    <t>Select the Condition of Use (select)</t>
  </si>
  <si>
    <t>Exposure Type 
(select)</t>
  </si>
  <si>
    <t>Risk Estimation for Inhalation Exposures (8-hr TWA)</t>
  </si>
  <si>
    <t>Risk Estimation for Inhalation Exposures (8-hr TWA, Adjusted)</t>
  </si>
  <si>
    <t>Risk Type</t>
  </si>
  <si>
    <t>Toxicity Endpoint</t>
  </si>
  <si>
    <t>HEC (f/cc)</t>
  </si>
  <si>
    <t>Benchmark 
(= Total UF)</t>
  </si>
  <si>
    <t>No Respirator</t>
  </si>
  <si>
    <t>APF = 10</t>
  </si>
  <si>
    <t>APF = 25</t>
  </si>
  <si>
    <t>APF = 50</t>
  </si>
  <si>
    <t>APF = 1,000</t>
  </si>
  <si>
    <t>APF = 10,000</t>
  </si>
  <si>
    <t>Chronic, Non-Cancer</t>
  </si>
  <si>
    <t>Non-cancer</t>
  </si>
  <si>
    <t>Chronic, Cancer</t>
  </si>
  <si>
    <t>=</t>
  </si>
  <si>
    <t>Look-up Values and Risk Parameter Values</t>
  </si>
  <si>
    <t>Health data are on an 8-hr basis</t>
  </si>
  <si>
    <t>Benchmark MOE</t>
  </si>
  <si>
    <t>Cancer Parameters</t>
  </si>
  <si>
    <t>Look-up Table Values</t>
  </si>
  <si>
    <t>Code</t>
  </si>
  <si>
    <t>POD (f/cc)</t>
  </si>
  <si>
    <t>Exposure Percentiles</t>
  </si>
  <si>
    <t>Target Cancer Risk Level</t>
  </si>
  <si>
    <t>Chronic, Non-cancer</t>
  </si>
  <si>
    <t>Localized pleural thickening</t>
  </si>
  <si>
    <t>Risk of all cancers causally related to asbestos</t>
  </si>
  <si>
    <t>Central Tendancy</t>
  </si>
  <si>
    <t>Data for Risk Graph on Dashboard</t>
  </si>
  <si>
    <t>Occupational Non-user</t>
  </si>
  <si>
    <t>Worker</t>
  </si>
  <si>
    <t>8-hr TWA Exposures Worker Type
(select) Exposure Estimates</t>
  </si>
  <si>
    <t>Exposure Frequency</t>
  </si>
  <si>
    <t>Time Weighting Factor (TWF)</t>
  </si>
  <si>
    <t>Short-term Exposures</t>
  </si>
  <si>
    <t>Adjusted 8-hr TWA Exposures for Short-term Samples</t>
  </si>
  <si>
    <t>Chronic, Non-cancer Exposures (8-hr TWA)</t>
  </si>
  <si>
    <t>Chronic, Non-cancer Exposures (Short-term)</t>
  </si>
  <si>
    <t>Chronic, Cancer Exposures (8-hr TWA)</t>
  </si>
  <si>
    <t>Chronic, Cancer Exposures (Short-term)</t>
  </si>
  <si>
    <t>(day/yr)</t>
  </si>
  <si>
    <r>
      <t>C</t>
    </r>
    <r>
      <rPr>
        <b/>
        <vertAlign val="subscript"/>
        <sz val="10"/>
        <rFont val="Calibri"/>
        <family val="2"/>
        <scheme val="minor"/>
      </rPr>
      <t>8-hr TWA</t>
    </r>
    <r>
      <rPr>
        <b/>
        <sz val="10"/>
        <rFont val="Calibri"/>
        <family val="2"/>
        <scheme val="minor"/>
      </rPr>
      <t xml:space="preserve"> (f/cc)</t>
    </r>
  </si>
  <si>
    <r>
      <t>C</t>
    </r>
    <r>
      <rPr>
        <b/>
        <vertAlign val="subscript"/>
        <sz val="10"/>
        <rFont val="Calibri"/>
        <family val="2"/>
        <scheme val="minor"/>
      </rPr>
      <t>30-min</t>
    </r>
    <r>
      <rPr>
        <b/>
        <sz val="10"/>
        <rFont val="Calibri"/>
        <family val="2"/>
        <scheme val="minor"/>
      </rPr>
      <t xml:space="preserve"> (f/cc)</t>
    </r>
  </si>
  <si>
    <r>
      <t>C</t>
    </r>
    <r>
      <rPr>
        <b/>
        <vertAlign val="subscript"/>
        <sz val="10"/>
        <rFont val="Calibri"/>
        <family val="2"/>
        <scheme val="minor"/>
      </rPr>
      <t>8-hr TWA,adjusted</t>
    </r>
    <r>
      <rPr>
        <b/>
        <sz val="10"/>
        <rFont val="Calibri"/>
        <family val="2"/>
        <scheme val="minor"/>
      </rPr>
      <t xml:space="preserve"> (f/cc)</t>
    </r>
  </si>
  <si>
    <r>
      <t>ADC</t>
    </r>
    <r>
      <rPr>
        <b/>
        <vertAlign val="subscript"/>
        <sz val="10"/>
        <rFont val="Calibri"/>
        <family val="2"/>
        <scheme val="minor"/>
      </rPr>
      <t>8-hr TWA</t>
    </r>
    <r>
      <rPr>
        <b/>
        <sz val="10"/>
        <rFont val="Calibri"/>
        <family val="2"/>
        <scheme val="minor"/>
      </rPr>
      <t xml:space="preserve"> (f/cc)</t>
    </r>
  </si>
  <si>
    <r>
      <t>ADC</t>
    </r>
    <r>
      <rPr>
        <b/>
        <vertAlign val="subscript"/>
        <sz val="10"/>
        <rFont val="Calibri"/>
        <family val="2"/>
        <scheme val="minor"/>
      </rPr>
      <t>8-hr TWA,adjusted</t>
    </r>
    <r>
      <rPr>
        <b/>
        <sz val="10"/>
        <rFont val="Calibri"/>
        <family val="2"/>
        <scheme val="minor"/>
      </rPr>
      <t xml:space="preserve"> (f/cc)</t>
    </r>
  </si>
  <si>
    <r>
      <t>ELCR</t>
    </r>
    <r>
      <rPr>
        <b/>
        <vertAlign val="subscript"/>
        <sz val="10"/>
        <rFont val="Calibri"/>
        <family val="2"/>
        <scheme val="minor"/>
      </rPr>
      <t>8-hr TWA</t>
    </r>
    <r>
      <rPr>
        <b/>
        <sz val="10"/>
        <rFont val="Calibri"/>
        <family val="2"/>
        <scheme val="minor"/>
      </rPr>
      <t xml:space="preserve"> (f/cc)</t>
    </r>
  </si>
  <si>
    <r>
      <t>ELCR</t>
    </r>
    <r>
      <rPr>
        <b/>
        <vertAlign val="subscript"/>
        <sz val="10"/>
        <rFont val="Calibri"/>
        <family val="2"/>
        <scheme val="minor"/>
      </rPr>
      <t>8-hr TWA,adjusted</t>
    </r>
    <r>
      <rPr>
        <b/>
        <sz val="10"/>
        <rFont val="Calibri"/>
        <family val="2"/>
        <scheme val="minor"/>
      </rPr>
      <t xml:space="preserve"> (f/cc)</t>
    </r>
  </si>
  <si>
    <t>8 hr Data Points</t>
  </si>
  <si>
    <t>Excursion Limit Data Points</t>
  </si>
  <si>
    <t>Sources &amp; Notes</t>
  </si>
  <si>
    <t>Data Type</t>
  </si>
  <si>
    <t>Monitoring Data</t>
  </si>
  <si>
    <t>Firefighters (Career) included in "Higher-Exposure Potential Workers" SEG</t>
  </si>
  <si>
    <t>Firefighters (Volunteer) included in "Lower-Exposure Potential Workers" SEG</t>
  </si>
  <si>
    <t>Workers grouped with "Higher-Exposure Workers"</t>
  </si>
  <si>
    <t xml:space="preserve">Handling Articles or Formulations that Contain Asbestos </t>
  </si>
  <si>
    <t>Insufficient data</t>
  </si>
  <si>
    <t>Occupational Exposure Scenarios</t>
  </si>
  <si>
    <t>Exposure Data Types</t>
  </si>
  <si>
    <t>Modeled Data</t>
  </si>
  <si>
    <t>Assigned Protection Factor</t>
  </si>
  <si>
    <t>Exposure Type</t>
  </si>
  <si>
    <t>Exposure duration</t>
  </si>
  <si>
    <t>Calculated Data Types</t>
  </si>
  <si>
    <t>OSHA PEL</t>
  </si>
  <si>
    <t>f/cc</t>
  </si>
  <si>
    <t>Higher Exposure-Potential Worker: 95th Percentile</t>
  </si>
  <si>
    <t>Higher Exposure-Potential Worker: 50th Percentile</t>
  </si>
  <si>
    <t>Lower Exposure-Potential Worker: 95th Percentile</t>
  </si>
  <si>
    <t>Lower Exposure-Potential Worker: 50th Percentile</t>
  </si>
  <si>
    <t>ONU: 95th Percentile</t>
  </si>
  <si>
    <t>ONU: 50th Percentile</t>
  </si>
  <si>
    <t>Parameter Name</t>
  </si>
  <si>
    <t>Symbol</t>
  </si>
  <si>
    <t>Value</t>
  </si>
  <si>
    <t>Unit</t>
  </si>
  <si>
    <t>Exposure Duration (chronic)</t>
  </si>
  <si>
    <t>EDChronic</t>
  </si>
  <si>
    <t>hr/day</t>
  </si>
  <si>
    <t>Hourly Breathing Volume Ratio (V)</t>
  </si>
  <si>
    <t>Averaging Time (acute)</t>
  </si>
  <si>
    <t>ATAcute</t>
  </si>
  <si>
    <t>Annual Working Days</t>
  </si>
  <si>
    <t>AWD</t>
  </si>
  <si>
    <t>day/yr</t>
  </si>
  <si>
    <t>Hourly Rate of Breathing Volumes</t>
  </si>
  <si>
    <t>V</t>
  </si>
  <si>
    <t>unitless</t>
  </si>
  <si>
    <t xml:space="preserve">Less than lifetime Inhalation Unit Risk per f/cc </t>
  </si>
  <si>
    <t>IURLTL</t>
  </si>
  <si>
    <t>Annual Working Hours</t>
  </si>
  <si>
    <t>AWH</t>
  </si>
  <si>
    <t>hr/yr</t>
  </si>
  <si>
    <t>Annual Working Days (Construction/Demolition)</t>
  </si>
  <si>
    <t>AWD_Demo</t>
  </si>
  <si>
    <t>Annual Working Hours (Construction/Demolition)</t>
  </si>
  <si>
    <t>AWH_Demo</t>
  </si>
  <si>
    <t>Annual Working Days (Firefighting/Disaster Response Volunteer)</t>
  </si>
  <si>
    <t>AWD_VolFire</t>
  </si>
  <si>
    <t>Annual Working Hours (Firefighting/Disaster Response Career)</t>
  </si>
  <si>
    <t>AWH_VolFire</t>
  </si>
  <si>
    <t>Annual Working Days (Firefighting/Disaster Response)</t>
  </si>
  <si>
    <t>AWD_CareerFire</t>
  </si>
  <si>
    <t>Annual Working Hours (Firefighting/Disaster Response)</t>
  </si>
  <si>
    <t>AWH_CareerFire</t>
  </si>
  <si>
    <t>Working Years per Lifetime-95th Percentile (chronic)</t>
  </si>
  <si>
    <t>WY95th</t>
  </si>
  <si>
    <t>yr</t>
  </si>
  <si>
    <t>Working Years per Lifetime-50th Percentile (chronic)</t>
  </si>
  <si>
    <t>WY50th</t>
  </si>
  <si>
    <t>Lifetime (chronic, cancer)</t>
  </si>
  <si>
    <t>LTChronic, Cancer</t>
  </si>
  <si>
    <t>Averaging Time-95th Percentile (chronic, non-cancer)</t>
  </si>
  <si>
    <t>AT95th, Chronic, Non-Cancer</t>
  </si>
  <si>
    <t>hr</t>
  </si>
  <si>
    <t>Averaging Time-50th Percentile (chronic, non-cancer)</t>
  </si>
  <si>
    <t>AT50th, Chronic, Non-Cancer</t>
  </si>
  <si>
    <t>Averaging Time (chronic, cancer)</t>
  </si>
  <si>
    <t>ATChronic, Cancer</t>
  </si>
  <si>
    <t>Exposure Factors</t>
  </si>
  <si>
    <t>Average Adult Worker</t>
  </si>
  <si>
    <t>Woman of Childbearing Age</t>
  </si>
  <si>
    <t>Characterization of Value</t>
  </si>
  <si>
    <t>Body Weight, BW (kg)</t>
  </si>
  <si>
    <t>Working Years - High-End (yr)</t>
  </si>
  <si>
    <t>Working Years - Central Tendency (yr)</t>
  </si>
  <si>
    <t>Lifetime</t>
  </si>
  <si>
    <t>Woman of Childbearing Age Exposure Factors:</t>
  </si>
  <si>
    <t>Body Weight:</t>
  </si>
  <si>
    <t>From the Exposure Factors Handbook Table 8-5: Mean and Percentile Body Weights (kg) for Females Derived from NHANES (1990-2006) (1)</t>
  </si>
  <si>
    <t>Age 16 to &lt;21 years: 65.9 kg (mean)</t>
  </si>
  <si>
    <t>Age 21 to &lt;30 years: 71.9 kg (mean)</t>
  </si>
  <si>
    <t>Age 30 to &lt;40 years: 74.8 kg (mean)</t>
  </si>
  <si>
    <t>Age 40 to &lt;50 years: 77.1 kg (mean)</t>
  </si>
  <si>
    <t>(1) U.S. Environmental Protection Agency (EPA). (2011) Exposure Factors Handbook: 2011 Edition. National Center for Environmental Assessment, Washington, DC; EPA/600/R-09/052F. Available from the National Technical Information Service, Springfield, VA, and online at http://www.epa.gov/ncea/efh.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</si>
</sst>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E+00"/>
    <numFmt numFmtId="167" formatCode="0.0000"/>
    <numFmt numFmtId="168" formatCode="0.0000000"/>
  </numFmts>
  <fonts count="59">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6"/>
      <name val="Calibri"/>
      <family val="2"/>
      <scheme val="minor"/>
    </font>
    <font>
      <sz val="10"/>
      <name val="Calibri"/>
      <family val="2"/>
      <scheme val="minor"/>
    </font>
    <font>
      <b/>
      <vertAlign val="superscript"/>
      <sz val="10"/>
      <color theme="1"/>
      <name val="Calibri"/>
      <family val="2"/>
      <scheme val="minor"/>
    </font>
    <font>
      <sz val="11"/>
      <color theme="0" tint="-4.9989318521683403E-2"/>
      <name val="Calibri"/>
      <family val="2"/>
      <scheme val="minor"/>
    </font>
    <font>
      <sz val="11"/>
      <color rgb="FFFF0000"/>
      <name val="Calibri"/>
      <family val="2"/>
      <scheme val="minor"/>
    </font>
    <font>
      <u/>
      <sz val="11"/>
      <color theme="1"/>
      <name val="Calibri"/>
      <family val="2"/>
      <scheme val="minor"/>
    </font>
    <font>
      <sz val="11"/>
      <color theme="1"/>
      <name val="Calibri"/>
      <family val="2"/>
      <scheme val="minor"/>
    </font>
    <font>
      <i/>
      <sz val="11"/>
      <color theme="1"/>
      <name val="Calibri"/>
      <family val="2"/>
      <scheme val="minor"/>
    </font>
    <font>
      <b/>
      <sz val="11"/>
      <color rgb="FFFF0000"/>
      <name val="Calibri"/>
      <family val="2"/>
      <scheme val="minor"/>
    </font>
    <font>
      <sz val="10"/>
      <color rgb="FF000000"/>
      <name val="Calibri"/>
      <family val="2"/>
    </font>
    <font>
      <b/>
      <sz val="10"/>
      <color rgb="FF000000"/>
      <name val="Calibri"/>
      <family val="2"/>
      <scheme val="minor"/>
    </font>
    <font>
      <b/>
      <i/>
      <sz val="16"/>
      <name val="Calibri"/>
      <family val="2"/>
      <scheme val="minor"/>
    </font>
    <font>
      <b/>
      <i/>
      <sz val="14"/>
      <name val="Calibri"/>
      <family val="2"/>
      <scheme val="minor"/>
    </font>
    <font>
      <b/>
      <sz val="14"/>
      <name val="Calibri"/>
      <family val="2"/>
      <scheme val="minor"/>
    </font>
    <font>
      <sz val="11"/>
      <color rgb="FF000000"/>
      <name val="Calibri"/>
      <family val="2"/>
    </font>
    <font>
      <b/>
      <sz val="11"/>
      <color theme="9" tint="0.79998168889431442"/>
      <name val="Calibri"/>
      <family val="2"/>
      <scheme val="minor"/>
    </font>
    <font>
      <b/>
      <i/>
      <sz val="10"/>
      <name val="Calibri"/>
      <family val="2"/>
      <scheme val="minor"/>
    </font>
    <font>
      <b/>
      <sz val="10"/>
      <color theme="8" tint="0.79998168889431442"/>
      <name val="Calibri"/>
      <family val="2"/>
      <scheme val="minor"/>
    </font>
    <font>
      <u/>
      <sz val="10"/>
      <color theme="1"/>
      <name val="Calibri"/>
      <family val="2"/>
      <scheme val="minor"/>
    </font>
    <font>
      <sz val="10"/>
      <color rgb="FFFF0000"/>
      <name val="Calibri"/>
      <family val="2"/>
      <scheme val="minor"/>
    </font>
    <font>
      <sz val="10"/>
      <color theme="0" tint="-4.9989318521683403E-2"/>
      <name val="Calibri"/>
      <family val="2"/>
      <scheme val="minor"/>
    </font>
    <font>
      <sz val="10"/>
      <name val="Arial"/>
      <family val="2"/>
    </font>
    <font>
      <sz val="10"/>
      <name val="Calibri"/>
      <family val="2"/>
    </font>
    <font>
      <sz val="8"/>
      <name val="Calibri"/>
      <family val="2"/>
      <scheme val="minor"/>
    </font>
    <font>
      <b/>
      <sz val="16"/>
      <color theme="1"/>
      <name val="Times New Roman"/>
      <family val="1"/>
    </font>
    <font>
      <b/>
      <i/>
      <sz val="14"/>
      <color theme="1"/>
      <name val="Times New Roman"/>
      <family val="1"/>
    </font>
    <font>
      <b/>
      <sz val="11"/>
      <color theme="1"/>
      <name val="Arial"/>
      <family val="2"/>
    </font>
    <font>
      <sz val="11"/>
      <color theme="1"/>
      <name val="Arial"/>
      <family val="2"/>
    </font>
    <font>
      <b/>
      <sz val="11"/>
      <color rgb="FFFF0000"/>
      <name val="Arial"/>
      <family val="2"/>
    </font>
    <font>
      <b/>
      <sz val="11"/>
      <color theme="1"/>
      <name val="Times New Roman"/>
      <family val="1"/>
    </font>
    <font>
      <sz val="11"/>
      <color theme="1"/>
      <name val="Times New Roman"/>
      <family val="1"/>
    </font>
    <font>
      <b/>
      <sz val="9.5"/>
      <color rgb="FF000000"/>
      <name val="Times New Roman"/>
      <family val="1"/>
    </font>
    <font>
      <b/>
      <vertAlign val="superscript"/>
      <sz val="9.5"/>
      <color rgb="FF000000"/>
      <name val="Times New Roman"/>
      <family val="1"/>
    </font>
    <font>
      <sz val="9.5"/>
      <color theme="1"/>
      <name val="Times New Roman"/>
      <family val="1"/>
    </font>
    <font>
      <sz val="9.5"/>
      <color rgb="FF000000"/>
      <name val="Times New Roman"/>
      <family val="1"/>
    </font>
    <font>
      <sz val="12"/>
      <name val="Calibri"/>
      <family val="2"/>
      <scheme val="minor"/>
    </font>
    <font>
      <b/>
      <vertAlign val="subscript"/>
      <sz val="10"/>
      <name val="Calibri"/>
      <family val="2"/>
      <scheme val="minor"/>
    </font>
    <font>
      <b/>
      <sz val="10"/>
      <color rgb="FFFF0000"/>
      <name val="Calibri"/>
      <family val="2"/>
      <scheme val="minor"/>
    </font>
    <font>
      <b/>
      <sz val="11"/>
      <color rgb="FFFF0000"/>
      <name val="Times New Roman"/>
      <family val="1"/>
    </font>
    <font>
      <i/>
      <sz val="10"/>
      <color theme="1"/>
      <name val="Calibri"/>
      <family val="2"/>
      <scheme val="minor"/>
    </font>
    <font>
      <sz val="8"/>
      <color theme="1"/>
      <name val="Times New Roman"/>
      <family val="1"/>
    </font>
    <font>
      <b/>
      <sz val="10"/>
      <name val="Calibri"/>
      <family val="2"/>
    </font>
    <font>
      <sz val="11"/>
      <color rgb="FF000000"/>
      <name val="Calibri"/>
      <family val="2"/>
      <scheme val="minor"/>
    </font>
    <font>
      <b/>
      <vertAlign val="superscript"/>
      <sz val="10"/>
      <name val="Calibri"/>
      <family val="2"/>
      <scheme val="minor"/>
    </font>
    <font>
      <sz val="11"/>
      <color rgb="FFFF0000"/>
      <name val="Times New Roman"/>
      <family val="1"/>
    </font>
    <font>
      <b/>
      <sz val="12"/>
      <color theme="1"/>
      <name val="Times New Roman"/>
      <family val="1"/>
    </font>
    <font>
      <sz val="12"/>
      <color theme="1"/>
      <name val="Times New Roman"/>
      <family val="1"/>
    </font>
    <font>
      <sz val="12"/>
      <name val="Times New Roman"/>
      <family val="1"/>
    </font>
    <font>
      <sz val="12"/>
      <color rgb="FF000000"/>
      <name val="Times New Roman"/>
    </font>
    <font>
      <i/>
      <sz val="12"/>
      <color rgb="FF000000"/>
      <name val="Times New Roman"/>
    </font>
  </fonts>
  <fills count="1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0"/>
        <bgColor theme="4" tint="0.79998168889431442"/>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4" tint="0.59996337778862885"/>
        <bgColor indexed="64"/>
      </patternFill>
    </fill>
    <fill>
      <patternFill patternType="solid">
        <fgColor theme="2" tint="-0.2499465926084170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6" tint="0.39994506668294322"/>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bottom style="medium">
        <color auto="1"/>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indexed="64"/>
      </right>
      <top/>
      <bottom/>
      <diagonal/>
    </border>
    <border>
      <left style="thin">
        <color indexed="64"/>
      </left>
      <right style="medium">
        <color indexed="64"/>
      </right>
      <top/>
      <bottom style="medium">
        <color indexed="64"/>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medium">
        <color auto="1"/>
      </right>
      <top style="thin">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auto="1"/>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style="medium">
        <color auto="1"/>
      </top>
      <bottom/>
      <diagonal/>
    </border>
    <border>
      <left style="thin">
        <color auto="1"/>
      </left>
      <right/>
      <top/>
      <bottom style="medium">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top style="dashed">
        <color auto="1"/>
      </top>
      <bottom style="thin">
        <color indexed="64"/>
      </bottom>
      <diagonal/>
    </border>
    <border>
      <left/>
      <right/>
      <top style="dashed">
        <color auto="1"/>
      </top>
      <bottom style="thin">
        <color indexed="64"/>
      </bottom>
      <diagonal/>
    </border>
    <border>
      <left style="medium">
        <color auto="1"/>
      </left>
      <right style="medium">
        <color indexed="64"/>
      </right>
      <top style="double">
        <color indexed="64"/>
      </top>
      <bottom style="medium">
        <color auto="1"/>
      </bottom>
      <diagonal/>
    </border>
    <border>
      <left/>
      <right style="medium">
        <color indexed="64"/>
      </right>
      <top style="double">
        <color indexed="64"/>
      </top>
      <bottom/>
      <diagonal/>
    </border>
    <border>
      <left style="thin">
        <color auto="1"/>
      </left>
      <right/>
      <top style="thin">
        <color auto="1"/>
      </top>
      <bottom style="thin">
        <color auto="1"/>
      </bottom>
      <diagonal/>
    </border>
    <border>
      <left/>
      <right style="thin">
        <color auto="1"/>
      </right>
      <top style="dashed">
        <color auto="1"/>
      </top>
      <bottom style="dashed">
        <color indexed="64"/>
      </bottom>
      <diagonal/>
    </border>
    <border>
      <left/>
      <right/>
      <top style="dashed">
        <color auto="1"/>
      </top>
      <bottom style="dashed">
        <color indexed="64"/>
      </bottom>
      <diagonal/>
    </border>
    <border>
      <left/>
      <right style="medium">
        <color indexed="64"/>
      </right>
      <top style="medium">
        <color indexed="64"/>
      </top>
      <bottom style="double">
        <color indexed="64"/>
      </bottom>
      <diagonal/>
    </border>
    <border>
      <left style="hair">
        <color indexed="64"/>
      </left>
      <right/>
      <top style="medium">
        <color auto="1"/>
      </top>
      <bottom/>
      <diagonal/>
    </border>
    <border>
      <left style="hair">
        <color indexed="64"/>
      </left>
      <right/>
      <top/>
      <bottom style="medium">
        <color indexed="64"/>
      </bottom>
      <diagonal/>
    </border>
  </borders>
  <cellStyleXfs count="3">
    <xf numFmtId="0" fontId="0" fillId="0" borderId="0"/>
    <xf numFmtId="9" fontId="15" fillId="0" borderId="0" applyFont="0" applyFill="0" applyBorder="0" applyAlignment="0" applyProtection="0"/>
    <xf numFmtId="0" fontId="30" fillId="0" borderId="0"/>
  </cellStyleXfs>
  <cellXfs count="439">
    <xf numFmtId="0" fontId="0" fillId="0" borderId="0" xfId="0"/>
    <xf numFmtId="0" fontId="4" fillId="3" borderId="0" xfId="0" applyFont="1" applyFill="1"/>
    <xf numFmtId="0" fontId="0" fillId="3" borderId="0" xfId="0" applyFill="1"/>
    <xf numFmtId="0" fontId="0" fillId="3" borderId="2" xfId="0" applyFill="1" applyBorder="1"/>
    <xf numFmtId="0" fontId="0" fillId="3" borderId="3" xfId="0" applyFill="1" applyBorder="1"/>
    <xf numFmtId="0" fontId="1" fillId="3" borderId="3" xfId="0" applyFont="1" applyFill="1" applyBorder="1"/>
    <xf numFmtId="0" fontId="0" fillId="3" borderId="8" xfId="0" applyFill="1" applyBorder="1"/>
    <xf numFmtId="0" fontId="3" fillId="3" borderId="0" xfId="0" applyFont="1" applyFill="1" applyAlignment="1">
      <alignment vertical="center" wrapText="1"/>
    </xf>
    <xf numFmtId="0" fontId="0" fillId="3" borderId="0" xfId="0" applyFill="1" applyAlignment="1">
      <alignment horizontal="center" vertical="center"/>
    </xf>
    <xf numFmtId="0" fontId="0" fillId="3" borderId="0" xfId="0"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6" fillId="0" borderId="0" xfId="0" applyFont="1" applyAlignment="1">
      <alignment horizontal="center"/>
    </xf>
    <xf numFmtId="0" fontId="6" fillId="3" borderId="0" xfId="0" applyFont="1" applyFill="1"/>
    <xf numFmtId="0" fontId="6" fillId="0" borderId="0" xfId="0" applyFont="1" applyAlignment="1">
      <alignment wrapText="1"/>
    </xf>
    <xf numFmtId="0" fontId="6" fillId="0" borderId="0" xfId="0" applyFont="1"/>
    <xf numFmtId="2" fontId="6" fillId="0" borderId="1" xfId="0" applyNumberFormat="1" applyFont="1" applyBorder="1" applyAlignment="1">
      <alignment horizontal="center" vertical="center"/>
    </xf>
    <xf numFmtId="0" fontId="3" fillId="3" borderId="0" xfId="0" applyFont="1" applyFill="1" applyAlignment="1">
      <alignment horizontal="center" vertical="center" wrapText="1"/>
    </xf>
    <xf numFmtId="0" fontId="2" fillId="3" borderId="0" xfId="0" applyFont="1" applyFill="1" applyAlignment="1">
      <alignment horizontal="center" vertical="center"/>
    </xf>
    <xf numFmtId="0" fontId="9" fillId="3" borderId="0" xfId="0" applyFont="1" applyFill="1" applyAlignment="1">
      <alignment vertical="center"/>
    </xf>
    <xf numFmtId="0" fontId="2" fillId="3" borderId="0" xfId="0" applyFont="1"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vertical="center" wrapText="1"/>
    </xf>
    <xf numFmtId="0" fontId="0" fillId="3" borderId="23" xfId="0"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left" vertical="center" wrapText="1"/>
    </xf>
    <xf numFmtId="2" fontId="6" fillId="0" borderId="0" xfId="0" applyNumberFormat="1" applyFont="1" applyAlignment="1">
      <alignment horizontal="center" vertical="center"/>
    </xf>
    <xf numFmtId="0" fontId="8" fillId="0" borderId="0" xfId="0" applyFont="1" applyAlignment="1">
      <alignment vertical="center" wrapText="1"/>
    </xf>
    <xf numFmtId="0" fontId="7" fillId="0" borderId="0" xfId="0" applyFont="1" applyAlignment="1">
      <alignment vertical="center" wrapText="1"/>
    </xf>
    <xf numFmtId="1" fontId="6" fillId="0" borderId="1" xfId="0" applyNumberFormat="1" applyFont="1" applyBorder="1" applyAlignment="1">
      <alignment horizontal="center" vertical="center"/>
    </xf>
    <xf numFmtId="0" fontId="13" fillId="3" borderId="0" xfId="0" applyFont="1" applyFill="1" applyAlignment="1">
      <alignment vertical="center"/>
    </xf>
    <xf numFmtId="0" fontId="13" fillId="3" borderId="0" xfId="0" applyFont="1" applyFill="1" applyAlignment="1">
      <alignment horizontal="center" vertical="center"/>
    </xf>
    <xf numFmtId="0" fontId="13" fillId="3" borderId="0" xfId="0" applyFont="1" applyFill="1" applyAlignment="1">
      <alignment vertical="center" wrapText="1"/>
    </xf>
    <xf numFmtId="2" fontId="10" fillId="3" borderId="0" xfId="0" applyNumberFormat="1" applyFont="1" applyFill="1" applyAlignment="1">
      <alignment horizontal="center" vertical="center" wrapText="1"/>
    </xf>
    <xf numFmtId="1" fontId="8" fillId="3" borderId="0" xfId="0" applyNumberFormat="1" applyFont="1" applyFill="1" applyAlignment="1">
      <alignment horizontal="center" vertical="center" wrapText="1"/>
    </xf>
    <xf numFmtId="0" fontId="0" fillId="3" borderId="0" xfId="0" applyFill="1" applyAlignment="1">
      <alignment wrapText="1"/>
    </xf>
    <xf numFmtId="0" fontId="0" fillId="3" borderId="0" xfId="0" applyFill="1" applyAlignment="1">
      <alignment horizontal="center"/>
    </xf>
    <xf numFmtId="0" fontId="1" fillId="3" borderId="0" xfId="0" applyFont="1" applyFill="1"/>
    <xf numFmtId="0" fontId="16" fillId="3" borderId="0" xfId="0" applyFont="1" applyFill="1"/>
    <xf numFmtId="0" fontId="7" fillId="0" borderId="0" xfId="0" applyFont="1"/>
    <xf numFmtId="0" fontId="7" fillId="0" borderId="0" xfId="0" applyFont="1" applyAlignment="1">
      <alignment vertical="center"/>
    </xf>
    <xf numFmtId="1" fontId="6" fillId="0" borderId="0" xfId="0" applyNumberFormat="1" applyFont="1" applyAlignment="1">
      <alignment horizontal="center" vertical="center" wrapText="1"/>
    </xf>
    <xf numFmtId="0" fontId="17" fillId="0" borderId="0" xfId="0" applyFont="1"/>
    <xf numFmtId="0" fontId="18" fillId="7" borderId="1" xfId="0" applyFont="1" applyFill="1" applyBorder="1" applyAlignment="1">
      <alignment horizontal="center" vertical="center" wrapText="1"/>
    </xf>
    <xf numFmtId="0" fontId="3" fillId="3" borderId="0" xfId="0" applyFont="1" applyFill="1" applyAlignment="1">
      <alignment horizontal="left" vertical="center"/>
    </xf>
    <xf numFmtId="0" fontId="20" fillId="3" borderId="0" xfId="0" applyFont="1" applyFill="1" applyAlignment="1">
      <alignment vertical="center"/>
    </xf>
    <xf numFmtId="0" fontId="1" fillId="10" borderId="13" xfId="0" applyFont="1" applyFill="1" applyBorder="1" applyAlignment="1">
      <alignment horizontal="center" wrapText="1"/>
    </xf>
    <xf numFmtId="0" fontId="0" fillId="3" borderId="11" xfId="0" applyFill="1" applyBorder="1"/>
    <xf numFmtId="2" fontId="10" fillId="3" borderId="0" xfId="0" applyNumberFormat="1" applyFont="1" applyFill="1" applyAlignment="1">
      <alignment horizontal="center" vertical="center"/>
    </xf>
    <xf numFmtId="0" fontId="6" fillId="3" borderId="15" xfId="0" applyFont="1" applyFill="1" applyBorder="1" applyAlignment="1">
      <alignment horizontal="center" vertical="center"/>
    </xf>
    <xf numFmtId="0" fontId="10" fillId="3" borderId="0" xfId="0" applyFont="1" applyFill="1" applyAlignment="1">
      <alignment vertical="center" wrapText="1"/>
    </xf>
    <xf numFmtId="0" fontId="8" fillId="3" borderId="0" xfId="0" applyFont="1" applyFill="1" applyAlignment="1">
      <alignment vertical="center" wrapText="1"/>
    </xf>
    <xf numFmtId="0" fontId="6" fillId="3" borderId="0" xfId="0" applyFont="1" applyFill="1" applyAlignment="1">
      <alignment vertical="center" wrapText="1"/>
    </xf>
    <xf numFmtId="0" fontId="6" fillId="0" borderId="1" xfId="0" applyFont="1" applyBorder="1" applyAlignment="1">
      <alignment vertical="center" wrapText="1"/>
    </xf>
    <xf numFmtId="0" fontId="1" fillId="0" borderId="45" xfId="0" applyFont="1" applyBorder="1"/>
    <xf numFmtId="0" fontId="1" fillId="0" borderId="42" xfId="0" applyFont="1" applyBorder="1"/>
    <xf numFmtId="9" fontId="0" fillId="0" borderId="44" xfId="0" applyNumberFormat="1" applyBorder="1"/>
    <xf numFmtId="9" fontId="0" fillId="0" borderId="43" xfId="0" applyNumberFormat="1" applyBorder="1"/>
    <xf numFmtId="0" fontId="0" fillId="0" borderId="44" xfId="0" applyBorder="1"/>
    <xf numFmtId="0" fontId="0" fillId="0" borderId="43" xfId="0" applyBorder="1"/>
    <xf numFmtId="2" fontId="10" fillId="0" borderId="24" xfId="0" applyNumberFormat="1" applyFont="1" applyBorder="1" applyAlignment="1">
      <alignment horizontal="center" vertical="center"/>
    </xf>
    <xf numFmtId="0" fontId="7" fillId="2" borderId="25" xfId="0" applyFont="1" applyFill="1" applyBorder="1" applyAlignment="1">
      <alignment vertical="center" wrapText="1"/>
    </xf>
    <xf numFmtId="1" fontId="7" fillId="2" borderId="25" xfId="0" applyNumberFormat="1" applyFont="1" applyFill="1" applyBorder="1" applyAlignment="1">
      <alignment vertical="center" wrapText="1"/>
    </xf>
    <xf numFmtId="0" fontId="7" fillId="2" borderId="27" xfId="0" applyFont="1" applyFill="1" applyBorder="1" applyAlignment="1">
      <alignment vertical="center" wrapText="1"/>
    </xf>
    <xf numFmtId="0" fontId="7" fillId="2" borderId="26" xfId="0" applyFont="1" applyFill="1" applyBorder="1" applyAlignment="1">
      <alignment vertical="center" wrapText="1"/>
    </xf>
    <xf numFmtId="1" fontId="7" fillId="2" borderId="26" xfId="0" applyNumberFormat="1" applyFont="1" applyFill="1" applyBorder="1" applyAlignment="1">
      <alignment vertical="center" wrapText="1"/>
    </xf>
    <xf numFmtId="0" fontId="7" fillId="2" borderId="28" xfId="0" applyFont="1" applyFill="1" applyBorder="1" applyAlignment="1">
      <alignment vertical="center" wrapText="1"/>
    </xf>
    <xf numFmtId="0" fontId="23" fillId="0" borderId="0" xfId="0" applyFont="1" applyAlignment="1">
      <alignment vertical="center"/>
    </xf>
    <xf numFmtId="0" fontId="7" fillId="0" borderId="29" xfId="0" applyFont="1" applyBorder="1" applyAlignment="1">
      <alignment horizontal="center" vertical="center" wrapText="1"/>
    </xf>
    <xf numFmtId="0" fontId="0" fillId="12" borderId="1" xfId="0" applyFill="1" applyBorder="1" applyAlignment="1">
      <alignment horizontal="center" vertical="center"/>
    </xf>
    <xf numFmtId="0" fontId="8" fillId="3" borderId="0" xfId="0" applyFont="1" applyFill="1" applyAlignment="1">
      <alignment horizontal="center" vertical="center" wrapText="1"/>
    </xf>
    <xf numFmtId="0" fontId="0" fillId="5" borderId="1" xfId="0" applyFill="1" applyBorder="1" applyAlignment="1">
      <alignment vertical="center"/>
    </xf>
    <xf numFmtId="2" fontId="10" fillId="0" borderId="35" xfId="0" applyNumberFormat="1" applyFont="1" applyBorder="1" applyAlignment="1">
      <alignment horizontal="center" vertical="center"/>
    </xf>
    <xf numFmtId="165" fontId="10" fillId="3" borderId="0" xfId="0" applyNumberFormat="1" applyFont="1" applyFill="1" applyAlignment="1">
      <alignment horizontal="center" vertical="center"/>
    </xf>
    <xf numFmtId="2" fontId="10" fillId="0" borderId="33" xfId="0" applyNumberFormat="1" applyFont="1" applyBorder="1" applyAlignment="1">
      <alignment horizontal="center" vertical="center"/>
    </xf>
    <xf numFmtId="0" fontId="7" fillId="13" borderId="45" xfId="0" applyFont="1" applyFill="1" applyBorder="1" applyAlignment="1">
      <alignment horizontal="center" vertical="center"/>
    </xf>
    <xf numFmtId="0" fontId="7" fillId="13" borderId="53" xfId="0" applyFont="1" applyFill="1" applyBorder="1" applyAlignment="1">
      <alignment horizontal="center" vertical="center"/>
    </xf>
    <xf numFmtId="0" fontId="1" fillId="6" borderId="50" xfId="0" applyFont="1" applyFill="1" applyBorder="1" applyAlignment="1">
      <alignment horizontal="left" wrapText="1"/>
    </xf>
    <xf numFmtId="0" fontId="1" fillId="6" borderId="61" xfId="0" applyFont="1" applyFill="1" applyBorder="1" applyAlignment="1">
      <alignment horizontal="left" wrapText="1"/>
    </xf>
    <xf numFmtId="0" fontId="6" fillId="3" borderId="0" xfId="0" applyFont="1" applyFill="1" applyAlignment="1">
      <alignment vertical="center"/>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25" fillId="4" borderId="34" xfId="0" applyFont="1" applyFill="1" applyBorder="1" applyAlignment="1">
      <alignment horizontal="center" vertical="center" wrapText="1"/>
    </xf>
    <xf numFmtId="0" fontId="25" fillId="3" borderId="0" xfId="0" applyFont="1" applyFill="1" applyAlignment="1">
      <alignment horizontal="center" vertical="center" wrapText="1"/>
    </xf>
    <xf numFmtId="0" fontId="8" fillId="4" borderId="33" xfId="0" applyFont="1" applyFill="1" applyBorder="1" applyAlignment="1">
      <alignment horizontal="center" vertical="center" wrapText="1"/>
    </xf>
    <xf numFmtId="0" fontId="8" fillId="3" borderId="0" xfId="0" applyFont="1" applyFill="1" applyAlignment="1">
      <alignment horizontal="left" vertical="center"/>
    </xf>
    <xf numFmtId="0" fontId="10" fillId="3" borderId="0" xfId="0" applyFont="1" applyFill="1" applyAlignment="1">
      <alignment horizontal="left" vertical="center" wrapText="1"/>
    </xf>
    <xf numFmtId="0" fontId="25" fillId="3" borderId="0" xfId="0" applyFont="1" applyFill="1" applyAlignment="1">
      <alignment vertical="center"/>
    </xf>
    <xf numFmtId="0" fontId="7" fillId="3" borderId="0" xfId="0" applyFont="1" applyFill="1" applyAlignment="1">
      <alignment vertical="center"/>
    </xf>
    <xf numFmtId="0" fontId="8" fillId="3" borderId="0" xfId="0" applyFont="1" applyFill="1" applyAlignment="1">
      <alignment vertical="center"/>
    </xf>
    <xf numFmtId="0" fontId="6" fillId="13" borderId="53" xfId="0" applyFont="1" applyFill="1" applyBorder="1" applyAlignment="1">
      <alignment horizontal="left" vertical="center" wrapText="1"/>
    </xf>
    <xf numFmtId="0" fontId="28" fillId="3" borderId="0" xfId="0" applyFont="1" applyFill="1" applyAlignment="1">
      <alignment horizontal="center" vertical="center"/>
    </xf>
    <xf numFmtId="0" fontId="29" fillId="3" borderId="0" xfId="0" applyFont="1" applyFill="1" applyAlignment="1">
      <alignment vertical="center" wrapText="1"/>
    </xf>
    <xf numFmtId="0" fontId="29" fillId="3" borderId="0" xfId="0" applyFont="1" applyFill="1" applyAlignment="1">
      <alignment vertical="center"/>
    </xf>
    <xf numFmtId="0" fontId="28" fillId="3" borderId="0" xfId="0" applyFont="1" applyFill="1" applyAlignment="1">
      <alignment vertical="center" wrapText="1"/>
    </xf>
    <xf numFmtId="0" fontId="7" fillId="12" borderId="1" xfId="0" applyFont="1" applyFill="1" applyBorder="1" applyAlignment="1">
      <alignment vertical="center"/>
    </xf>
    <xf numFmtId="0" fontId="7" fillId="12" borderId="1" xfId="0" applyFont="1" applyFill="1" applyBorder="1" applyAlignment="1">
      <alignment horizontal="center" vertical="center"/>
    </xf>
    <xf numFmtId="11" fontId="6" fillId="3" borderId="1" xfId="0" applyNumberFormat="1" applyFont="1" applyFill="1" applyBorder="1" applyAlignment="1">
      <alignment horizontal="center" vertical="center"/>
    </xf>
    <xf numFmtId="0" fontId="19" fillId="0" borderId="0" xfId="0" applyFont="1" applyAlignment="1">
      <alignment horizontal="left" vertical="center" wrapText="1"/>
    </xf>
    <xf numFmtId="0" fontId="30" fillId="0" borderId="0" xfId="2"/>
    <xf numFmtId="0" fontId="7" fillId="12" borderId="1" xfId="0" applyFont="1" applyFill="1" applyBorder="1" applyAlignment="1">
      <alignment vertical="center" wrapText="1"/>
    </xf>
    <xf numFmtId="0" fontId="0" fillId="0" borderId="0" xfId="0" applyAlignment="1">
      <alignment wrapText="1"/>
    </xf>
    <xf numFmtId="0" fontId="0" fillId="12" borderId="1" xfId="0" applyFill="1" applyBorder="1" applyAlignment="1">
      <alignment horizontal="center" vertical="center" wrapText="1"/>
    </xf>
    <xf numFmtId="0" fontId="18" fillId="0" borderId="1" xfId="0" applyFont="1" applyBorder="1" applyAlignment="1">
      <alignment horizontal="center" vertical="center" wrapText="1"/>
    </xf>
    <xf numFmtId="167" fontId="10" fillId="3" borderId="0" xfId="0" applyNumberFormat="1" applyFont="1" applyFill="1" applyAlignment="1">
      <alignment horizontal="center" vertical="center"/>
    </xf>
    <xf numFmtId="0" fontId="21" fillId="3" borderId="0" xfId="0" applyFont="1" applyFill="1" applyAlignment="1">
      <alignment vertical="center" wrapText="1"/>
    </xf>
    <xf numFmtId="0" fontId="22" fillId="3" borderId="0" xfId="0" applyFont="1" applyFill="1" applyAlignment="1">
      <alignment horizontal="center" vertical="center" wrapText="1"/>
    </xf>
    <xf numFmtId="0" fontId="7" fillId="3" borderId="0" xfId="0" applyFont="1" applyFill="1" applyAlignment="1">
      <alignment horizontal="center" vertical="center" wrapText="1"/>
    </xf>
    <xf numFmtId="0" fontId="24" fillId="3" borderId="0" xfId="0" applyFont="1" applyFill="1" applyAlignment="1">
      <alignment vertical="center"/>
    </xf>
    <xf numFmtId="1" fontId="7" fillId="2" borderId="26" xfId="0" applyNumberFormat="1" applyFont="1" applyFill="1" applyBorder="1" applyAlignment="1">
      <alignment horizontal="center" vertical="center" wrapText="1"/>
    </xf>
    <xf numFmtId="0" fontId="7" fillId="2" borderId="28" xfId="0" applyFont="1" applyFill="1" applyBorder="1" applyAlignment="1">
      <alignment horizontal="center" vertical="center" wrapText="1"/>
    </xf>
    <xf numFmtId="0" fontId="0" fillId="3" borderId="19" xfId="0" applyFill="1" applyBorder="1" applyAlignment="1">
      <alignment horizontal="center"/>
    </xf>
    <xf numFmtId="0" fontId="0" fillId="3" borderId="20" xfId="0" applyFill="1" applyBorder="1"/>
    <xf numFmtId="0" fontId="0" fillId="3" borderId="1" xfId="0" applyFill="1" applyBorder="1" applyAlignment="1">
      <alignment horizontal="center"/>
    </xf>
    <xf numFmtId="0" fontId="0" fillId="3" borderId="21" xfId="0" applyFill="1" applyBorder="1" applyAlignment="1">
      <alignment horizontal="center"/>
    </xf>
    <xf numFmtId="0" fontId="0" fillId="3" borderId="15" xfId="0" applyFill="1" applyBorder="1" applyAlignment="1">
      <alignment horizontal="center"/>
    </xf>
    <xf numFmtId="0" fontId="0" fillId="3" borderId="22" xfId="0" applyFill="1" applyBorder="1"/>
    <xf numFmtId="0" fontId="6" fillId="0" borderId="19" xfId="0" applyFont="1" applyBorder="1" applyAlignment="1">
      <alignment horizontal="center" vertical="center"/>
    </xf>
    <xf numFmtId="0" fontId="31" fillId="0" borderId="0" xfId="2" applyFont="1" applyAlignment="1">
      <alignment vertical="center" wrapText="1"/>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8"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0" borderId="31" xfId="0" applyFont="1" applyBorder="1" applyAlignment="1">
      <alignment vertical="center" wrapText="1"/>
    </xf>
    <xf numFmtId="0" fontId="0" fillId="3" borderId="33" xfId="0" applyFill="1" applyBorder="1" applyAlignment="1">
      <alignment horizontal="center"/>
    </xf>
    <xf numFmtId="164" fontId="0" fillId="3" borderId="24" xfId="0" applyNumberFormat="1" applyFill="1" applyBorder="1" applyAlignment="1">
      <alignment horizontal="center"/>
    </xf>
    <xf numFmtId="0" fontId="0" fillId="3" borderId="29" xfId="0" applyFill="1" applyBorder="1"/>
    <xf numFmtId="0" fontId="1" fillId="6" borderId="64"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35" fillId="0" borderId="0" xfId="0" applyFont="1" applyAlignment="1">
      <alignment horizontal="left" vertical="center" wrapText="1"/>
    </xf>
    <xf numFmtId="0" fontId="36" fillId="0" borderId="0" xfId="0" applyFont="1" applyAlignment="1">
      <alignment vertical="top" wrapText="1"/>
    </xf>
    <xf numFmtId="0" fontId="37" fillId="0" borderId="0" xfId="0" quotePrefix="1" applyFont="1" applyAlignment="1" applyProtection="1">
      <alignment vertical="center"/>
      <protection hidden="1"/>
    </xf>
    <xf numFmtId="0" fontId="38" fillId="3" borderId="0" xfId="0" applyFont="1" applyFill="1"/>
    <xf numFmtId="0" fontId="39" fillId="3" borderId="0" xfId="0" applyFont="1" applyFill="1"/>
    <xf numFmtId="11" fontId="39" fillId="11" borderId="64" xfId="0" applyNumberFormat="1" applyFont="1" applyFill="1" applyBorder="1" applyAlignment="1">
      <alignment horizontal="center"/>
    </xf>
    <xf numFmtId="0" fontId="1" fillId="3" borderId="0" xfId="0" applyFont="1" applyFill="1" applyAlignment="1">
      <alignment wrapText="1"/>
    </xf>
    <xf numFmtId="0" fontId="40" fillId="17" borderId="62" xfId="0" applyFont="1" applyFill="1" applyBorder="1" applyAlignment="1">
      <alignment horizontal="center" vertical="center" wrapText="1"/>
    </xf>
    <xf numFmtId="0" fontId="39" fillId="3" borderId="64" xfId="0" applyFont="1" applyFill="1" applyBorder="1" applyAlignment="1">
      <alignment horizontal="center"/>
    </xf>
    <xf numFmtId="0" fontId="0" fillId="3" borderId="64" xfId="0" applyFill="1" applyBorder="1"/>
    <xf numFmtId="11" fontId="0" fillId="3" borderId="64" xfId="0" applyNumberFormat="1" applyFill="1" applyBorder="1" applyAlignment="1">
      <alignment horizontal="center"/>
    </xf>
    <xf numFmtId="0" fontId="0" fillId="3" borderId="0" xfId="0" quotePrefix="1" applyFill="1"/>
    <xf numFmtId="0" fontId="43" fillId="3" borderId="62" xfId="0" quotePrefix="1" applyFont="1" applyFill="1" applyBorder="1" applyAlignment="1">
      <alignment horizontal="center" vertical="center" wrapText="1"/>
    </xf>
    <xf numFmtId="0" fontId="39" fillId="3" borderId="0" xfId="0" applyFont="1" applyFill="1" applyAlignment="1">
      <alignment horizontal="center"/>
    </xf>
    <xf numFmtId="168" fontId="6" fillId="0" borderId="1" xfId="0" applyNumberFormat="1" applyFont="1" applyBorder="1" applyAlignment="1">
      <alignment horizontal="center" vertical="center"/>
    </xf>
    <xf numFmtId="0" fontId="8" fillId="5" borderId="1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6" fillId="3" borderId="24" xfId="0" applyFont="1" applyFill="1" applyBorder="1" applyAlignment="1">
      <alignment horizontal="center" vertical="center"/>
    </xf>
    <xf numFmtId="0" fontId="1" fillId="0" borderId="45" xfId="0" applyFont="1" applyBorder="1" applyAlignment="1">
      <alignment wrapText="1"/>
    </xf>
    <xf numFmtId="0" fontId="6" fillId="10" borderId="42" xfId="0" applyFont="1" applyFill="1" applyBorder="1" applyAlignment="1">
      <alignment vertical="center" wrapText="1"/>
    </xf>
    <xf numFmtId="0" fontId="6" fillId="10" borderId="44" xfId="0" applyFont="1" applyFill="1" applyBorder="1" applyAlignment="1">
      <alignment vertical="center" wrapText="1"/>
    </xf>
    <xf numFmtId="0" fontId="6" fillId="10" borderId="43" xfId="0" applyFont="1" applyFill="1" applyBorder="1" applyAlignment="1">
      <alignment vertical="center" wrapText="1"/>
    </xf>
    <xf numFmtId="0" fontId="31" fillId="0" borderId="64" xfId="2" applyFont="1" applyBorder="1" applyAlignment="1">
      <alignment vertical="center" wrapText="1"/>
    </xf>
    <xf numFmtId="17" fontId="34" fillId="0" borderId="0" xfId="0" quotePrefix="1" applyNumberFormat="1" applyFont="1" applyAlignment="1">
      <alignment horizontal="center"/>
    </xf>
    <xf numFmtId="9" fontId="44" fillId="0" borderId="0" xfId="1" applyFont="1" applyFill="1" applyBorder="1" applyAlignment="1">
      <alignment horizontal="center" vertical="center"/>
    </xf>
    <xf numFmtId="0" fontId="22" fillId="4" borderId="42" xfId="0" applyFont="1" applyFill="1" applyBorder="1" applyAlignment="1">
      <alignment horizontal="center" vertical="center" wrapText="1"/>
    </xf>
    <xf numFmtId="0" fontId="44" fillId="2" borderId="43" xfId="0" applyFont="1" applyFill="1" applyBorder="1" applyAlignment="1">
      <alignment horizontal="center" vertical="center" wrapText="1"/>
    </xf>
    <xf numFmtId="1" fontId="44" fillId="3" borderId="0" xfId="1" applyNumberFormat="1" applyFont="1" applyFill="1" applyBorder="1" applyAlignment="1">
      <alignment horizontal="center" vertical="center" wrapText="1"/>
    </xf>
    <xf numFmtId="0" fontId="44" fillId="3" borderId="0" xfId="0" applyFont="1" applyFill="1" applyAlignment="1">
      <alignment horizontal="center" vertical="center" wrapText="1"/>
    </xf>
    <xf numFmtId="0" fontId="21" fillId="4" borderId="45" xfId="0" applyFont="1" applyFill="1" applyBorder="1" applyAlignment="1">
      <alignment horizontal="center" vertical="center" wrapText="1"/>
    </xf>
    <xf numFmtId="0" fontId="6" fillId="0" borderId="21" xfId="0" applyFont="1" applyBorder="1" applyAlignment="1">
      <alignment horizontal="center" vertical="center"/>
    </xf>
    <xf numFmtId="0" fontId="18" fillId="7" borderId="15" xfId="0" applyFont="1" applyFill="1" applyBorder="1" applyAlignment="1">
      <alignment horizontal="center" vertical="center" wrapText="1"/>
    </xf>
    <xf numFmtId="2"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vertical="center" wrapText="1"/>
    </xf>
    <xf numFmtId="0" fontId="6" fillId="0" borderId="22" xfId="0" applyFont="1" applyBorder="1" applyAlignment="1">
      <alignment horizontal="center" vertical="center"/>
    </xf>
    <xf numFmtId="0" fontId="7" fillId="2" borderId="31" xfId="0" applyFont="1" applyFill="1" applyBorder="1" applyAlignment="1">
      <alignment horizontal="center" vertical="center" wrapText="1"/>
    </xf>
    <xf numFmtId="0" fontId="1" fillId="10" borderId="4" xfId="0" applyFont="1" applyFill="1" applyBorder="1" applyAlignment="1">
      <alignment horizontal="center" wrapText="1"/>
    </xf>
    <xf numFmtId="1" fontId="6" fillId="0" borderId="31" xfId="0" applyNumberFormat="1" applyFont="1" applyBorder="1" applyAlignment="1">
      <alignment horizontal="center" vertical="center"/>
    </xf>
    <xf numFmtId="0" fontId="1" fillId="3" borderId="79" xfId="0" applyFont="1" applyFill="1" applyBorder="1" applyAlignment="1">
      <alignment vertical="center"/>
    </xf>
    <xf numFmtId="0" fontId="14" fillId="3" borderId="80" xfId="0" applyFont="1" applyFill="1" applyBorder="1" applyAlignment="1">
      <alignment vertical="center"/>
    </xf>
    <xf numFmtId="11" fontId="0" fillId="9" borderId="9" xfId="0" quotePrefix="1" applyNumberFormat="1" applyFill="1" applyBorder="1" applyAlignment="1">
      <alignment horizontal="center"/>
    </xf>
    <xf numFmtId="0" fontId="1" fillId="3" borderId="11" xfId="0" applyFont="1" applyFill="1" applyBorder="1" applyAlignment="1">
      <alignment horizontal="center" wrapText="1"/>
    </xf>
    <xf numFmtId="0" fontId="1" fillId="3" borderId="13" xfId="0" applyFont="1" applyFill="1" applyBorder="1" applyAlignment="1">
      <alignment horizontal="center" wrapText="1"/>
    </xf>
    <xf numFmtId="0" fontId="0" fillId="3" borderId="5" xfId="0" applyFill="1" applyBorder="1"/>
    <xf numFmtId="166" fontId="0" fillId="3" borderId="7" xfId="0" applyNumberFormat="1" applyFill="1" applyBorder="1"/>
    <xf numFmtId="0" fontId="0" fillId="3" borderId="7" xfId="0" applyFill="1" applyBorder="1" applyAlignment="1">
      <alignment wrapText="1"/>
    </xf>
    <xf numFmtId="0" fontId="0" fillId="3" borderId="6" xfId="0" applyFill="1" applyBorder="1"/>
    <xf numFmtId="0" fontId="0" fillId="3" borderId="9" xfId="0" applyFill="1" applyBorder="1"/>
    <xf numFmtId="0" fontId="6" fillId="13" borderId="49" xfId="0" applyFont="1" applyFill="1" applyBorder="1" applyAlignment="1">
      <alignment horizontal="left" vertical="center" wrapText="1"/>
    </xf>
    <xf numFmtId="2" fontId="10" fillId="0" borderId="37" xfId="0" applyNumberFormat="1" applyFont="1" applyBorder="1" applyAlignment="1">
      <alignment horizontal="center" vertical="center"/>
    </xf>
    <xf numFmtId="1" fontId="10" fillId="0" borderId="24" xfId="0" applyNumberFormat="1" applyFont="1" applyBorder="1" applyAlignment="1">
      <alignment horizontal="center" vertical="center"/>
    </xf>
    <xf numFmtId="1" fontId="10" fillId="0" borderId="29" xfId="0" applyNumberFormat="1" applyFont="1" applyBorder="1" applyAlignment="1">
      <alignment horizontal="center" vertical="center"/>
    </xf>
    <xf numFmtId="1" fontId="10" fillId="0" borderId="35" xfId="0" applyNumberFormat="1" applyFont="1" applyBorder="1" applyAlignment="1">
      <alignment horizontal="center" vertical="center"/>
    </xf>
    <xf numFmtId="1" fontId="10" fillId="0" borderId="40" xfId="0" applyNumberFormat="1" applyFont="1" applyBorder="1" applyAlignment="1">
      <alignment horizontal="center" vertical="center"/>
    </xf>
    <xf numFmtId="0" fontId="0" fillId="0" borderId="42" xfId="0" applyBorder="1"/>
    <xf numFmtId="0" fontId="0" fillId="3" borderId="0" xfId="0" applyFill="1" applyAlignment="1">
      <alignment vertical="center" wrapText="1"/>
    </xf>
    <xf numFmtId="0" fontId="17" fillId="3" borderId="0" xfId="0" applyFont="1" applyFill="1" applyAlignment="1">
      <alignment vertical="center" wrapText="1"/>
    </xf>
    <xf numFmtId="0" fontId="17" fillId="3" borderId="0" xfId="0" applyFont="1" applyFill="1" applyAlignment="1">
      <alignment vertical="center"/>
    </xf>
    <xf numFmtId="0" fontId="46" fillId="3" borderId="0" xfId="0" applyFont="1" applyFill="1" applyAlignment="1">
      <alignment vertical="center"/>
    </xf>
    <xf numFmtId="0" fontId="47" fillId="3" borderId="0" xfId="0" applyFont="1" applyFill="1"/>
    <xf numFmtId="0" fontId="39" fillId="3" borderId="49" xfId="0" applyFont="1" applyFill="1" applyBorder="1" applyAlignment="1">
      <alignment horizontal="center"/>
    </xf>
    <xf numFmtId="0" fontId="39" fillId="3" borderId="45" xfId="0" applyFont="1" applyFill="1" applyBorder="1" applyAlignment="1">
      <alignment horizontal="center"/>
    </xf>
    <xf numFmtId="0" fontId="39" fillId="3" borderId="81" xfId="0" applyFont="1" applyFill="1" applyBorder="1" applyAlignment="1">
      <alignment horizontal="center"/>
    </xf>
    <xf numFmtId="0" fontId="39" fillId="3" borderId="63" xfId="0" applyFont="1" applyFill="1" applyBorder="1" applyAlignment="1">
      <alignment horizontal="center"/>
    </xf>
    <xf numFmtId="164" fontId="31" fillId="0" borderId="48" xfId="2" applyNumberFormat="1" applyFont="1" applyBorder="1" applyAlignment="1">
      <alignment horizontal="center" vertical="center" wrapText="1"/>
    </xf>
    <xf numFmtId="0" fontId="16" fillId="3" borderId="80" xfId="0" applyFont="1" applyFill="1" applyBorder="1" applyAlignment="1">
      <alignment wrapText="1"/>
    </xf>
    <xf numFmtId="0" fontId="49" fillId="0" borderId="0" xfId="0" applyFont="1" applyAlignment="1">
      <alignment vertical="center"/>
    </xf>
    <xf numFmtId="0" fontId="1" fillId="2" borderId="83" xfId="0" applyFont="1" applyFill="1" applyBorder="1" applyAlignment="1">
      <alignment horizontal="center"/>
    </xf>
    <xf numFmtId="0" fontId="1" fillId="2" borderId="1" xfId="0" applyFont="1" applyFill="1" applyBorder="1" applyAlignment="1">
      <alignment wrapText="1"/>
    </xf>
    <xf numFmtId="0" fontId="1" fillId="2" borderId="31" xfId="0" applyFont="1" applyFill="1" applyBorder="1" applyAlignment="1">
      <alignment horizontal="center"/>
    </xf>
    <xf numFmtId="166" fontId="6" fillId="8" borderId="1" xfId="0" applyNumberFormat="1" applyFont="1" applyFill="1" applyBorder="1" applyAlignment="1">
      <alignment horizontal="center" vertical="center"/>
    </xf>
    <xf numFmtId="166" fontId="6" fillId="8" borderId="15" xfId="0" applyNumberFormat="1" applyFont="1" applyFill="1" applyBorder="1" applyAlignment="1">
      <alignment horizontal="center" vertical="center"/>
    </xf>
    <xf numFmtId="0" fontId="39" fillId="18" borderId="64" xfId="0" applyFont="1" applyFill="1" applyBorder="1" applyAlignment="1">
      <alignment horizontal="center"/>
    </xf>
    <xf numFmtId="11" fontId="42" fillId="3" borderId="52" xfId="0" applyNumberFormat="1" applyFont="1" applyFill="1" applyBorder="1" applyAlignment="1">
      <alignment horizontal="center" vertical="center" wrapText="1"/>
    </xf>
    <xf numFmtId="11" fontId="42" fillId="3" borderId="36" xfId="0" applyNumberFormat="1" applyFont="1" applyFill="1" applyBorder="1" applyAlignment="1">
      <alignment horizontal="center" vertical="center" wrapText="1"/>
    </xf>
    <xf numFmtId="0" fontId="39" fillId="18" borderId="45" xfId="0" applyFont="1" applyFill="1" applyBorder="1" applyAlignment="1">
      <alignment horizontal="center"/>
    </xf>
    <xf numFmtId="0" fontId="39" fillId="18" borderId="81" xfId="0" applyFont="1" applyFill="1" applyBorder="1" applyAlignment="1">
      <alignment horizontal="center"/>
    </xf>
    <xf numFmtId="11" fontId="42" fillId="3" borderId="82" xfId="0" applyNumberFormat="1" applyFont="1" applyFill="1" applyBorder="1" applyAlignment="1">
      <alignment horizontal="center" vertical="center" wrapText="1"/>
    </xf>
    <xf numFmtId="0" fontId="39" fillId="18" borderId="63" xfId="0" applyFont="1" applyFill="1" applyBorder="1" applyAlignment="1">
      <alignment horizontal="center"/>
    </xf>
    <xf numFmtId="0" fontId="42" fillId="3" borderId="63" xfId="0" applyFont="1" applyFill="1" applyBorder="1" applyAlignment="1">
      <alignment horizontal="center" vertical="center" wrapText="1"/>
    </xf>
    <xf numFmtId="0" fontId="39" fillId="18" borderId="49" xfId="0" applyFont="1" applyFill="1" applyBorder="1" applyAlignment="1">
      <alignment horizontal="center"/>
    </xf>
    <xf numFmtId="0" fontId="6" fillId="0" borderId="1" xfId="2" applyFont="1" applyBorder="1"/>
    <xf numFmtId="3" fontId="6" fillId="0" borderId="1" xfId="2" applyNumberFormat="1" applyFont="1" applyBorder="1"/>
    <xf numFmtId="0" fontId="50" fillId="0" borderId="64" xfId="2" applyFont="1" applyBorder="1" applyAlignment="1">
      <alignment vertical="center" wrapText="1"/>
    </xf>
    <xf numFmtId="0" fontId="7" fillId="0" borderId="16" xfId="2" applyFont="1" applyBorder="1" applyAlignment="1">
      <alignment horizontal="center"/>
    </xf>
    <xf numFmtId="0" fontId="7" fillId="0" borderId="14" xfId="2" applyFont="1" applyBorder="1" applyAlignment="1">
      <alignment horizontal="center"/>
    </xf>
    <xf numFmtId="0" fontId="7" fillId="0" borderId="18" xfId="2" applyFont="1" applyBorder="1" applyAlignment="1">
      <alignment horizontal="center"/>
    </xf>
    <xf numFmtId="0" fontId="6" fillId="0" borderId="19" xfId="2" applyFont="1" applyBorder="1"/>
    <xf numFmtId="0" fontId="6" fillId="0" borderId="20" xfId="2" applyFont="1" applyBorder="1"/>
    <xf numFmtId="0" fontId="6" fillId="0" borderId="21" xfId="2" applyFont="1" applyBorder="1"/>
    <xf numFmtId="0" fontId="6" fillId="0" borderId="15" xfId="2" applyFont="1" applyBorder="1"/>
    <xf numFmtId="3" fontId="6" fillId="0" borderId="15" xfId="2" applyNumberFormat="1" applyFont="1" applyBorder="1"/>
    <xf numFmtId="0" fontId="6" fillId="0" borderId="22" xfId="2" applyFont="1" applyBorder="1"/>
    <xf numFmtId="0" fontId="0" fillId="0" borderId="1" xfId="0" applyBorder="1" applyAlignment="1">
      <alignment horizontal="center" vertical="center"/>
    </xf>
    <xf numFmtId="0" fontId="51" fillId="0" borderId="1" xfId="0" applyFont="1" applyBorder="1" applyAlignment="1">
      <alignment vertical="center" wrapText="1"/>
    </xf>
    <xf numFmtId="0" fontId="0" fillId="0" borderId="83" xfId="0" applyBorder="1" applyAlignment="1">
      <alignment vertical="center" wrapText="1"/>
    </xf>
    <xf numFmtId="0" fontId="6" fillId="0" borderId="0" xfId="0" applyFont="1" applyAlignment="1">
      <alignment horizontal="center" wrapText="1"/>
    </xf>
    <xf numFmtId="0" fontId="6" fillId="8" borderId="15" xfId="0" applyFont="1" applyFill="1" applyBorder="1" applyAlignment="1">
      <alignment horizontal="center" vertical="center"/>
    </xf>
    <xf numFmtId="0" fontId="0" fillId="0" borderId="8" xfId="0" applyBorder="1" applyAlignment="1">
      <alignment horizontal="left"/>
    </xf>
    <xf numFmtId="0" fontId="0" fillId="0" borderId="8" xfId="0" applyBorder="1" applyAlignment="1">
      <alignment horizontal="center"/>
    </xf>
    <xf numFmtId="11"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wrapText="1"/>
    </xf>
    <xf numFmtId="0" fontId="1" fillId="10" borderId="84" xfId="0" applyFont="1" applyFill="1" applyBorder="1" applyAlignment="1">
      <alignment horizontal="center" wrapText="1"/>
    </xf>
    <xf numFmtId="0" fontId="0" fillId="3" borderId="85" xfId="0" applyFill="1" applyBorder="1" applyAlignment="1">
      <alignment horizontal="left"/>
    </xf>
    <xf numFmtId="3" fontId="8" fillId="0" borderId="1" xfId="0" applyNumberFormat="1" applyFont="1" applyBorder="1" applyAlignment="1">
      <alignment horizontal="center" vertical="center"/>
    </xf>
    <xf numFmtId="165" fontId="10"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vertical="center"/>
    </xf>
    <xf numFmtId="2" fontId="10"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6" fillId="3" borderId="1" xfId="0" applyFont="1" applyFill="1" applyBorder="1" applyAlignment="1">
      <alignment horizontal="center" vertical="center"/>
    </xf>
    <xf numFmtId="2" fontId="10" fillId="3"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167" fontId="10" fillId="3" borderId="1" xfId="0" applyNumberFormat="1" applyFont="1" applyFill="1" applyBorder="1" applyAlignment="1">
      <alignment horizontal="center" vertical="center"/>
    </xf>
    <xf numFmtId="2" fontId="6" fillId="0" borderId="1" xfId="0" quotePrefix="1" applyNumberFormat="1" applyFont="1" applyBorder="1" applyAlignment="1">
      <alignment horizontal="center" vertical="center"/>
    </xf>
    <xf numFmtId="1" fontId="6" fillId="0" borderId="1" xfId="0" quotePrefix="1" applyNumberFormat="1" applyFont="1" applyBorder="1" applyAlignment="1">
      <alignment horizontal="center" vertical="center"/>
    </xf>
    <xf numFmtId="0" fontId="7" fillId="0" borderId="1" xfId="0" quotePrefix="1" applyFont="1" applyBorder="1" applyAlignment="1">
      <alignment horizontal="center" vertical="center" wrapText="1"/>
    </xf>
    <xf numFmtId="0" fontId="0" fillId="3" borderId="20"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39" fillId="11" borderId="64" xfId="0" applyFont="1" applyFill="1" applyBorder="1" applyAlignment="1">
      <alignment horizontal="center"/>
    </xf>
    <xf numFmtId="0" fontId="42" fillId="3" borderId="48" xfId="0" applyFont="1" applyFill="1" applyBorder="1" applyAlignment="1">
      <alignment horizontal="center" vertical="center" wrapText="1"/>
    </xf>
    <xf numFmtId="0" fontId="43" fillId="3" borderId="48" xfId="0" quotePrefix="1" applyFont="1" applyFill="1" applyBorder="1" applyAlignment="1">
      <alignment horizontal="center" vertical="center" wrapText="1"/>
    </xf>
    <xf numFmtId="0" fontId="43" fillId="3" borderId="86" xfId="0" quotePrefix="1" applyFont="1" applyFill="1" applyBorder="1" applyAlignment="1">
      <alignment horizontal="center" vertical="center" wrapText="1"/>
    </xf>
    <xf numFmtId="0" fontId="43" fillId="3" borderId="77" xfId="0" quotePrefix="1" applyFont="1" applyFill="1" applyBorder="1" applyAlignment="1">
      <alignment horizontal="center" vertical="center" wrapText="1"/>
    </xf>
    <xf numFmtId="0" fontId="7" fillId="0" borderId="22" xfId="0" quotePrefix="1" applyFont="1" applyBorder="1" applyAlignment="1">
      <alignment horizontal="center" vertical="center" wrapText="1"/>
    </xf>
    <xf numFmtId="0" fontId="0" fillId="3" borderId="7" xfId="0" applyFill="1" applyBorder="1"/>
    <xf numFmtId="11" fontId="6" fillId="0" borderId="1" xfId="2" applyNumberFormat="1" applyFont="1" applyBorder="1"/>
    <xf numFmtId="2" fontId="6" fillId="0" borderId="1" xfId="0" applyNumberFormat="1" applyFont="1" applyFill="1" applyBorder="1" applyAlignment="1">
      <alignment horizontal="center" vertical="center"/>
    </xf>
    <xf numFmtId="0" fontId="14" fillId="3" borderId="0" xfId="0" applyFont="1" applyFill="1" applyAlignment="1">
      <alignment horizontal="left"/>
    </xf>
    <xf numFmtId="0" fontId="16" fillId="3" borderId="0" xfId="0" applyFont="1" applyFill="1" applyAlignment="1">
      <alignment horizontal="left"/>
    </xf>
    <xf numFmtId="0" fontId="0" fillId="3" borderId="85" xfId="0" applyFont="1" applyFill="1" applyBorder="1" applyAlignment="1">
      <alignment horizontal="left"/>
    </xf>
    <xf numFmtId="0" fontId="53" fillId="0" borderId="0" xfId="0" applyFont="1" applyAlignment="1">
      <alignment horizontal="left"/>
    </xf>
    <xf numFmtId="0" fontId="54" fillId="14" borderId="31" xfId="0" applyFont="1" applyFill="1" applyBorder="1" applyAlignment="1">
      <alignment vertical="center"/>
    </xf>
    <xf numFmtId="0" fontId="55" fillId="14" borderId="31" xfId="0" applyFont="1" applyFill="1" applyBorder="1" applyAlignment="1">
      <alignment vertical="center"/>
    </xf>
    <xf numFmtId="0" fontId="54" fillId="15" borderId="72" xfId="0" applyFont="1" applyFill="1" applyBorder="1" applyAlignment="1">
      <alignment horizontal="center" vertical="center"/>
    </xf>
    <xf numFmtId="0" fontId="54" fillId="15" borderId="73" xfId="0" applyFont="1" applyFill="1" applyBorder="1" applyAlignment="1">
      <alignment horizontal="center" vertical="center"/>
    </xf>
    <xf numFmtId="0" fontId="54" fillId="16" borderId="72" xfId="0" applyFont="1" applyFill="1" applyBorder="1" applyAlignment="1">
      <alignment vertical="center"/>
    </xf>
    <xf numFmtId="0" fontId="55" fillId="0" borderId="73" xfId="0" applyFont="1" applyBorder="1" applyAlignment="1">
      <alignment vertical="center" wrapText="1"/>
    </xf>
    <xf numFmtId="0" fontId="54" fillId="16" borderId="72" xfId="0" applyFont="1" applyFill="1" applyBorder="1" applyAlignment="1">
      <alignment horizontal="left" vertical="center"/>
    </xf>
    <xf numFmtId="0" fontId="54" fillId="16" borderId="74" xfId="0" applyFont="1" applyFill="1" applyBorder="1" applyAlignment="1">
      <alignment horizontal="left" vertical="center" wrapText="1"/>
    </xf>
    <xf numFmtId="0" fontId="55" fillId="0" borderId="75" xfId="0" applyFont="1" applyBorder="1" applyAlignment="1">
      <alignment vertical="center" wrapText="1"/>
    </xf>
    <xf numFmtId="0" fontId="57" fillId="0" borderId="73" xfId="0" applyFont="1" applyBorder="1" applyAlignment="1">
      <alignment vertical="center" wrapText="1"/>
    </xf>
    <xf numFmtId="0" fontId="0" fillId="0" borderId="1" xfId="0" applyBorder="1" applyAlignment="1">
      <alignment horizontal="left" vertical="center" wrapText="1"/>
    </xf>
    <xf numFmtId="0" fontId="0" fillId="0" borderId="83" xfId="0" applyBorder="1" applyAlignment="1">
      <alignment horizontal="left" vertical="center" wrapText="1"/>
    </xf>
    <xf numFmtId="0" fontId="51" fillId="0" borderId="1" xfId="0" applyFont="1" applyBorder="1" applyAlignment="1">
      <alignment horizontal="left" vertical="center" wrapText="1"/>
    </xf>
    <xf numFmtId="11" fontId="0" fillId="3" borderId="1" xfId="0" applyNumberFormat="1" applyFill="1" applyBorder="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8" fillId="5" borderId="1" xfId="0" applyFont="1" applyFill="1" applyBorder="1" applyAlignment="1">
      <alignment horizontal="center" vertical="center" wrapText="1"/>
    </xf>
    <xf numFmtId="0" fontId="42" fillId="3" borderId="49" xfId="0" applyFont="1" applyFill="1" applyBorder="1" applyAlignment="1">
      <alignment horizontal="center" vertical="center" wrapText="1"/>
    </xf>
    <xf numFmtId="0" fontId="42" fillId="3" borderId="62" xfId="0" applyFont="1" applyFill="1" applyBorder="1" applyAlignment="1">
      <alignment horizontal="center" vertical="center" wrapText="1"/>
    </xf>
    <xf numFmtId="0" fontId="40" fillId="17" borderId="45" xfId="0" applyFont="1" applyFill="1" applyBorder="1" applyAlignment="1">
      <alignment horizontal="center" vertical="center" wrapText="1"/>
    </xf>
    <xf numFmtId="0" fontId="42" fillId="3" borderId="76" xfId="0" applyFont="1" applyFill="1" applyBorder="1" applyAlignment="1">
      <alignment horizontal="center" vertical="center" wrapText="1"/>
    </xf>
    <xf numFmtId="0" fontId="42" fillId="3" borderId="77" xfId="0" applyFont="1" applyFill="1" applyBorder="1" applyAlignment="1">
      <alignment horizontal="center" vertical="center" wrapText="1"/>
    </xf>
    <xf numFmtId="0" fontId="40" fillId="17" borderId="64"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1" fillId="3" borderId="3" xfId="0" applyFont="1" applyFill="1" applyBorder="1" applyAlignment="1">
      <alignment horizontal="center"/>
    </xf>
    <xf numFmtId="0" fontId="1" fillId="3" borderId="12" xfId="0" applyFont="1" applyFill="1" applyBorder="1" applyAlignment="1">
      <alignment horizontal="center"/>
    </xf>
    <xf numFmtId="0" fontId="1" fillId="3" borderId="12" xfId="0" applyFont="1" applyFill="1" applyBorder="1" applyAlignment="1">
      <alignment horizontal="center" wrapText="1"/>
    </xf>
    <xf numFmtId="0" fontId="7" fillId="2" borderId="26" xfId="0" applyFont="1" applyFill="1" applyBorder="1" applyAlignment="1">
      <alignment horizontal="center" vertical="center" wrapText="1"/>
    </xf>
    <xf numFmtId="0" fontId="0" fillId="3" borderId="0" xfId="0" applyFill="1" applyAlignment="1">
      <alignment horizontal="left" vertical="top" wrapText="1"/>
    </xf>
    <xf numFmtId="0" fontId="54" fillId="0" borderId="0" xfId="0" applyFont="1" applyAlignment="1">
      <alignment horizontal="center"/>
    </xf>
    <xf numFmtId="0" fontId="54" fillId="0" borderId="0" xfId="0" applyFont="1" applyAlignment="1">
      <alignment horizontal="center" vertical="center"/>
    </xf>
    <xf numFmtId="0" fontId="56" fillId="0" borderId="68" xfId="0" applyFont="1" applyBorder="1" applyAlignment="1">
      <alignment horizontal="center" vertical="center" wrapText="1"/>
    </xf>
    <xf numFmtId="0" fontId="56" fillId="0" borderId="69" xfId="0" applyFont="1" applyBorder="1" applyAlignment="1">
      <alignment horizontal="center" vertical="center" wrapText="1"/>
    </xf>
    <xf numFmtId="0" fontId="56" fillId="0" borderId="70" xfId="0" applyFont="1" applyBorder="1" applyAlignment="1">
      <alignment horizontal="center" vertical="center" wrapText="1"/>
    </xf>
    <xf numFmtId="0" fontId="56" fillId="0" borderId="71"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0" fillId="0" borderId="1" xfId="0" applyBorder="1" applyAlignment="1">
      <alignment horizontal="left" vertical="center" wrapText="1"/>
    </xf>
    <xf numFmtId="0" fontId="0" fillId="0" borderId="83" xfId="0" applyBorder="1" applyAlignment="1">
      <alignment horizontal="left" vertical="center" wrapText="1"/>
    </xf>
    <xf numFmtId="0" fontId="51"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11" fontId="0" fillId="3" borderId="1" xfId="0" applyNumberFormat="1" applyFill="1" applyBorder="1" applyAlignment="1">
      <alignment horizontal="center" vertical="center"/>
    </xf>
    <xf numFmtId="0" fontId="8" fillId="5"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2" fontId="0" fillId="3" borderId="1" xfId="0" applyNumberFormat="1" applyFill="1" applyBorder="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44" fillId="2" borderId="65" xfId="0" applyFont="1" applyFill="1" applyBorder="1" applyAlignment="1">
      <alignment horizontal="center" vertical="center" wrapText="1"/>
    </xf>
    <xf numFmtId="0" fontId="44" fillId="2" borderId="62" xfId="0" applyFont="1" applyFill="1" applyBorder="1" applyAlignment="1">
      <alignment horizontal="center" vertical="center" wrapText="1"/>
    </xf>
    <xf numFmtId="0" fontId="22" fillId="4" borderId="47" xfId="0" applyFont="1" applyFill="1" applyBorder="1" applyAlignment="1">
      <alignment horizontal="center" vertical="center" wrapText="1"/>
    </xf>
    <xf numFmtId="0" fontId="22" fillId="4" borderId="48"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21" fillId="4" borderId="52" xfId="0" applyFont="1" applyFill="1" applyBorder="1" applyAlignment="1">
      <alignment horizontal="center" vertical="center" wrapText="1"/>
    </xf>
    <xf numFmtId="11" fontId="43" fillId="3" borderId="45" xfId="0" quotePrefix="1" applyNumberFormat="1" applyFont="1" applyFill="1" applyBorder="1" applyAlignment="1">
      <alignment horizontal="center" vertical="center" wrapText="1"/>
    </xf>
    <xf numFmtId="11" fontId="43" fillId="3" borderId="49" xfId="0" applyNumberFormat="1" applyFont="1" applyFill="1" applyBorder="1" applyAlignment="1">
      <alignment horizontal="center" vertical="center" wrapText="1"/>
    </xf>
    <xf numFmtId="11" fontId="43" fillId="3" borderId="53" xfId="0" quotePrefix="1" applyNumberFormat="1" applyFont="1" applyFill="1" applyBorder="1" applyAlignment="1">
      <alignment horizontal="center" vertical="center" wrapText="1"/>
    </xf>
    <xf numFmtId="11" fontId="43" fillId="3" borderId="76" xfId="0" applyNumberFormat="1" applyFont="1" applyFill="1" applyBorder="1" applyAlignment="1">
      <alignment horizontal="center" vertical="center" wrapText="1"/>
    </xf>
    <xf numFmtId="0" fontId="38" fillId="18" borderId="64" xfId="0" applyFont="1" applyFill="1" applyBorder="1" applyAlignment="1">
      <alignment horizontal="center"/>
    </xf>
    <xf numFmtId="0" fontId="40" fillId="17" borderId="64" xfId="0" applyFont="1" applyFill="1" applyBorder="1" applyAlignment="1">
      <alignment horizontal="center" vertical="center" wrapText="1"/>
    </xf>
    <xf numFmtId="0" fontId="40" fillId="17" borderId="47" xfId="0" applyFont="1" applyFill="1" applyBorder="1" applyAlignment="1">
      <alignment horizontal="center" vertical="center" wrapText="1"/>
    </xf>
    <xf numFmtId="0" fontId="40" fillId="17" borderId="48" xfId="0" applyFont="1" applyFill="1" applyBorder="1" applyAlignment="1">
      <alignment horizontal="center" vertical="center" wrapText="1"/>
    </xf>
    <xf numFmtId="0" fontId="38" fillId="3" borderId="64" xfId="0" applyFont="1" applyFill="1" applyBorder="1" applyAlignment="1">
      <alignment horizontal="center"/>
    </xf>
    <xf numFmtId="0" fontId="42" fillId="3" borderId="45" xfId="0" applyFont="1" applyFill="1" applyBorder="1" applyAlignment="1">
      <alignment horizontal="center" vertical="center" wrapText="1"/>
    </xf>
    <xf numFmtId="0" fontId="42" fillId="3" borderId="53" xfId="0" applyFont="1" applyFill="1" applyBorder="1" applyAlignment="1">
      <alignment horizontal="center" vertical="center" wrapText="1"/>
    </xf>
    <xf numFmtId="0" fontId="42" fillId="3" borderId="49" xfId="0" applyFont="1" applyFill="1" applyBorder="1" applyAlignment="1">
      <alignment horizontal="center" vertical="center" wrapText="1"/>
    </xf>
    <xf numFmtId="0" fontId="42" fillId="3" borderId="52" xfId="0" applyFont="1" applyFill="1" applyBorder="1" applyAlignment="1">
      <alignment horizontal="center" vertical="center" wrapText="1"/>
    </xf>
    <xf numFmtId="0" fontId="42" fillId="3" borderId="62" xfId="0" applyFont="1" applyFill="1" applyBorder="1" applyAlignment="1">
      <alignment horizontal="center" vertical="center" wrapText="1"/>
    </xf>
    <xf numFmtId="0" fontId="42" fillId="3" borderId="76" xfId="0" applyFont="1" applyFill="1" applyBorder="1" applyAlignment="1">
      <alignment horizontal="center" vertical="center" wrapText="1"/>
    </xf>
    <xf numFmtId="0" fontId="42" fillId="3" borderId="53" xfId="0" applyFont="1" applyFill="1" applyBorder="1" applyAlignment="1">
      <alignment horizontal="center" vertical="top" wrapText="1"/>
    </xf>
    <xf numFmtId="0" fontId="42" fillId="3" borderId="36" xfId="0" applyFont="1" applyFill="1" applyBorder="1" applyAlignment="1">
      <alignment horizontal="center" vertical="center" wrapText="1"/>
    </xf>
    <xf numFmtId="0" fontId="42" fillId="3" borderId="49" xfId="0" applyFont="1" applyFill="1" applyBorder="1" applyAlignment="1">
      <alignment horizontal="center" vertical="top" wrapText="1"/>
    </xf>
    <xf numFmtId="0" fontId="42" fillId="3" borderId="78" xfId="0" applyFont="1" applyFill="1" applyBorder="1" applyAlignment="1">
      <alignment horizontal="center" vertical="top" wrapText="1"/>
    </xf>
    <xf numFmtId="0" fontId="42" fillId="3" borderId="76" xfId="0" applyFont="1" applyFill="1" applyBorder="1" applyAlignment="1">
      <alignment horizontal="center" vertical="top" wrapText="1"/>
    </xf>
    <xf numFmtId="0" fontId="42" fillId="3" borderId="78" xfId="0" applyFont="1" applyFill="1" applyBorder="1" applyAlignment="1">
      <alignment horizontal="center" vertical="center" wrapText="1"/>
    </xf>
    <xf numFmtId="0" fontId="42" fillId="3" borderId="77" xfId="0" applyFont="1" applyFill="1" applyBorder="1" applyAlignment="1">
      <alignment horizontal="center" vertical="center" wrapText="1"/>
    </xf>
    <xf numFmtId="0" fontId="42" fillId="3" borderId="45" xfId="0" applyFont="1" applyFill="1" applyBorder="1" applyAlignment="1">
      <alignment horizontal="center" vertical="top" wrapText="1"/>
    </xf>
    <xf numFmtId="0" fontId="17" fillId="3" borderId="0" xfId="0" applyFont="1" applyFill="1" applyAlignment="1">
      <alignment horizontal="center"/>
    </xf>
    <xf numFmtId="0" fontId="38" fillId="10" borderId="45" xfId="0" applyFont="1" applyFill="1" applyBorder="1" applyAlignment="1">
      <alignment horizontal="center" vertical="center" wrapText="1"/>
    </xf>
    <xf numFmtId="0" fontId="38" fillId="10" borderId="49" xfId="0" applyFont="1" applyFill="1" applyBorder="1" applyAlignment="1">
      <alignment horizontal="center" vertical="center" wrapText="1"/>
    </xf>
    <xf numFmtId="0" fontId="40" fillId="17" borderId="45" xfId="0" applyFont="1" applyFill="1" applyBorder="1" applyAlignment="1">
      <alignment horizontal="center" vertical="center" wrapText="1"/>
    </xf>
    <xf numFmtId="0" fontId="40" fillId="17" borderId="49" xfId="0" applyFont="1" applyFill="1" applyBorder="1" applyAlignment="1">
      <alignment horizontal="center" vertical="center" wrapText="1"/>
    </xf>
    <xf numFmtId="0" fontId="48" fillId="0" borderId="87" xfId="0" applyFont="1" applyBorder="1" applyAlignment="1">
      <alignment horizontal="left" vertical="center" wrapText="1"/>
    </xf>
    <xf numFmtId="0" fontId="0" fillId="0" borderId="52" xfId="0" applyBorder="1" applyAlignment="1">
      <alignment horizontal="left" vertical="center" wrapText="1"/>
    </xf>
    <xf numFmtId="0" fontId="48" fillId="0" borderId="88" xfId="0" applyFont="1" applyBorder="1" applyAlignment="1">
      <alignment horizontal="left" vertical="center" wrapText="1"/>
    </xf>
    <xf numFmtId="0" fontId="0" fillId="0" borderId="62" xfId="0" applyBorder="1" applyAlignment="1">
      <alignment horizontal="left" vertical="center" wrapText="1"/>
    </xf>
    <xf numFmtId="11" fontId="6" fillId="3" borderId="39" xfId="0" applyNumberFormat="1" applyFont="1" applyFill="1" applyBorder="1" applyAlignment="1">
      <alignment horizontal="center" vertical="center"/>
    </xf>
    <xf numFmtId="11" fontId="6" fillId="3" borderId="37" xfId="0" applyNumberFormat="1" applyFont="1" applyFill="1" applyBorder="1" applyAlignment="1">
      <alignment horizontal="center" vertical="center"/>
    </xf>
    <xf numFmtId="0" fontId="10" fillId="3" borderId="36" xfId="0" applyFont="1" applyFill="1" applyBorder="1" applyAlignment="1">
      <alignment horizontal="center" vertical="center"/>
    </xf>
    <xf numFmtId="0" fontId="8" fillId="2" borderId="59"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48" fillId="0" borderId="87" xfId="0" applyFont="1" applyFill="1" applyBorder="1" applyAlignment="1">
      <alignment horizontal="left" vertical="center" wrapText="1"/>
    </xf>
    <xf numFmtId="0" fontId="6" fillId="0" borderId="88" xfId="0" applyFont="1" applyFill="1" applyBorder="1" applyAlignment="1">
      <alignment horizontal="left" vertical="center" wrapText="1"/>
    </xf>
    <xf numFmtId="0" fontId="7" fillId="3" borderId="51"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0" fillId="0" borderId="52" xfId="0" applyBorder="1" applyAlignment="1">
      <alignment horizontal="center" vertical="center" wrapText="1"/>
    </xf>
    <xf numFmtId="0" fontId="7" fillId="3" borderId="65"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0" fillId="0" borderId="62" xfId="0" applyBorder="1" applyAlignment="1">
      <alignment horizontal="center" vertical="center" wrapText="1"/>
    </xf>
    <xf numFmtId="0" fontId="26" fillId="3" borderId="30"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5"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18"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48" xfId="0" applyFont="1" applyFill="1" applyBorder="1" applyAlignment="1">
      <alignment horizontal="center" vertical="center" wrapText="1"/>
    </xf>
    <xf numFmtId="11" fontId="6" fillId="0" borderId="39" xfId="0" applyNumberFormat="1" applyFont="1" applyBorder="1" applyAlignment="1">
      <alignment horizontal="center" vertical="center"/>
    </xf>
    <xf numFmtId="11" fontId="6" fillId="0" borderId="37" xfId="0" applyNumberFormat="1" applyFont="1" applyBorder="1" applyAlignment="1">
      <alignment horizontal="center" vertical="center"/>
    </xf>
    <xf numFmtId="0" fontId="27" fillId="3" borderId="57" xfId="0" applyFont="1" applyFill="1" applyBorder="1" applyAlignment="1">
      <alignment horizontal="left" vertical="center" wrapText="1"/>
    </xf>
    <xf numFmtId="0" fontId="27" fillId="3" borderId="58" xfId="0" applyFont="1" applyFill="1" applyBorder="1" applyAlignment="1">
      <alignment horizontal="left" vertical="center" wrapText="1"/>
    </xf>
    <xf numFmtId="0" fontId="8" fillId="4" borderId="17"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2" xfId="0" applyFont="1" applyFill="1" applyBorder="1" applyAlignment="1">
      <alignment horizontal="center"/>
    </xf>
    <xf numFmtId="0" fontId="2" fillId="3" borderId="1" xfId="0" applyFont="1" applyFill="1" applyBorder="1" applyAlignment="1">
      <alignment horizontal="left" vertical="top"/>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1" fillId="3" borderId="3" xfId="0" applyFont="1" applyFill="1" applyBorder="1" applyAlignment="1">
      <alignment horizontal="center" wrapText="1"/>
    </xf>
    <xf numFmtId="0" fontId="1" fillId="3" borderId="12" xfId="0" applyFont="1" applyFill="1" applyBorder="1" applyAlignment="1">
      <alignment horizont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2" borderId="66"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0" fillId="3" borderId="0" xfId="0" applyFill="1" applyAlignment="1">
      <alignment horizontal="left" wrapText="1"/>
    </xf>
    <xf numFmtId="0" fontId="0" fillId="3" borderId="54" xfId="0" applyFill="1" applyBorder="1" applyAlignment="1">
      <alignment horizontal="left" vertical="top" wrapText="1"/>
    </xf>
    <xf numFmtId="0" fontId="0" fillId="3" borderId="0" xfId="0" applyFill="1" applyAlignment="1">
      <alignment horizontal="left" vertical="top" wrapText="1"/>
    </xf>
  </cellXfs>
  <cellStyles count="3">
    <cellStyle name="Normal" xfId="0" builtinId="0"/>
    <cellStyle name="Normal 2" xfId="2" xr:uid="{BC27F4E2-20B8-47A4-9D90-F2F490171813}"/>
    <cellStyle name="Percent" xfId="1" builtinId="5"/>
  </cellStyles>
  <dxfs count="62">
    <dxf>
      <numFmt numFmtId="4" formatCode="#,##0.00"/>
    </dxf>
    <dxf>
      <numFmt numFmtId="165" formatCode="0.000"/>
    </dxf>
    <dxf>
      <numFmt numFmtId="15" formatCode="0.00E+00"/>
    </dxf>
    <dxf>
      <numFmt numFmtId="4" formatCode="#,##0.00"/>
    </dxf>
    <dxf>
      <numFmt numFmtId="165" formatCode="0.000"/>
    </dxf>
    <dxf>
      <numFmt numFmtId="15" formatCode="0.00E+00"/>
    </dxf>
    <dxf>
      <numFmt numFmtId="4" formatCode="#,##0.00"/>
    </dxf>
    <dxf>
      <numFmt numFmtId="165" formatCode="0.000"/>
    </dxf>
    <dxf>
      <numFmt numFmtId="15" formatCode="0.00E+00"/>
    </dxf>
    <dxf>
      <numFmt numFmtId="4" formatCode="#,##0.00"/>
    </dxf>
    <dxf>
      <numFmt numFmtId="165" formatCode="0.000"/>
    </dxf>
    <dxf>
      <numFmt numFmtId="15" formatCode="0.00E+00"/>
    </dxf>
    <dxf>
      <numFmt numFmtId="4" formatCode="#,##0.00"/>
    </dxf>
    <dxf>
      <numFmt numFmtId="15" formatCode="0.00E+00"/>
    </dxf>
    <dxf>
      <font>
        <color theme="0"/>
      </font>
    </dxf>
    <dxf>
      <fill>
        <patternFill>
          <bgColor theme="5"/>
        </patternFill>
      </fill>
    </dxf>
    <dxf>
      <fill>
        <patternFill>
          <bgColor theme="0"/>
        </patternFill>
      </fill>
    </dxf>
    <dxf>
      <fill>
        <patternFill>
          <bgColor theme="5"/>
        </patternFill>
      </fill>
    </dxf>
    <dxf>
      <fill>
        <patternFill>
          <bgColor rgb="FF00B050"/>
        </patternFill>
      </fill>
    </dxf>
    <dxf>
      <numFmt numFmtId="4" formatCode="#,##0.00"/>
    </dxf>
    <dxf>
      <numFmt numFmtId="15" formatCode="0.00E+00"/>
    </dxf>
    <dxf>
      <font>
        <color theme="0"/>
      </font>
    </dxf>
    <dxf>
      <numFmt numFmtId="166" formatCode="0.0E+00"/>
    </dxf>
    <dxf>
      <numFmt numFmtId="3" formatCode="#,##0"/>
    </dxf>
    <dxf>
      <numFmt numFmtId="169" formatCode="#,##0.0"/>
    </dxf>
    <dxf>
      <numFmt numFmtId="2" formatCode="0.00"/>
    </dxf>
    <dxf>
      <numFmt numFmtId="166" formatCode="0.0E+00"/>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numFmt numFmtId="166" formatCode="0.0E+00"/>
    </dxf>
    <dxf>
      <numFmt numFmtId="4" formatCode="#,##0.00"/>
    </dxf>
    <dxf>
      <numFmt numFmtId="169" formatCode="#,##0.0"/>
    </dxf>
    <dxf>
      <numFmt numFmtId="3" formatCode="#,##0"/>
    </dxf>
    <dxf>
      <numFmt numFmtId="166" formatCode="0.0E+00"/>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ill>
        <patternFill>
          <bgColor theme="0"/>
        </patternFill>
      </fill>
    </dxf>
    <dxf>
      <font>
        <color theme="0"/>
      </font>
    </dxf>
    <dxf>
      <font>
        <color theme="5"/>
      </font>
      <fill>
        <patternFill>
          <bgColor theme="5" tint="0.79998168889431442"/>
        </patternFill>
      </fill>
    </dxf>
    <dxf>
      <fill>
        <patternFill>
          <bgColor theme="0"/>
        </patternFill>
      </fill>
    </dxf>
    <dxf>
      <font>
        <color theme="5"/>
      </font>
      <fill>
        <patternFill>
          <bgColor theme="5" tint="0.59996337778862885"/>
        </patternFill>
      </fill>
    </dxf>
    <dxf>
      <fill>
        <patternFill>
          <bgColor theme="0"/>
        </patternFill>
      </fill>
    </dxf>
    <dxf>
      <font>
        <color theme="0"/>
      </font>
    </dxf>
    <dxf>
      <font>
        <color theme="5"/>
      </font>
      <fill>
        <patternFill>
          <bgColor theme="5" tint="0.79998168889431442"/>
        </patternFill>
      </fill>
    </dxf>
    <dxf>
      <fill>
        <patternFill>
          <bgColor theme="0"/>
        </patternFill>
      </fill>
    </dxf>
    <dxf>
      <font>
        <color theme="0"/>
      </font>
    </dxf>
    <dxf>
      <numFmt numFmtId="166" formatCode="0.0E+00"/>
    </dxf>
    <dxf>
      <numFmt numFmtId="2" formatCode="0.00"/>
    </dxf>
    <dxf>
      <numFmt numFmtId="164" formatCode="0.0"/>
    </dxf>
    <dxf>
      <numFmt numFmtId="1" formatCode="0"/>
    </dxf>
    <dxf>
      <numFmt numFmtId="166" formatCode="0.0E+00"/>
    </dxf>
  </dxfs>
  <tableStyles count="0" defaultTableStyle="TableStyleMedium2" defaultPivotStyle="PivotStyleLight16"/>
  <colors>
    <mruColors>
      <color rgb="FFF15A2B"/>
      <color rgb="FFF04B18"/>
      <color rgb="FFD43D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Inhalation Cancer Risk Estimates (no APF, 8-hr TWA)</a:t>
            </a:r>
          </a:p>
        </c:rich>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905621866876288"/>
          <c:h val="0.66282889702806647"/>
        </c:manualLayout>
      </c:layout>
      <c:barChart>
        <c:barDir val="bar"/>
        <c:grouping val="stacked"/>
        <c:varyColors val="0"/>
        <c:ser>
          <c:idx val="0"/>
          <c:order val="0"/>
          <c:tx>
            <c:strRef>
              <c:f>Dashboard!$D$79</c:f>
              <c:strCache>
                <c:ptCount val="1"/>
                <c:pt idx="0">
                  <c:v>Cancer Risk</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a:noFill/>
              </a:ln>
              <a:effectLst/>
            </c:spPr>
            <c:extLst>
              <c:ext xmlns:c16="http://schemas.microsoft.com/office/drawing/2014/chart" uri="{C3380CC4-5D6E-409C-BE32-E72D297353CC}">
                <c16:uniqueId val="{00000001-895F-4227-A708-E692AAAEDCB7}"/>
              </c:ext>
            </c:extLst>
          </c:dPt>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3-895F-4227-A708-E692AAAEDCB7}"/>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5-895F-4227-A708-E692AAAEDCB7}"/>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7-895F-4227-A708-E692AAAEDCB7}"/>
              </c:ext>
            </c:extLst>
          </c:dPt>
          <c:cat>
            <c:strRef>
              <c:f>Dashboard!$C$80:$C$85</c:f>
              <c:strCache>
                <c:ptCount val="6"/>
                <c:pt idx="0">
                  <c:v>ONU: Central Tendency</c:v>
                </c:pt>
                <c:pt idx="1">
                  <c:v>ONU: High End</c:v>
                </c:pt>
                <c:pt idx="2">
                  <c:v>Lower-Exposure Worker: Central Tendency</c:v>
                </c:pt>
                <c:pt idx="3">
                  <c:v>Lower-Exposure Worker: High End</c:v>
                </c:pt>
                <c:pt idx="4">
                  <c:v>Higher-Exposure Worker: Central Tendency</c:v>
                </c:pt>
                <c:pt idx="5">
                  <c:v>Higher-Exposure Worker: High End</c:v>
                </c:pt>
              </c:strCache>
            </c:strRef>
          </c:cat>
          <c:val>
            <c:numRef>
              <c:f>Dashboard!$D$80:$D$85</c:f>
              <c:numCache>
                <c:formatCode>0.00E+00</c:formatCode>
                <c:ptCount val="6"/>
                <c:pt idx="0">
                  <c:v>5.3771689497716918E-6</c:v>
                </c:pt>
                <c:pt idx="1">
                  <c:v>2.0164383561643834E-5</c:v>
                </c:pt>
                <c:pt idx="2">
                  <c:v>4.902072540137134E-7</c:v>
                </c:pt>
                <c:pt idx="3">
                  <c:v>9.6095890410958907E-5</c:v>
                </c:pt>
                <c:pt idx="4">
                  <c:v>4.8587687294922106E-7</c:v>
                </c:pt>
                <c:pt idx="5">
                  <c:v>1.8805479452054739E-4</c:v>
                </c:pt>
              </c:numCache>
            </c:numRef>
          </c:val>
          <c:extLst>
            <c:ext xmlns:c16="http://schemas.microsoft.com/office/drawing/2014/chart" uri="{C3380CC4-5D6E-409C-BE32-E72D297353CC}">
              <c16:uniqueId val="{00000008-895F-4227-A708-E692AAAEDCB7}"/>
            </c:ext>
          </c:extLst>
        </c:ser>
        <c:dLbls>
          <c:showLegendKey val="0"/>
          <c:showVal val="0"/>
          <c:showCatName val="0"/>
          <c:showSerName val="0"/>
          <c:showPercent val="0"/>
          <c:showBubbleSize val="0"/>
        </c:dLbls>
        <c:gapWidth val="150"/>
        <c:overlap val="100"/>
        <c:axId val="580062808"/>
        <c:axId val="580066744"/>
      </c:barChart>
      <c:scatterChart>
        <c:scatterStyle val="lineMarker"/>
        <c:varyColors val="0"/>
        <c:ser>
          <c:idx val="3"/>
          <c:order val="1"/>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B-895F-4227-A708-E692AAAEDCB7}"/>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Inhalation Cancer Risk Estimates (with Selected APF, 8-hr TWA)</a:t>
            </a:r>
          </a:p>
        </c:rich>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7157680146390786"/>
          <c:h val="0.60391417038886286"/>
        </c:manualLayout>
      </c:layout>
      <c:barChart>
        <c:barDir val="bar"/>
        <c:grouping val="stacked"/>
        <c:varyColors val="0"/>
        <c:ser>
          <c:idx val="4"/>
          <c:order val="0"/>
          <c:tx>
            <c:strRef>
              <c:f>Dashboard!$E$79</c:f>
              <c:strCache>
                <c:ptCount val="1"/>
                <c:pt idx="0">
                  <c:v>Cancer Risk with APF of 50</c:v>
                </c:pt>
              </c:strCache>
            </c:strRef>
          </c:tx>
          <c:spPr>
            <a:solidFill>
              <a:schemeClr val="accent5"/>
            </a:solidFill>
            <a:ln>
              <a:noFill/>
            </a:ln>
            <a:effectLst/>
          </c:spPr>
          <c:invertIfNegative val="0"/>
          <c:cat>
            <c:strRef>
              <c:f>Dashboard!$C$80:$C$85</c:f>
              <c:strCache>
                <c:ptCount val="6"/>
                <c:pt idx="0">
                  <c:v>ONU: Central Tendency</c:v>
                </c:pt>
                <c:pt idx="1">
                  <c:v>ONU: High End</c:v>
                </c:pt>
                <c:pt idx="2">
                  <c:v>Lower-Exposure Worker: Central Tendency</c:v>
                </c:pt>
                <c:pt idx="3">
                  <c:v>Lower-Exposure Worker: High End</c:v>
                </c:pt>
                <c:pt idx="4">
                  <c:v>Higher-Exposure Worker: Central Tendency</c:v>
                </c:pt>
                <c:pt idx="5">
                  <c:v>Higher-Exposure Worker: High End</c:v>
                </c:pt>
              </c:strCache>
            </c:strRef>
          </c:cat>
          <c:val>
            <c:numRef>
              <c:f>Dashboard!$E$80:$E$85</c:f>
              <c:numCache>
                <c:formatCode>0.00E+00</c:formatCode>
                <c:ptCount val="6"/>
                <c:pt idx="0">
                  <c:v>1.0754337899543384E-7</c:v>
                </c:pt>
                <c:pt idx="1">
                  <c:v>4.0328767123287665E-7</c:v>
                </c:pt>
                <c:pt idx="2">
                  <c:v>9.8041450802742682E-9</c:v>
                </c:pt>
                <c:pt idx="3">
                  <c:v>1.9219178082191782E-6</c:v>
                </c:pt>
                <c:pt idx="4">
                  <c:v>9.7175374589844209E-9</c:v>
                </c:pt>
                <c:pt idx="5">
                  <c:v>3.7610958904109478E-6</c:v>
                </c:pt>
              </c:numCache>
            </c:numRef>
          </c:val>
          <c:extLst>
            <c:ext xmlns:c16="http://schemas.microsoft.com/office/drawing/2014/chart" uri="{C3380CC4-5D6E-409C-BE32-E72D297353CC}">
              <c16:uniqueId val="{00000000-1D93-4F77-BE41-479BE2839E1C}"/>
            </c:ext>
          </c:extLst>
        </c:ser>
        <c:dLbls>
          <c:showLegendKey val="0"/>
          <c:showVal val="0"/>
          <c:showCatName val="0"/>
          <c:showSerName val="0"/>
          <c:showPercent val="0"/>
          <c:showBubbleSize val="0"/>
        </c:dLbls>
        <c:gapWidth val="150"/>
        <c:overlap val="100"/>
        <c:axId val="580062808"/>
        <c:axId val="580066744"/>
      </c:barChart>
      <c:scatterChart>
        <c:scatterStyle val="lineMarker"/>
        <c:varyColors val="0"/>
        <c:ser>
          <c:idx val="3"/>
          <c:order val="1"/>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3-1D93-4F77-BE41-479BE2839E1C}"/>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layout>
        <c:manualLayout>
          <c:xMode val="edge"/>
          <c:yMode val="edge"/>
          <c:x val="0.76459628713724004"/>
          <c:y val="0.86692455411907987"/>
          <c:w val="0.18050568687827348"/>
          <c:h val="8.35903591259459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Inhalation Cancer Risk Estimates (no APF, 8-hr TWA,</a:t>
            </a:r>
            <a:r>
              <a:rPr lang="en-US" baseline="0"/>
              <a:t> adjusted</a:t>
            </a:r>
            <a:r>
              <a:rPr lang="en-US"/>
              <a:t>)</a:t>
            </a:r>
          </a:p>
        </c:rich>
      </c:tx>
      <c:layout>
        <c:manualLayout>
          <c:xMode val="edge"/>
          <c:yMode val="edge"/>
          <c:x val="0.1991465318637744"/>
          <c:y val="5.11887650750641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905621866876288"/>
          <c:h val="0.66282889702806647"/>
        </c:manualLayout>
      </c:layout>
      <c:barChart>
        <c:barDir val="bar"/>
        <c:grouping val="stacked"/>
        <c:varyColors val="0"/>
        <c:ser>
          <c:idx val="0"/>
          <c:order val="0"/>
          <c:tx>
            <c:strRef>
              <c:f>Dashboard!$O$79</c:f>
              <c:strCache>
                <c:ptCount val="1"/>
                <c:pt idx="0">
                  <c:v>Cancer Risk</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a:noFill/>
              </a:ln>
              <a:effectLst/>
            </c:spPr>
            <c:extLst>
              <c:ext xmlns:c16="http://schemas.microsoft.com/office/drawing/2014/chart" uri="{C3380CC4-5D6E-409C-BE32-E72D297353CC}">
                <c16:uniqueId val="{00000001-F9CD-424B-8967-D5F863350D6C}"/>
              </c:ext>
            </c:extLst>
          </c:dPt>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3-F9CD-424B-8967-D5F863350D6C}"/>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5-F9CD-424B-8967-D5F863350D6C}"/>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7-F9CD-424B-8967-D5F863350D6C}"/>
              </c:ext>
            </c:extLst>
          </c:dPt>
          <c:cat>
            <c:strRef>
              <c:f>Dashboard!$N$80:$N$85</c:f>
              <c:strCache>
                <c:ptCount val="6"/>
                <c:pt idx="0">
                  <c:v>ONU: Central Tendency</c:v>
                </c:pt>
                <c:pt idx="1">
                  <c:v>ONU: High End</c:v>
                </c:pt>
                <c:pt idx="2">
                  <c:v>Lower-Exposure Worker: Central Tendency</c:v>
                </c:pt>
                <c:pt idx="3">
                  <c:v>Lower-Exposure Worker: High End</c:v>
                </c:pt>
                <c:pt idx="4">
                  <c:v>Higher-Exposure Worker: Central Tendency</c:v>
                </c:pt>
                <c:pt idx="5">
                  <c:v>Higher-Exposure Worker: High End</c:v>
                </c:pt>
              </c:strCache>
            </c:strRef>
          </c:cat>
          <c:val>
            <c:numRef>
              <c:f>Dashboard!$O$80:$O$85</c:f>
              <c:numCache>
                <c:formatCode>0.00E+00</c:formatCode>
                <c:ptCount val="6"/>
                <c:pt idx="0">
                  <c:v>5.7671232876712326E-6</c:v>
                </c:pt>
                <c:pt idx="1">
                  <c:v>2.0356164383561643E-5</c:v>
                </c:pt>
                <c:pt idx="2">
                  <c:v>1.1432672956892324E-6</c:v>
                </c:pt>
                <c:pt idx="3">
                  <c:v>9.0775791875389775E-5</c:v>
                </c:pt>
                <c:pt idx="4">
                  <c:v>1.1392075634412708E-6</c:v>
                </c:pt>
                <c:pt idx="5">
                  <c:v>1.8056986301369807E-4</c:v>
                </c:pt>
              </c:numCache>
            </c:numRef>
          </c:val>
          <c:extLst>
            <c:ext xmlns:c16="http://schemas.microsoft.com/office/drawing/2014/chart" uri="{C3380CC4-5D6E-409C-BE32-E72D297353CC}">
              <c16:uniqueId val="{00000008-F9CD-424B-8967-D5F863350D6C}"/>
            </c:ext>
          </c:extLst>
        </c:ser>
        <c:dLbls>
          <c:showLegendKey val="0"/>
          <c:showVal val="0"/>
          <c:showCatName val="0"/>
          <c:showSerName val="0"/>
          <c:showPercent val="0"/>
          <c:showBubbleSize val="0"/>
        </c:dLbls>
        <c:gapWidth val="150"/>
        <c:overlap val="100"/>
        <c:axId val="580062808"/>
        <c:axId val="580066744"/>
      </c:barChart>
      <c:scatterChart>
        <c:scatterStyle val="lineMarker"/>
        <c:varyColors val="0"/>
        <c:ser>
          <c:idx val="3"/>
          <c:order val="1"/>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B-F9CD-424B-8967-D5F863350D6C}"/>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Inhalation Cancer Risk Estimates (with Selected </a:t>
            </a:r>
            <a:r>
              <a:rPr lang="en-US" sz="1400"/>
              <a:t>APF</a:t>
            </a:r>
            <a:r>
              <a:rPr lang="en-US" sz="1400" b="0" i="0" u="none" strike="noStrike" kern="1200" spc="0" baseline="0">
                <a:solidFill>
                  <a:sysClr val="windowText" lastClr="000000">
                    <a:lumMod val="65000"/>
                    <a:lumOff val="35000"/>
                  </a:sysClr>
                </a:solidFill>
              </a:rPr>
              <a:t>, 8-hr TWA, adjusted</a:t>
            </a:r>
            <a:r>
              <a:rPr lang="en-US" sz="1400"/>
              <a:t>)</a:t>
            </a:r>
          </a:p>
        </c:rich>
      </c:tx>
      <c:layout>
        <c:manualLayout>
          <c:xMode val="edge"/>
          <c:yMode val="edge"/>
          <c:x val="0.18464698842479985"/>
          <c:y val="4.83784518258073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6673551355276928"/>
          <c:h val="0.60391417038886286"/>
        </c:manualLayout>
      </c:layout>
      <c:barChart>
        <c:barDir val="bar"/>
        <c:grouping val="stacked"/>
        <c:varyColors val="0"/>
        <c:ser>
          <c:idx val="4"/>
          <c:order val="0"/>
          <c:tx>
            <c:strRef>
              <c:f>Dashboard!$P$79</c:f>
              <c:strCache>
                <c:ptCount val="1"/>
                <c:pt idx="0">
                  <c:v>Cancer Risk with APF of 50</c:v>
                </c:pt>
              </c:strCache>
            </c:strRef>
          </c:tx>
          <c:spPr>
            <a:solidFill>
              <a:schemeClr val="accent5"/>
            </a:solidFill>
            <a:ln>
              <a:noFill/>
            </a:ln>
            <a:effectLst/>
          </c:spPr>
          <c:invertIfNegative val="0"/>
          <c:cat>
            <c:strRef>
              <c:f>Dashboard!$N$80:$N$85</c:f>
              <c:strCache>
                <c:ptCount val="6"/>
                <c:pt idx="0">
                  <c:v>ONU: Central Tendency</c:v>
                </c:pt>
                <c:pt idx="1">
                  <c:v>ONU: High End</c:v>
                </c:pt>
                <c:pt idx="2">
                  <c:v>Lower-Exposure Worker: Central Tendency</c:v>
                </c:pt>
                <c:pt idx="3">
                  <c:v>Lower-Exposure Worker: High End</c:v>
                </c:pt>
                <c:pt idx="4">
                  <c:v>Higher-Exposure Worker: Central Tendency</c:v>
                </c:pt>
                <c:pt idx="5">
                  <c:v>Higher-Exposure Worker: High End</c:v>
                </c:pt>
              </c:strCache>
            </c:strRef>
          </c:cat>
          <c:val>
            <c:numRef>
              <c:f>Dashboard!$P$80:$P$85</c:f>
              <c:numCache>
                <c:formatCode>0.00E+00</c:formatCode>
                <c:ptCount val="6"/>
                <c:pt idx="0">
                  <c:v>1.1534246575342466E-7</c:v>
                </c:pt>
                <c:pt idx="1">
                  <c:v>4.0712328767123287E-7</c:v>
                </c:pt>
                <c:pt idx="2">
                  <c:v>2.2865345913784647E-8</c:v>
                </c:pt>
                <c:pt idx="3">
                  <c:v>1.8155158375077956E-6</c:v>
                </c:pt>
                <c:pt idx="4">
                  <c:v>2.2784151268825417E-8</c:v>
                </c:pt>
                <c:pt idx="5">
                  <c:v>3.6113972602739614E-6</c:v>
                </c:pt>
              </c:numCache>
            </c:numRef>
          </c:val>
          <c:extLst>
            <c:ext xmlns:c16="http://schemas.microsoft.com/office/drawing/2014/chart" uri="{C3380CC4-5D6E-409C-BE32-E72D297353CC}">
              <c16:uniqueId val="{00000000-01E3-43EA-ADC7-9D679075EF43}"/>
            </c:ext>
          </c:extLst>
        </c:ser>
        <c:dLbls>
          <c:showLegendKey val="0"/>
          <c:showVal val="0"/>
          <c:showCatName val="0"/>
          <c:showSerName val="0"/>
          <c:showPercent val="0"/>
          <c:showBubbleSize val="0"/>
        </c:dLbls>
        <c:gapWidth val="150"/>
        <c:overlap val="100"/>
        <c:axId val="580062808"/>
        <c:axId val="580066744"/>
      </c:barChart>
      <c:scatterChart>
        <c:scatterStyle val="lineMarker"/>
        <c:varyColors val="0"/>
        <c:ser>
          <c:idx val="3"/>
          <c:order val="1"/>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3-01E3-43EA-ADC7-9D679075EF43}"/>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layout>
        <c:manualLayout>
          <c:xMode val="edge"/>
          <c:yMode val="edge"/>
          <c:x val="0.74915984994347973"/>
          <c:y val="0.87106817883413212"/>
          <c:w val="0.19251051180244319"/>
          <c:h val="8.77868206053198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5"/>
          <c:order val="0"/>
          <c:tx>
            <c:strRef>
              <c:f>RR!$J$52</c:f>
              <c:strCache>
                <c:ptCount val="1"/>
                <c:pt idx="0">
                  <c:v>Central Tendency</c:v>
                </c:pt>
              </c:strCache>
            </c:strRef>
          </c:tx>
          <c:spPr>
            <a:solidFill>
              <a:schemeClr val="accent5"/>
            </a:solidFill>
            <a:ln w="25400">
              <a:noFill/>
            </a:ln>
            <a:effectLst/>
          </c:spPr>
          <c:invertIfNegative val="0"/>
          <c:cat>
            <c:strRef>
              <c:f>RR!$H$53:$H$58</c:f>
              <c:strCache>
                <c:ptCount val="6"/>
                <c:pt idx="0">
                  <c:v>No Respirator</c:v>
                </c:pt>
                <c:pt idx="1">
                  <c:v>APF = 10</c:v>
                </c:pt>
                <c:pt idx="2">
                  <c:v>APF = 25</c:v>
                </c:pt>
                <c:pt idx="3">
                  <c:v>APF = 50</c:v>
                </c:pt>
                <c:pt idx="4">
                  <c:v>APF = 1,000</c:v>
                </c:pt>
                <c:pt idx="5">
                  <c:v>APF = 10,000</c:v>
                </c:pt>
              </c:strCache>
            </c:strRef>
          </c:cat>
          <c:val>
            <c:numRef>
              <c:f>RR!$J$53:$J$58</c:f>
              <c:numCache>
                <c:formatCode>0.00E+00</c:formatCode>
                <c:ptCount val="6"/>
                <c:pt idx="0">
                  <c:v>4.8587687294922106E-7</c:v>
                </c:pt>
                <c:pt idx="1">
                  <c:v>4.8587687294922103E-8</c:v>
                </c:pt>
                <c:pt idx="2">
                  <c:v>1.9435074917968842E-8</c:v>
                </c:pt>
                <c:pt idx="3">
                  <c:v>9.7175374589844209E-9</c:v>
                </c:pt>
                <c:pt idx="4">
                  <c:v>4.8587687294922107E-10</c:v>
                </c:pt>
                <c:pt idx="5">
                  <c:v>4.8587687294922103E-11</c:v>
                </c:pt>
              </c:numCache>
            </c:numRef>
          </c:val>
          <c:extLst>
            <c:ext xmlns:c16="http://schemas.microsoft.com/office/drawing/2014/chart" uri="{C3380CC4-5D6E-409C-BE32-E72D297353CC}">
              <c16:uniqueId val="{00000013-2530-4F3A-BEDF-BB24B328CDF4}"/>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6"/>
                <c:order val="1"/>
                <c:tx>
                  <c:strRef>
                    <c:extLst>
                      <c:ext uri="{02D57815-91ED-43cb-92C2-25804820EDAC}">
                        <c15:formulaRef>
                          <c15:sqref>RR!$I$52</c15:sqref>
                        </c15:formulaRef>
                      </c:ext>
                    </c:extLst>
                    <c:strCache>
                      <c:ptCount val="1"/>
                      <c:pt idx="0">
                        <c:v>High End</c:v>
                      </c:pt>
                    </c:strCache>
                  </c:strRef>
                </c:tx>
                <c:spPr>
                  <a:solidFill>
                    <a:schemeClr val="accent5">
                      <a:lumMod val="75000"/>
                    </a:schemeClr>
                  </a:solidFill>
                  <a:ln>
                    <a:noFill/>
                  </a:ln>
                  <a:effectLst/>
                </c:spPr>
                <c:invertIfNegative val="0"/>
                <c:cat>
                  <c:strRef>
                    <c:extLst>
                      <c:ext uri="{02D57815-91ED-43cb-92C2-25804820EDAC}">
                        <c15:formulaRef>
                          <c15:sqref>RR!$H$53:$H$58</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RR!$I$53:$I$58</c15:sqref>
                        </c15:formulaRef>
                      </c:ext>
                    </c:extLst>
                    <c:numCache>
                      <c:formatCode>0.00E+00</c:formatCode>
                      <c:ptCount val="6"/>
                      <c:pt idx="0">
                        <c:v>1.8805479452054739E-4</c:v>
                      </c:pt>
                      <c:pt idx="1">
                        <c:v>1.8805479452054739E-5</c:v>
                      </c:pt>
                      <c:pt idx="2">
                        <c:v>7.5221917808218955E-6</c:v>
                      </c:pt>
                      <c:pt idx="3">
                        <c:v>3.7610958904109478E-6</c:v>
                      </c:pt>
                      <c:pt idx="4">
                        <c:v>1.880547945205474E-7</c:v>
                      </c:pt>
                      <c:pt idx="5">
                        <c:v>1.880547945205474E-8</c:v>
                      </c:pt>
                    </c:numCache>
                  </c:numRef>
                </c:val>
                <c:extLst>
                  <c:ext xmlns:c16="http://schemas.microsoft.com/office/drawing/2014/chart" uri="{C3380CC4-5D6E-409C-BE32-E72D297353CC}">
                    <c16:uniqueId val="{00000014-2530-4F3A-BEDF-BB24B328CDF4}"/>
                  </c:ext>
                </c:extLst>
              </c15:ser>
            </c15:filteredBarSeries>
          </c:ext>
        </c:extLst>
      </c:barChart>
      <c:scatterChart>
        <c:scatterStyle val="lineMarker"/>
        <c:varyColors val="0"/>
        <c:ser>
          <c:idx val="3"/>
          <c:order val="2"/>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12-2530-4F3A-BEDF-BB24B328CDF4}"/>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6"/>
          <c:order val="1"/>
          <c:tx>
            <c:strRef>
              <c:f>RR!$I$52</c:f>
              <c:strCache>
                <c:ptCount val="1"/>
                <c:pt idx="0">
                  <c:v>High End</c:v>
                </c:pt>
              </c:strCache>
            </c:strRef>
          </c:tx>
          <c:spPr>
            <a:solidFill>
              <a:schemeClr val="accent5">
                <a:lumMod val="75000"/>
              </a:schemeClr>
            </a:solidFill>
            <a:ln>
              <a:noFill/>
            </a:ln>
            <a:effectLst/>
          </c:spPr>
          <c:invertIfNegative val="0"/>
          <c:cat>
            <c:strRef>
              <c:f>RR!$H$53:$H$58</c:f>
              <c:strCache>
                <c:ptCount val="6"/>
                <c:pt idx="0">
                  <c:v>No Respirator</c:v>
                </c:pt>
                <c:pt idx="1">
                  <c:v>APF = 10</c:v>
                </c:pt>
                <c:pt idx="2">
                  <c:v>APF = 25</c:v>
                </c:pt>
                <c:pt idx="3">
                  <c:v>APF = 50</c:v>
                </c:pt>
                <c:pt idx="4">
                  <c:v>APF = 1,000</c:v>
                </c:pt>
                <c:pt idx="5">
                  <c:v>APF = 10,000</c:v>
                </c:pt>
              </c:strCache>
            </c:strRef>
          </c:cat>
          <c:val>
            <c:numRef>
              <c:f>RR!$I$53:$I$58</c:f>
              <c:numCache>
                <c:formatCode>0.00E+00</c:formatCode>
                <c:ptCount val="6"/>
                <c:pt idx="0">
                  <c:v>1.8805479452054739E-4</c:v>
                </c:pt>
                <c:pt idx="1">
                  <c:v>1.8805479452054739E-5</c:v>
                </c:pt>
                <c:pt idx="2">
                  <c:v>7.5221917808218955E-6</c:v>
                </c:pt>
                <c:pt idx="3">
                  <c:v>3.7610958904109478E-6</c:v>
                </c:pt>
                <c:pt idx="4">
                  <c:v>1.880547945205474E-7</c:v>
                </c:pt>
                <c:pt idx="5">
                  <c:v>1.880547945205474E-8</c:v>
                </c:pt>
              </c:numCache>
            </c:numRef>
          </c:val>
          <c:extLst>
            <c:ext xmlns:c16="http://schemas.microsoft.com/office/drawing/2014/chart" uri="{C3380CC4-5D6E-409C-BE32-E72D297353CC}">
              <c16:uniqueId val="{00000001-D738-4D29-9A1B-A262CDDF2104}"/>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5"/>
                <c:order val="0"/>
                <c:tx>
                  <c:strRef>
                    <c:extLst>
                      <c:ext uri="{02D57815-91ED-43cb-92C2-25804820EDAC}">
                        <c15:formulaRef>
                          <c15:sqref>RR!$J$52</c15:sqref>
                        </c15:formulaRef>
                      </c:ext>
                    </c:extLst>
                    <c:strCache>
                      <c:ptCount val="1"/>
                      <c:pt idx="0">
                        <c:v>Central Tendency</c:v>
                      </c:pt>
                    </c:strCache>
                  </c:strRef>
                </c:tx>
                <c:spPr>
                  <a:solidFill>
                    <a:schemeClr val="accent5"/>
                  </a:solidFill>
                  <a:ln w="25400">
                    <a:noFill/>
                  </a:ln>
                  <a:effectLst/>
                </c:spPr>
                <c:invertIfNegative val="0"/>
                <c:cat>
                  <c:strRef>
                    <c:extLst>
                      <c:ext uri="{02D57815-91ED-43cb-92C2-25804820EDAC}">
                        <c15:formulaRef>
                          <c15:sqref>RR!$H$53:$H$58</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RR!$J$53:$J$58</c15:sqref>
                        </c15:formulaRef>
                      </c:ext>
                    </c:extLst>
                    <c:numCache>
                      <c:formatCode>0.00E+00</c:formatCode>
                      <c:ptCount val="6"/>
                      <c:pt idx="0">
                        <c:v>4.8587687294922106E-7</c:v>
                      </c:pt>
                      <c:pt idx="1">
                        <c:v>4.8587687294922103E-8</c:v>
                      </c:pt>
                      <c:pt idx="2">
                        <c:v>1.9435074917968842E-8</c:v>
                      </c:pt>
                      <c:pt idx="3">
                        <c:v>9.7175374589844209E-9</c:v>
                      </c:pt>
                      <c:pt idx="4">
                        <c:v>4.8587687294922107E-10</c:v>
                      </c:pt>
                      <c:pt idx="5">
                        <c:v>4.8587687294922103E-11</c:v>
                      </c:pt>
                    </c:numCache>
                  </c:numRef>
                </c:val>
                <c:extLst>
                  <c:ext xmlns:c16="http://schemas.microsoft.com/office/drawing/2014/chart" uri="{C3380CC4-5D6E-409C-BE32-E72D297353CC}">
                    <c16:uniqueId val="{00000000-D738-4D29-9A1B-A262CDDF2104}"/>
                  </c:ext>
                </c:extLst>
              </c15:ser>
            </c15:filteredBarSeries>
          </c:ext>
        </c:extLst>
      </c:barChart>
      <c:scatterChart>
        <c:scatterStyle val="lineMarker"/>
        <c:varyColors val="0"/>
        <c:ser>
          <c:idx val="3"/>
          <c:order val="2"/>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4-D738-4D29-9A1B-A262CDDF2104}"/>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5"/>
          <c:order val="0"/>
          <c:tx>
            <c:strRef>
              <c:f>RR!$T$52</c:f>
              <c:strCache>
                <c:ptCount val="1"/>
                <c:pt idx="0">
                  <c:v>Central Tendency</c:v>
                </c:pt>
              </c:strCache>
            </c:strRef>
          </c:tx>
          <c:spPr>
            <a:solidFill>
              <a:schemeClr val="accent5"/>
            </a:solidFill>
            <a:ln w="25400">
              <a:noFill/>
            </a:ln>
            <a:effectLst/>
          </c:spPr>
          <c:invertIfNegative val="0"/>
          <c:cat>
            <c:strRef>
              <c:f>RR!$R$53:$R$58</c:f>
              <c:strCache>
                <c:ptCount val="6"/>
                <c:pt idx="0">
                  <c:v>No Respirator</c:v>
                </c:pt>
                <c:pt idx="1">
                  <c:v>APF = 10</c:v>
                </c:pt>
                <c:pt idx="2">
                  <c:v>APF = 25</c:v>
                </c:pt>
                <c:pt idx="3">
                  <c:v>APF = 50</c:v>
                </c:pt>
                <c:pt idx="4">
                  <c:v>APF = 1,000</c:v>
                </c:pt>
                <c:pt idx="5">
                  <c:v>APF = 10,000</c:v>
                </c:pt>
              </c:strCache>
            </c:strRef>
          </c:cat>
          <c:val>
            <c:numRef>
              <c:f>RR!$T$53:$T$58</c:f>
              <c:numCache>
                <c:formatCode>0.00E+00</c:formatCode>
                <c:ptCount val="6"/>
                <c:pt idx="0">
                  <c:v>1.1392075634412708E-6</c:v>
                </c:pt>
                <c:pt idx="1">
                  <c:v>1.1392075634412707E-7</c:v>
                </c:pt>
                <c:pt idx="2">
                  <c:v>4.5568302537650833E-8</c:v>
                </c:pt>
                <c:pt idx="3">
                  <c:v>2.2784151268825417E-8</c:v>
                </c:pt>
                <c:pt idx="4">
                  <c:v>1.1392075634412708E-9</c:v>
                </c:pt>
                <c:pt idx="5">
                  <c:v>1.1392075634412708E-10</c:v>
                </c:pt>
              </c:numCache>
            </c:numRef>
          </c:val>
          <c:extLst>
            <c:ext xmlns:c16="http://schemas.microsoft.com/office/drawing/2014/chart" uri="{C3380CC4-5D6E-409C-BE32-E72D297353CC}">
              <c16:uniqueId val="{00000000-E06A-4D40-9A57-7A828576B3D7}"/>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6"/>
                <c:order val="1"/>
                <c:tx>
                  <c:strRef>
                    <c:extLst>
                      <c:ext uri="{02D57815-91ED-43cb-92C2-25804820EDAC}">
                        <c15:formulaRef>
                          <c15:sqref>RR!$I$52</c15:sqref>
                        </c15:formulaRef>
                      </c:ext>
                    </c:extLst>
                    <c:strCache>
                      <c:ptCount val="1"/>
                      <c:pt idx="0">
                        <c:v>High End</c:v>
                      </c:pt>
                    </c:strCache>
                  </c:strRef>
                </c:tx>
                <c:spPr>
                  <a:solidFill>
                    <a:schemeClr val="accent5">
                      <a:lumMod val="75000"/>
                    </a:schemeClr>
                  </a:solidFill>
                  <a:ln>
                    <a:noFill/>
                  </a:ln>
                  <a:effectLst/>
                </c:spPr>
                <c:invertIfNegative val="0"/>
                <c:cat>
                  <c:strRef>
                    <c:extLst>
                      <c:ext uri="{02D57815-91ED-43cb-92C2-25804820EDAC}">
                        <c15:formulaRef>
                          <c15:sqref>RR!$R$53:$R$58</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RR!$I$53:$I$58</c15:sqref>
                        </c15:formulaRef>
                      </c:ext>
                    </c:extLst>
                    <c:numCache>
                      <c:formatCode>0.00E+00</c:formatCode>
                      <c:ptCount val="6"/>
                      <c:pt idx="0">
                        <c:v>1.8805479452054739E-4</c:v>
                      </c:pt>
                      <c:pt idx="1">
                        <c:v>1.8805479452054739E-5</c:v>
                      </c:pt>
                      <c:pt idx="2">
                        <c:v>7.5221917808218955E-6</c:v>
                      </c:pt>
                      <c:pt idx="3">
                        <c:v>3.7610958904109478E-6</c:v>
                      </c:pt>
                      <c:pt idx="4">
                        <c:v>1.880547945205474E-7</c:v>
                      </c:pt>
                      <c:pt idx="5">
                        <c:v>1.880547945205474E-8</c:v>
                      </c:pt>
                    </c:numCache>
                  </c:numRef>
                </c:val>
                <c:extLst>
                  <c:ext xmlns:c16="http://schemas.microsoft.com/office/drawing/2014/chart" uri="{C3380CC4-5D6E-409C-BE32-E72D297353CC}">
                    <c16:uniqueId val="{00000004-E06A-4D40-9A57-7A828576B3D7}"/>
                  </c:ext>
                </c:extLst>
              </c15:ser>
            </c15:filteredBarSeries>
          </c:ext>
        </c:extLst>
      </c:barChart>
      <c:scatterChart>
        <c:scatterStyle val="lineMarker"/>
        <c:varyColors val="0"/>
        <c:ser>
          <c:idx val="3"/>
          <c:order val="2"/>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3-E06A-4D40-9A57-7A828576B3D7}"/>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6"/>
          <c:order val="1"/>
          <c:tx>
            <c:strRef>
              <c:f>RR!$S$52</c:f>
              <c:strCache>
                <c:ptCount val="1"/>
                <c:pt idx="0">
                  <c:v>High End</c:v>
                </c:pt>
              </c:strCache>
            </c:strRef>
          </c:tx>
          <c:spPr>
            <a:solidFill>
              <a:schemeClr val="accent5">
                <a:lumMod val="75000"/>
              </a:schemeClr>
            </a:solidFill>
            <a:ln>
              <a:noFill/>
            </a:ln>
            <a:effectLst/>
          </c:spPr>
          <c:invertIfNegative val="0"/>
          <c:cat>
            <c:strRef>
              <c:f>RR!$R$53:$R$58</c:f>
              <c:strCache>
                <c:ptCount val="6"/>
                <c:pt idx="0">
                  <c:v>No Respirator</c:v>
                </c:pt>
                <c:pt idx="1">
                  <c:v>APF = 10</c:v>
                </c:pt>
                <c:pt idx="2">
                  <c:v>APF = 25</c:v>
                </c:pt>
                <c:pt idx="3">
                  <c:v>APF = 50</c:v>
                </c:pt>
                <c:pt idx="4">
                  <c:v>APF = 1,000</c:v>
                </c:pt>
                <c:pt idx="5">
                  <c:v>APF = 10,000</c:v>
                </c:pt>
              </c:strCache>
            </c:strRef>
          </c:cat>
          <c:val>
            <c:numRef>
              <c:f>RR!$S$53:$S$58</c:f>
              <c:numCache>
                <c:formatCode>0.00E+00</c:formatCode>
                <c:ptCount val="6"/>
                <c:pt idx="0">
                  <c:v>1.8056986301369807E-4</c:v>
                </c:pt>
                <c:pt idx="1">
                  <c:v>1.8056986301369808E-5</c:v>
                </c:pt>
                <c:pt idx="2">
                  <c:v>7.2227945205479229E-6</c:v>
                </c:pt>
                <c:pt idx="3">
                  <c:v>3.6113972602739614E-6</c:v>
                </c:pt>
                <c:pt idx="4">
                  <c:v>1.8056986301369807E-7</c:v>
                </c:pt>
                <c:pt idx="5">
                  <c:v>1.8056986301369806E-8</c:v>
                </c:pt>
              </c:numCache>
            </c:numRef>
          </c:val>
          <c:extLst>
            <c:ext xmlns:c16="http://schemas.microsoft.com/office/drawing/2014/chart" uri="{C3380CC4-5D6E-409C-BE32-E72D297353CC}">
              <c16:uniqueId val="{00000000-AFB2-4AA6-B7BC-1ED0FC4E8AF8}"/>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5"/>
                <c:order val="0"/>
                <c:tx>
                  <c:strRef>
                    <c:extLst>
                      <c:ext uri="{02D57815-91ED-43cb-92C2-25804820EDAC}">
                        <c15:formulaRef>
                          <c15:sqref>RR!$J$52</c15:sqref>
                        </c15:formulaRef>
                      </c:ext>
                    </c:extLst>
                    <c:strCache>
                      <c:ptCount val="1"/>
                      <c:pt idx="0">
                        <c:v>Central Tendency</c:v>
                      </c:pt>
                    </c:strCache>
                  </c:strRef>
                </c:tx>
                <c:spPr>
                  <a:solidFill>
                    <a:schemeClr val="accent5"/>
                  </a:solidFill>
                  <a:ln w="25400">
                    <a:noFill/>
                  </a:ln>
                  <a:effectLst/>
                </c:spPr>
                <c:invertIfNegative val="0"/>
                <c:cat>
                  <c:strRef>
                    <c:extLst>
                      <c:ext uri="{02D57815-91ED-43cb-92C2-25804820EDAC}">
                        <c15:formulaRef>
                          <c15:sqref>RR!$R$53:$R$58</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RR!$J$53:$J$58</c15:sqref>
                        </c15:formulaRef>
                      </c:ext>
                    </c:extLst>
                    <c:numCache>
                      <c:formatCode>0.00E+00</c:formatCode>
                      <c:ptCount val="6"/>
                      <c:pt idx="0">
                        <c:v>4.8587687294922106E-7</c:v>
                      </c:pt>
                      <c:pt idx="1">
                        <c:v>4.8587687294922103E-8</c:v>
                      </c:pt>
                      <c:pt idx="2">
                        <c:v>1.9435074917968842E-8</c:v>
                      </c:pt>
                      <c:pt idx="3">
                        <c:v>9.7175374589844209E-9</c:v>
                      </c:pt>
                      <c:pt idx="4">
                        <c:v>4.8587687294922107E-10</c:v>
                      </c:pt>
                      <c:pt idx="5">
                        <c:v>4.8587687294922103E-11</c:v>
                      </c:pt>
                    </c:numCache>
                  </c:numRef>
                </c:val>
                <c:extLst>
                  <c:ext xmlns:c16="http://schemas.microsoft.com/office/drawing/2014/chart" uri="{C3380CC4-5D6E-409C-BE32-E72D297353CC}">
                    <c16:uniqueId val="{00000004-AFB2-4AA6-B7BC-1ED0FC4E8AF8}"/>
                  </c:ext>
                </c:extLst>
              </c15:ser>
            </c15:filteredBarSeries>
          </c:ext>
        </c:extLst>
      </c:barChart>
      <c:scatterChart>
        <c:scatterStyle val="lineMarker"/>
        <c:varyColors val="0"/>
        <c:ser>
          <c:idx val="3"/>
          <c:order val="2"/>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3-AFB2-4AA6-B7BC-1ED0FC4E8AF8}"/>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281940</xdr:colOff>
      <xdr:row>27</xdr:row>
      <xdr:rowOff>79375</xdr:rowOff>
    </xdr:from>
    <xdr:to>
      <xdr:col>7</xdr:col>
      <xdr:colOff>733425</xdr:colOff>
      <xdr:row>51</xdr:row>
      <xdr:rowOff>123825</xdr:rowOff>
    </xdr:to>
    <xdr:graphicFrame macro="">
      <xdr:nvGraphicFramePr>
        <xdr:cNvPr id="5" name="Chart 4">
          <a:extLst>
            <a:ext uri="{FF2B5EF4-FFF2-40B4-BE49-F238E27FC236}">
              <a16:creationId xmlns:a16="http://schemas.microsoft.com/office/drawing/2014/main" id="{862DAC87-F281-4C21-A996-3EE5FD00B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319495</xdr:colOff>
      <xdr:row>52</xdr:row>
      <xdr:rowOff>83956</xdr:rowOff>
    </xdr:from>
    <xdr:to>
      <xdr:col>7</xdr:col>
      <xdr:colOff>836386</xdr:colOff>
      <xdr:row>77</xdr:row>
      <xdr:rowOff>40641</xdr:rowOff>
    </xdr:to>
    <xdr:graphicFrame macro="">
      <xdr:nvGraphicFramePr>
        <xdr:cNvPr id="6" name="Chart 5">
          <a:extLst>
            <a:ext uri="{FF2B5EF4-FFF2-40B4-BE49-F238E27FC236}">
              <a16:creationId xmlns:a16="http://schemas.microsoft.com/office/drawing/2014/main" id="{EDBFF659-FC18-41EE-BD87-89B7F04F3E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137160</xdr:colOff>
      <xdr:row>28</xdr:row>
      <xdr:rowOff>25400</xdr:rowOff>
    </xdr:from>
    <xdr:to>
      <xdr:col>18</xdr:col>
      <xdr:colOff>679450</xdr:colOff>
      <xdr:row>51</xdr:row>
      <xdr:rowOff>101600</xdr:rowOff>
    </xdr:to>
    <xdr:graphicFrame macro="">
      <xdr:nvGraphicFramePr>
        <xdr:cNvPr id="2" name="Chart 1">
          <a:extLst>
            <a:ext uri="{FF2B5EF4-FFF2-40B4-BE49-F238E27FC236}">
              <a16:creationId xmlns:a16="http://schemas.microsoft.com/office/drawing/2014/main" id="{99B55525-BF02-472B-AAD3-8FA870009C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260349</xdr:colOff>
      <xdr:row>52</xdr:row>
      <xdr:rowOff>36966</xdr:rowOff>
    </xdr:from>
    <xdr:to>
      <xdr:col>18</xdr:col>
      <xdr:colOff>841375</xdr:colOff>
      <xdr:row>76</xdr:row>
      <xdr:rowOff>16328</xdr:rowOff>
    </xdr:to>
    <xdr:graphicFrame macro="">
      <xdr:nvGraphicFramePr>
        <xdr:cNvPr id="3" name="Chart 2">
          <a:extLst>
            <a:ext uri="{FF2B5EF4-FFF2-40B4-BE49-F238E27FC236}">
              <a16:creationId xmlns:a16="http://schemas.microsoft.com/office/drawing/2014/main" id="{04269B69-7868-4696-B3AE-F53C98AA2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2</xdr:row>
      <xdr:rowOff>0</xdr:rowOff>
    </xdr:from>
    <xdr:to>
      <xdr:col>13</xdr:col>
      <xdr:colOff>0</xdr:colOff>
      <xdr:row>4</xdr:row>
      <xdr:rowOff>161925</xdr:rowOff>
    </xdr:to>
    <xdr:sp macro="" textlink="">
      <xdr:nvSpPr>
        <xdr:cNvPr id="2" name="Button 1" hidden="1">
          <a:extLst>
            <a:ext uri="{63B3BB69-23CF-44E3-9099-C40C66FF867C}">
              <a14:compatExt xmlns:a14="http://schemas.microsoft.com/office/drawing/2010/main" spid="_x0000_s3073"/>
            </a:ext>
            <a:ext uri="{FF2B5EF4-FFF2-40B4-BE49-F238E27FC236}">
              <a16:creationId xmlns:a16="http://schemas.microsoft.com/office/drawing/2014/main" id="{7A5DE0DE-A06A-44DD-BE99-A65C2CBCCA03}"/>
            </a:ext>
          </a:extLst>
        </xdr:cNvPr>
        <xdr:cNvSpPr/>
      </xdr:nvSpPr>
      <xdr:spPr bwMode="auto">
        <a:xfrm>
          <a:off x="13808075" y="374650"/>
          <a:ext cx="2435225" cy="542925"/>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Click here to autofill respirator APF and glove PF values.</a:t>
          </a:r>
        </a:p>
      </xdr:txBody>
    </xdr:sp>
    <xdr:clientData fPrintsWithSheet="0"/>
  </xdr:twoCellAnchor>
  <xdr:twoCellAnchor>
    <xdr:from>
      <xdr:col>12</xdr:col>
      <xdr:colOff>600075</xdr:colOff>
      <xdr:row>2</xdr:row>
      <xdr:rowOff>0</xdr:rowOff>
    </xdr:from>
    <xdr:to>
      <xdr:col>13</xdr:col>
      <xdr:colOff>0</xdr:colOff>
      <xdr:row>4</xdr:row>
      <xdr:rowOff>161925</xdr:rowOff>
    </xdr:to>
    <xdr:sp macro="" textlink="">
      <xdr:nvSpPr>
        <xdr:cNvPr id="5" name="Button 1" hidden="1">
          <a:extLst>
            <a:ext uri="{63B3BB69-23CF-44E3-9099-C40C66FF867C}">
              <a14:compatExt xmlns:a14="http://schemas.microsoft.com/office/drawing/2010/main" spid="_x0000_s3073"/>
            </a:ext>
            <a:ext uri="{FF2B5EF4-FFF2-40B4-BE49-F238E27FC236}">
              <a16:creationId xmlns:a16="http://schemas.microsoft.com/office/drawing/2014/main" id="{420663BF-38B9-440B-A86B-C44CC2BC3782}"/>
            </a:ext>
          </a:extLst>
        </xdr:cNvPr>
        <xdr:cNvSpPr/>
      </xdr:nvSpPr>
      <xdr:spPr bwMode="auto">
        <a:xfrm>
          <a:off x="13808075" y="374650"/>
          <a:ext cx="2435225" cy="542925"/>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Click here to autofill respirator APF and glove PF values.</a:t>
          </a:r>
        </a:p>
      </xdr:txBody>
    </xdr:sp>
    <xdr:clientData fPrintsWithSheet="0"/>
  </xdr:twoCellAnchor>
  <xdr:twoCellAnchor>
    <xdr:from>
      <xdr:col>12</xdr:col>
      <xdr:colOff>57150</xdr:colOff>
      <xdr:row>5</xdr:row>
      <xdr:rowOff>87630</xdr:rowOff>
    </xdr:from>
    <xdr:to>
      <xdr:col>12</xdr:col>
      <xdr:colOff>567690</xdr:colOff>
      <xdr:row>5</xdr:row>
      <xdr:rowOff>87630</xdr:rowOff>
    </xdr:to>
    <xdr:cxnSp macro="">
      <xdr:nvCxnSpPr>
        <xdr:cNvPr id="4" name="Straight Arrow Connector 3">
          <a:extLst>
            <a:ext uri="{FF2B5EF4-FFF2-40B4-BE49-F238E27FC236}">
              <a16:creationId xmlns:a16="http://schemas.microsoft.com/office/drawing/2014/main" id="{F6ED44CC-3BA4-D8D9-5080-EA53C6210B87}"/>
            </a:ext>
          </a:extLst>
        </xdr:cNvPr>
        <xdr:cNvCxnSpPr/>
      </xdr:nvCxnSpPr>
      <xdr:spPr>
        <a:xfrm>
          <a:off x="9363075" y="1030605"/>
          <a:ext cx="51054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324972</xdr:colOff>
      <xdr:row>26</xdr:row>
      <xdr:rowOff>37038</xdr:rowOff>
    </xdr:from>
    <xdr:to>
      <xdr:col>8</xdr:col>
      <xdr:colOff>836632</xdr:colOff>
      <xdr:row>46</xdr:row>
      <xdr:rowOff>107429</xdr:rowOff>
    </xdr:to>
    <xdr:graphicFrame macro="">
      <xdr:nvGraphicFramePr>
        <xdr:cNvPr id="2" name="Chart 1">
          <a:extLst>
            <a:ext uri="{FF2B5EF4-FFF2-40B4-BE49-F238E27FC236}">
              <a16:creationId xmlns:a16="http://schemas.microsoft.com/office/drawing/2014/main" id="{8CB4247C-332E-4763-97FF-EFEB2DD09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1042147</xdr:colOff>
      <xdr:row>26</xdr:row>
      <xdr:rowOff>22412</xdr:rowOff>
    </xdr:from>
    <xdr:to>
      <xdr:col>15</xdr:col>
      <xdr:colOff>831139</xdr:colOff>
      <xdr:row>46</xdr:row>
      <xdr:rowOff>100423</xdr:rowOff>
    </xdr:to>
    <xdr:graphicFrame macro="">
      <xdr:nvGraphicFramePr>
        <xdr:cNvPr id="5" name="Chart 4">
          <a:extLst>
            <a:ext uri="{FF2B5EF4-FFF2-40B4-BE49-F238E27FC236}">
              <a16:creationId xmlns:a16="http://schemas.microsoft.com/office/drawing/2014/main" id="{D4614090-6C3D-4657-B5A8-35559A9E0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597648</xdr:colOff>
      <xdr:row>26</xdr:row>
      <xdr:rowOff>67236</xdr:rowOff>
    </xdr:from>
    <xdr:to>
      <xdr:col>25</xdr:col>
      <xdr:colOff>123938</xdr:colOff>
      <xdr:row>46</xdr:row>
      <xdr:rowOff>137627</xdr:rowOff>
    </xdr:to>
    <xdr:graphicFrame macro="">
      <xdr:nvGraphicFramePr>
        <xdr:cNvPr id="3" name="Chart 2">
          <a:extLst>
            <a:ext uri="{FF2B5EF4-FFF2-40B4-BE49-F238E27FC236}">
              <a16:creationId xmlns:a16="http://schemas.microsoft.com/office/drawing/2014/main" id="{A8797D78-41CD-44D4-8249-743428A9D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628275</xdr:colOff>
      <xdr:row>26</xdr:row>
      <xdr:rowOff>1250</xdr:rowOff>
    </xdr:from>
    <xdr:to>
      <xdr:col>38</xdr:col>
      <xdr:colOff>226767</xdr:colOff>
      <xdr:row>46</xdr:row>
      <xdr:rowOff>79261</xdr:rowOff>
    </xdr:to>
    <xdr:graphicFrame macro="">
      <xdr:nvGraphicFramePr>
        <xdr:cNvPr id="6" name="Chart 5">
          <a:extLst>
            <a:ext uri="{FF2B5EF4-FFF2-40B4-BE49-F238E27FC236}">
              <a16:creationId xmlns:a16="http://schemas.microsoft.com/office/drawing/2014/main" id="{B6AE8950-EA19-40CB-BEDA-1AA8C9E14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350416</xdr:colOff>
      <xdr:row>0</xdr:row>
      <xdr:rowOff>164353</xdr:rowOff>
    </xdr:from>
    <xdr:to>
      <xdr:col>5</xdr:col>
      <xdr:colOff>985649</xdr:colOff>
      <xdr:row>3</xdr:row>
      <xdr:rowOff>450850</xdr:rowOff>
    </xdr:to>
    <xdr:sp macro="" textlink="">
      <xdr:nvSpPr>
        <xdr:cNvPr id="7" name="TextBox 6">
          <a:extLst>
            <a:ext uri="{FF2B5EF4-FFF2-40B4-BE49-F238E27FC236}">
              <a16:creationId xmlns:a16="http://schemas.microsoft.com/office/drawing/2014/main" id="{40B47925-2856-4D78-9521-F2DE9A433870}"/>
            </a:ext>
          </a:extLst>
        </xdr:cNvPr>
        <xdr:cNvSpPr txBox="1"/>
      </xdr:nvSpPr>
      <xdr:spPr>
        <a:xfrm>
          <a:off x="858416" y="164353"/>
          <a:ext cx="4000733" cy="984997"/>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900" b="1"/>
            <a:t>Key</a:t>
          </a:r>
          <a:endParaRPr lang="en-US" sz="900"/>
        </a:p>
        <a:p>
          <a:r>
            <a:rPr lang="en-US" sz="900"/>
            <a:t>             =  </a:t>
          </a:r>
          <a:r>
            <a:rPr lang="en-US" sz="900">
              <a:solidFill>
                <a:srgbClr val="FF0000"/>
              </a:solidFill>
            </a:rPr>
            <a:t>Risk</a:t>
          </a:r>
          <a:r>
            <a:rPr lang="en-US" sz="900"/>
            <a:t>.  </a:t>
          </a:r>
          <a:r>
            <a:rPr lang="en-US" sz="900" baseline="0"/>
            <a:t>       </a:t>
          </a:r>
          <a:r>
            <a:rPr lang="en-US" sz="900" i="1"/>
            <a:t>MOE</a:t>
          </a:r>
          <a:r>
            <a:rPr lang="en-US" sz="900" i="1" baseline="-25000"/>
            <a:t>chronic</a:t>
          </a:r>
          <a:r>
            <a:rPr lang="en-US" sz="900" i="1" baseline="0"/>
            <a:t> &lt; MOE</a:t>
          </a:r>
          <a:r>
            <a:rPr lang="en-US" sz="900" i="1" baseline="-25000"/>
            <a:t>benchmark</a:t>
          </a:r>
          <a:endParaRPr lang="en-US" sz="900" i="0" baseline="0"/>
        </a:p>
        <a:p>
          <a:r>
            <a:rPr lang="en-US" sz="900" i="0" baseline="0"/>
            <a:t>                                  </a:t>
          </a:r>
          <a:r>
            <a:rPr lang="en-US" sz="900" i="1" baseline="0"/>
            <a:t>Cancer Risk &gt; Benchmark Cancer Risk Level</a:t>
          </a:r>
        </a:p>
        <a:p>
          <a:endParaRPr lang="en-US" sz="900" i="1" baseline="0"/>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latin typeface="+mn-lt"/>
              <a:ea typeface="+mn-ea"/>
              <a:cs typeface="+mn-cs"/>
            </a:rPr>
            <a:t>             =  </a:t>
          </a:r>
          <a:r>
            <a:rPr lang="en-US" sz="900">
              <a:solidFill>
                <a:srgbClr val="339933"/>
              </a:solidFill>
              <a:latin typeface="+mn-lt"/>
              <a:ea typeface="+mn-ea"/>
              <a:cs typeface="+mn-cs"/>
            </a:rPr>
            <a:t>No Risk</a:t>
          </a:r>
          <a:r>
            <a:rPr lang="en-US" sz="900">
              <a:solidFill>
                <a:schemeClr val="dk1"/>
              </a:solidFill>
              <a:latin typeface="+mn-lt"/>
              <a:ea typeface="+mn-ea"/>
              <a:cs typeface="+mn-cs"/>
            </a:rPr>
            <a:t>.   </a:t>
          </a:r>
          <a:r>
            <a:rPr lang="en-US" sz="900" i="1">
              <a:solidFill>
                <a:schemeClr val="dk1"/>
              </a:solidFill>
              <a:latin typeface="+mn-lt"/>
              <a:ea typeface="+mn-ea"/>
              <a:cs typeface="+mn-cs"/>
            </a:rPr>
            <a:t>MOE</a:t>
          </a:r>
          <a:r>
            <a:rPr lang="en-US" sz="900" i="1" baseline="-25000">
              <a:solidFill>
                <a:schemeClr val="dk1"/>
              </a:solidFill>
              <a:latin typeface="+mn-lt"/>
              <a:ea typeface="+mn-ea"/>
              <a:cs typeface="+mn-cs"/>
            </a:rPr>
            <a:t>chronic</a:t>
          </a:r>
          <a:r>
            <a:rPr lang="en-US" sz="900" i="1" baseline="0">
              <a:solidFill>
                <a:schemeClr val="dk1"/>
              </a:solidFill>
              <a:latin typeface="+mn-lt"/>
              <a:ea typeface="+mn-ea"/>
              <a:cs typeface="+mn-cs"/>
            </a:rPr>
            <a:t> ≥ MOE</a:t>
          </a:r>
          <a:r>
            <a:rPr lang="en-US" sz="900" i="1" baseline="-25000">
              <a:solidFill>
                <a:schemeClr val="dk1"/>
              </a:solidFill>
              <a:latin typeface="+mn-lt"/>
              <a:ea typeface="+mn-ea"/>
              <a:cs typeface="+mn-cs"/>
            </a:rPr>
            <a:t>benchmark</a:t>
          </a:r>
          <a:endParaRPr lang="en-US" sz="900" i="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900" i="0" baseline="0">
              <a:solidFill>
                <a:schemeClr val="dk1"/>
              </a:solidFill>
              <a:latin typeface="+mn-lt"/>
              <a:ea typeface="+mn-ea"/>
              <a:cs typeface="+mn-cs"/>
            </a:rPr>
            <a:t>                                  </a:t>
          </a:r>
          <a:r>
            <a:rPr lang="en-US" sz="900" i="1" baseline="0">
              <a:solidFill>
                <a:schemeClr val="dk1"/>
              </a:solidFill>
              <a:latin typeface="+mn-lt"/>
              <a:ea typeface="+mn-ea"/>
              <a:cs typeface="+mn-cs"/>
            </a:rPr>
            <a:t>Cancer Risk ≤ Benchmark Cancer Risk Level</a:t>
          </a:r>
          <a:endParaRPr lang="en-US" sz="9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39370</xdr:colOff>
      <xdr:row>24</xdr:row>
      <xdr:rowOff>132080</xdr:rowOff>
    </xdr:from>
    <xdr:ext cx="5816899" cy="1663786"/>
    <xdr:pic>
      <xdr:nvPicPr>
        <xdr:cNvPr id="2" name="Picture 1">
          <a:extLst>
            <a:ext uri="{FF2B5EF4-FFF2-40B4-BE49-F238E27FC236}">
              <a16:creationId xmlns:a16="http://schemas.microsoft.com/office/drawing/2014/main" id="{D0AED88F-866E-4507-A533-F19B86264FD1}"/>
            </a:ext>
          </a:extLst>
        </xdr:cNvPr>
        <xdr:cNvPicPr>
          <a:picLocks noChangeAspect="1"/>
        </xdr:cNvPicPr>
      </xdr:nvPicPr>
      <xdr:blipFill>
        <a:blip xmlns:r="http://schemas.openxmlformats.org/officeDocument/2006/relationships" r:embed="rId1"/>
        <a:stretch>
          <a:fillRect/>
        </a:stretch>
      </xdr:blipFill>
      <xdr:spPr>
        <a:xfrm>
          <a:off x="210820" y="12390755"/>
          <a:ext cx="5816899" cy="1663786"/>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8689-A450-452D-853F-06D5C6F82A6E}">
  <sheetPr>
    <tabColor rgb="FF92D050"/>
  </sheetPr>
  <dimension ref="A1:A12"/>
  <sheetViews>
    <sheetView workbookViewId="0"/>
  </sheetViews>
  <sheetFormatPr defaultRowHeight="15"/>
  <cols>
    <col min="1" max="1" width="64.140625" style="138" customWidth="1"/>
  </cols>
  <sheetData>
    <row r="1" spans="1:1">
      <c r="A1" s="279" t="s">
        <v>0</v>
      </c>
    </row>
    <row r="2" spans="1:1" ht="20.25">
      <c r="A2" s="135" t="s">
        <v>1</v>
      </c>
    </row>
    <row r="7" spans="1:1" ht="20.25">
      <c r="A7" s="135" t="s">
        <v>2</v>
      </c>
    </row>
    <row r="8" spans="1:1" ht="20.25">
      <c r="A8" s="136" t="s">
        <v>3</v>
      </c>
    </row>
    <row r="9" spans="1:1" ht="20.25">
      <c r="A9" s="137" t="s">
        <v>4</v>
      </c>
    </row>
    <row r="10" spans="1:1" ht="20.25">
      <c r="A10" s="135" t="s">
        <v>5</v>
      </c>
    </row>
    <row r="12" spans="1:1" ht="19.5">
      <c r="A12" s="16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1240-2A0D-4766-9250-85744E11E255}">
  <dimension ref="B3:E21"/>
  <sheetViews>
    <sheetView workbookViewId="0"/>
  </sheetViews>
  <sheetFormatPr defaultColWidth="9.140625" defaultRowHeight="15"/>
  <cols>
    <col min="1" max="1" width="4.5703125" style="2" customWidth="1"/>
    <col min="2" max="2" width="33" style="2" customWidth="1"/>
    <col min="3" max="3" width="10.42578125" style="2" customWidth="1"/>
    <col min="4" max="4" width="12.42578125" style="2" customWidth="1"/>
    <col min="5" max="5" width="16.5703125" style="2" bestFit="1" customWidth="1"/>
    <col min="6" max="16384" width="9.140625" style="2"/>
  </cols>
  <sheetData>
    <row r="3" spans="2:5" ht="18.75">
      <c r="B3" s="1" t="s">
        <v>265</v>
      </c>
    </row>
    <row r="4" spans="2:5" ht="15.75" thickBot="1"/>
    <row r="5" spans="2:5" ht="45.75" thickBot="1">
      <c r="C5" s="133" t="s">
        <v>266</v>
      </c>
      <c r="D5" s="134" t="s">
        <v>267</v>
      </c>
      <c r="E5" s="134" t="s">
        <v>268</v>
      </c>
    </row>
    <row r="6" spans="2:5">
      <c r="B6" s="83" t="s">
        <v>269</v>
      </c>
      <c r="C6" s="130">
        <v>80</v>
      </c>
      <c r="D6" s="131">
        <f>AVERAGE(65.9,71.9,74.8,77.1)</f>
        <v>72.425000000000011</v>
      </c>
      <c r="E6" s="132"/>
    </row>
    <row r="7" spans="2:5" ht="17.25" customHeight="1">
      <c r="B7" s="83" t="s">
        <v>270</v>
      </c>
      <c r="C7" s="117">
        <v>40</v>
      </c>
      <c r="D7" s="119">
        <v>40</v>
      </c>
      <c r="E7" s="118" t="s">
        <v>86</v>
      </c>
    </row>
    <row r="8" spans="2:5" ht="30">
      <c r="B8" s="83" t="s">
        <v>271</v>
      </c>
      <c r="C8" s="117">
        <v>31</v>
      </c>
      <c r="D8" s="119">
        <v>31</v>
      </c>
      <c r="E8" s="118" t="s">
        <v>89</v>
      </c>
    </row>
    <row r="9" spans="2:5" ht="15.75" thickBot="1">
      <c r="B9" s="84" t="s">
        <v>272</v>
      </c>
      <c r="C9" s="120">
        <v>78</v>
      </c>
      <c r="D9" s="121">
        <v>78</v>
      </c>
      <c r="E9" s="122"/>
    </row>
    <row r="10" spans="2:5">
      <c r="B10" s="437"/>
      <c r="C10" s="437"/>
      <c r="D10" s="438"/>
      <c r="E10" s="438"/>
    </row>
    <row r="11" spans="2:5">
      <c r="B11" s="310"/>
      <c r="C11" s="310"/>
      <c r="D11" s="310"/>
      <c r="E11" s="310"/>
    </row>
    <row r="12" spans="2:5">
      <c r="B12" s="43" t="s">
        <v>273</v>
      </c>
    </row>
    <row r="13" spans="2:5">
      <c r="B13" s="44" t="s">
        <v>274</v>
      </c>
    </row>
    <row r="14" spans="2:5">
      <c r="B14" s="2" t="s">
        <v>275</v>
      </c>
    </row>
    <row r="15" spans="2:5">
      <c r="B15" s="2" t="s">
        <v>276</v>
      </c>
    </row>
    <row r="16" spans="2:5">
      <c r="B16" s="2" t="s">
        <v>277</v>
      </c>
    </row>
    <row r="17" spans="2:5">
      <c r="B17" s="2" t="s">
        <v>278</v>
      </c>
    </row>
    <row r="18" spans="2:5">
      <c r="B18" s="2" t="s">
        <v>279</v>
      </c>
    </row>
    <row r="21" spans="2:5" ht="78" customHeight="1">
      <c r="B21" s="436" t="s">
        <v>280</v>
      </c>
      <c r="C21" s="436"/>
      <c r="D21" s="436"/>
      <c r="E21" s="436"/>
    </row>
  </sheetData>
  <mergeCells count="2">
    <mergeCell ref="B21:E21"/>
    <mergeCell ref="B10:E10"/>
  </mergeCells>
  <phoneticPr fontId="3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C5E6-FBC2-4B72-8208-0297D949E5B3}">
  <dimension ref="A1:B14"/>
  <sheetViews>
    <sheetView tabSelected="1" workbookViewId="0">
      <selection sqref="A1:B1"/>
    </sheetView>
  </sheetViews>
  <sheetFormatPr defaultRowHeight="15"/>
  <cols>
    <col min="1" max="1" width="27.85546875" customWidth="1"/>
    <col min="2" max="2" width="110.140625" customWidth="1"/>
  </cols>
  <sheetData>
    <row r="1" spans="1:2" ht="15.75">
      <c r="A1" s="311" t="s">
        <v>6</v>
      </c>
      <c r="B1" s="311"/>
    </row>
    <row r="2" spans="1:2" s="139" customFormat="1" ht="15.75">
      <c r="A2" s="312" t="s">
        <v>7</v>
      </c>
      <c r="B2" s="312"/>
    </row>
    <row r="3" spans="1:2" s="139" customFormat="1" ht="16.5" thickBot="1">
      <c r="A3" s="280" t="s">
        <v>8</v>
      </c>
      <c r="B3" s="281"/>
    </row>
    <row r="4" spans="1:2" s="140" customFormat="1" ht="77.25" customHeight="1" thickTop="1">
      <c r="A4" s="313" t="s">
        <v>9</v>
      </c>
      <c r="B4" s="314"/>
    </row>
    <row r="5" spans="1:2" s="139" customFormat="1" ht="15.75">
      <c r="A5" s="315"/>
      <c r="B5" s="316"/>
    </row>
    <row r="6" spans="1:2" s="139" customFormat="1" ht="15.75">
      <c r="A6" s="282" t="s">
        <v>10</v>
      </c>
      <c r="B6" s="283" t="s">
        <v>11</v>
      </c>
    </row>
    <row r="7" spans="1:2" s="139" customFormat="1" ht="31.5">
      <c r="A7" s="284" t="s">
        <v>12</v>
      </c>
      <c r="B7" s="285" t="s">
        <v>13</v>
      </c>
    </row>
    <row r="8" spans="1:2" s="139" customFormat="1" ht="162">
      <c r="A8" s="284" t="s">
        <v>14</v>
      </c>
      <c r="B8" s="289" t="s">
        <v>15</v>
      </c>
    </row>
    <row r="9" spans="1:2" s="139" customFormat="1" ht="44.25">
      <c r="A9" s="286" t="s">
        <v>16</v>
      </c>
      <c r="B9" s="289" t="s">
        <v>17</v>
      </c>
    </row>
    <row r="10" spans="1:2" s="139" customFormat="1" ht="87.75">
      <c r="A10" s="286" t="s">
        <v>18</v>
      </c>
      <c r="B10" s="289" t="s">
        <v>19</v>
      </c>
    </row>
    <row r="11" spans="1:2" s="139" customFormat="1" ht="63.75" thickBot="1">
      <c r="A11" s="287" t="s">
        <v>20</v>
      </c>
      <c r="B11" s="288" t="s">
        <v>21</v>
      </c>
    </row>
    <row r="12" spans="1:2" ht="15.75" thickTop="1">
      <c r="A12" s="141"/>
      <c r="B12" s="142"/>
    </row>
    <row r="14" spans="1:2">
      <c r="B14" s="143"/>
    </row>
  </sheetData>
  <sheetProtection sheet="1" objects="1" scenarios="1"/>
  <mergeCells count="4">
    <mergeCell ref="A1:B1"/>
    <mergeCell ref="A2:B2"/>
    <mergeCell ref="A4:B4"/>
    <mergeCell ref="A5: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4CE1-2CC1-4DFD-A91C-24BC071196AB}">
  <dimension ref="A1:J38"/>
  <sheetViews>
    <sheetView workbookViewId="0">
      <selection activeCell="D6" sqref="D6:D7"/>
    </sheetView>
  </sheetViews>
  <sheetFormatPr defaultRowHeight="15"/>
  <cols>
    <col min="1" max="1" width="18.140625" customWidth="1"/>
    <col min="2" max="3" width="48.85546875" customWidth="1"/>
    <col min="4" max="4" width="50.140625" customWidth="1"/>
    <col min="5" max="5" width="18.42578125" customWidth="1"/>
    <col min="7" max="7" width="40.42578125" customWidth="1"/>
    <col min="8" max="8" width="19.5703125" customWidth="1"/>
    <col min="9" max="9" width="45.5703125" customWidth="1"/>
  </cols>
  <sheetData>
    <row r="1" spans="1:10">
      <c r="A1" t="s">
        <v>22</v>
      </c>
    </row>
    <row r="3" spans="1:10">
      <c r="A3" s="212" t="s">
        <v>23</v>
      </c>
      <c r="B3" s="212" t="s">
        <v>24</v>
      </c>
      <c r="C3" s="212" t="s">
        <v>25</v>
      </c>
      <c r="D3" s="212" t="s">
        <v>26</v>
      </c>
      <c r="E3" s="211" t="s">
        <v>27</v>
      </c>
      <c r="G3" s="210" t="s">
        <v>28</v>
      </c>
      <c r="H3" s="322" t="s">
        <v>11</v>
      </c>
      <c r="I3" s="322"/>
      <c r="J3" s="322"/>
    </row>
    <row r="4" spans="1:10" ht="41.45" customHeight="1">
      <c r="A4" s="319" t="s">
        <v>29</v>
      </c>
      <c r="B4" s="321" t="s">
        <v>30</v>
      </c>
      <c r="C4" s="321" t="s">
        <v>31</v>
      </c>
      <c r="D4" s="291" t="s">
        <v>32</v>
      </c>
      <c r="E4" s="236">
        <v>1</v>
      </c>
      <c r="G4" s="291" t="s">
        <v>33</v>
      </c>
      <c r="H4" s="319" t="s">
        <v>34</v>
      </c>
      <c r="I4" s="319"/>
      <c r="J4" s="319"/>
    </row>
    <row r="5" spans="1:10" ht="51.95" customHeight="1">
      <c r="A5" s="319"/>
      <c r="B5" s="321"/>
      <c r="C5" s="321"/>
      <c r="D5" s="291" t="s">
        <v>35</v>
      </c>
      <c r="E5" s="236">
        <v>2</v>
      </c>
      <c r="G5" s="291" t="s">
        <v>36</v>
      </c>
      <c r="H5" s="319" t="s">
        <v>37</v>
      </c>
      <c r="I5" s="319"/>
      <c r="J5" s="319"/>
    </row>
    <row r="6" spans="1:10" ht="30">
      <c r="A6" s="319"/>
      <c r="B6" s="321"/>
      <c r="C6" s="292" t="s">
        <v>38</v>
      </c>
      <c r="D6" s="320" t="s">
        <v>39</v>
      </c>
      <c r="E6" s="323">
        <v>3</v>
      </c>
      <c r="G6" s="291" t="s">
        <v>40</v>
      </c>
      <c r="H6" s="319" t="s">
        <v>41</v>
      </c>
      <c r="I6" s="319"/>
      <c r="J6" s="319"/>
    </row>
    <row r="7" spans="1:10" ht="31.7" customHeight="1">
      <c r="A7" s="319"/>
      <c r="B7" s="321"/>
      <c r="C7" s="292" t="s">
        <v>42</v>
      </c>
      <c r="D7" s="320"/>
      <c r="E7" s="324"/>
    </row>
    <row r="8" spans="1:10">
      <c r="A8" s="319"/>
      <c r="B8" s="321"/>
      <c r="C8" s="292" t="s">
        <v>43</v>
      </c>
      <c r="D8" s="320" t="s">
        <v>44</v>
      </c>
      <c r="E8" s="323">
        <v>4</v>
      </c>
    </row>
    <row r="9" spans="1:10">
      <c r="A9" s="319"/>
      <c r="B9" s="321"/>
      <c r="C9" s="292" t="s">
        <v>45</v>
      </c>
      <c r="D9" s="320"/>
      <c r="E9" s="325"/>
    </row>
    <row r="10" spans="1:10">
      <c r="A10" s="319"/>
      <c r="B10" s="321"/>
      <c r="C10" s="292" t="s">
        <v>46</v>
      </c>
      <c r="D10" s="320"/>
      <c r="E10" s="324"/>
    </row>
    <row r="11" spans="1:10" ht="36" customHeight="1">
      <c r="A11" s="319"/>
      <c r="B11" s="321" t="s">
        <v>47</v>
      </c>
      <c r="C11" s="321" t="s">
        <v>48</v>
      </c>
      <c r="D11" s="291" t="s">
        <v>49</v>
      </c>
      <c r="E11" s="236">
        <v>1</v>
      </c>
    </row>
    <row r="12" spans="1:10" ht="41.45" customHeight="1">
      <c r="A12" s="319"/>
      <c r="B12" s="321"/>
      <c r="C12" s="321"/>
      <c r="D12" s="291" t="s">
        <v>35</v>
      </c>
      <c r="E12" s="236">
        <v>2</v>
      </c>
    </row>
    <row r="13" spans="1:10" ht="36" customHeight="1">
      <c r="A13" s="319"/>
      <c r="B13" s="321"/>
      <c r="C13" s="292" t="s">
        <v>50</v>
      </c>
      <c r="D13" s="291" t="s">
        <v>44</v>
      </c>
      <c r="E13" s="236">
        <v>4</v>
      </c>
    </row>
    <row r="14" spans="1:10" ht="45">
      <c r="A14" s="319"/>
      <c r="B14" s="321" t="s">
        <v>51</v>
      </c>
      <c r="C14" s="292" t="s">
        <v>52</v>
      </c>
      <c r="D14" s="320" t="s">
        <v>44</v>
      </c>
      <c r="E14" s="323">
        <v>4</v>
      </c>
    </row>
    <row r="15" spans="1:10" ht="45">
      <c r="A15" s="319"/>
      <c r="B15" s="321"/>
      <c r="C15" s="292" t="s">
        <v>53</v>
      </c>
      <c r="D15" s="320"/>
      <c r="E15" s="325"/>
    </row>
    <row r="16" spans="1:10">
      <c r="A16" s="319"/>
      <c r="B16" s="321" t="s">
        <v>54</v>
      </c>
      <c r="C16" s="292" t="s">
        <v>55</v>
      </c>
      <c r="D16" s="320"/>
      <c r="E16" s="325"/>
    </row>
    <row r="17" spans="1:5">
      <c r="A17" s="319"/>
      <c r="B17" s="321"/>
      <c r="C17" s="292" t="s">
        <v>56</v>
      </c>
      <c r="D17" s="320"/>
      <c r="E17" s="324"/>
    </row>
    <row r="18" spans="1:5" ht="30">
      <c r="A18" s="319"/>
      <c r="B18" s="290" t="s">
        <v>57</v>
      </c>
      <c r="C18" s="292" t="s">
        <v>58</v>
      </c>
      <c r="D18" s="320" t="s">
        <v>59</v>
      </c>
      <c r="E18" s="317" t="s">
        <v>60</v>
      </c>
    </row>
    <row r="19" spans="1:5" ht="30">
      <c r="A19" s="319"/>
      <c r="B19" s="290" t="s">
        <v>61</v>
      </c>
      <c r="C19" s="292" t="s">
        <v>62</v>
      </c>
      <c r="D19" s="320"/>
      <c r="E19" s="318"/>
    </row>
    <row r="20" spans="1:5" ht="45">
      <c r="A20" s="237" t="s">
        <v>63</v>
      </c>
      <c r="B20" s="237" t="s">
        <v>63</v>
      </c>
      <c r="C20" s="237" t="s">
        <v>63</v>
      </c>
      <c r="D20" s="238" t="s">
        <v>64</v>
      </c>
      <c r="E20" s="236">
        <v>5</v>
      </c>
    </row>
    <row r="38" spans="6:6">
      <c r="F38" s="209"/>
    </row>
  </sheetData>
  <mergeCells count="19">
    <mergeCell ref="H3:J3"/>
    <mergeCell ref="H4:J4"/>
    <mergeCell ref="E6:E7"/>
    <mergeCell ref="E8:E10"/>
    <mergeCell ref="E14:E17"/>
    <mergeCell ref="E18:E19"/>
    <mergeCell ref="H5:J5"/>
    <mergeCell ref="H6:J6"/>
    <mergeCell ref="D18:D19"/>
    <mergeCell ref="A4:A19"/>
    <mergeCell ref="B4:B10"/>
    <mergeCell ref="C4:C5"/>
    <mergeCell ref="D6:D7"/>
    <mergeCell ref="D8:D10"/>
    <mergeCell ref="B11:B13"/>
    <mergeCell ref="C11:C12"/>
    <mergeCell ref="B14:B15"/>
    <mergeCell ref="D14:D17"/>
    <mergeCell ref="B16:B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W85"/>
  <sheetViews>
    <sheetView zoomScale="70" zoomScaleNormal="70" zoomScaleSheetLayoutView="40" workbookViewId="0"/>
  </sheetViews>
  <sheetFormatPr defaultColWidth="8.85546875" defaultRowHeight="15"/>
  <cols>
    <col min="1" max="1" width="2.42578125" style="9" customWidth="1"/>
    <col min="2" max="2" width="5.5703125" style="8" bestFit="1" customWidth="1"/>
    <col min="3" max="3" width="26.140625" style="9" customWidth="1"/>
    <col min="4" max="4" width="14.42578125" style="8" customWidth="1"/>
    <col min="5" max="5" width="19.5703125" style="9" customWidth="1"/>
    <col min="6" max="6" width="23.42578125" style="9" customWidth="1"/>
    <col min="7" max="12" width="15" style="9" customWidth="1"/>
    <col min="13" max="13" width="16.140625" style="9" customWidth="1"/>
    <col min="14" max="14" width="27.42578125" style="9" customWidth="1"/>
    <col min="15" max="15" width="15.140625" style="9" customWidth="1"/>
    <col min="16" max="16" width="18" style="9" customWidth="1"/>
    <col min="17" max="17" width="18" style="9" bestFit="1" customWidth="1"/>
    <col min="18" max="23" width="15.85546875" style="9" customWidth="1"/>
    <col min="24" max="16384" width="8.85546875" style="9"/>
  </cols>
  <sheetData>
    <row r="1" spans="1:20" ht="15.75" thickBot="1"/>
    <row r="2" spans="1:20" s="11" customFormat="1" ht="57" thickBot="1">
      <c r="B2" s="18"/>
      <c r="C2" s="341" t="s">
        <v>65</v>
      </c>
      <c r="D2" s="342"/>
      <c r="E2" s="111"/>
      <c r="F2" s="171" t="s">
        <v>66</v>
      </c>
      <c r="H2" s="111"/>
      <c r="I2" s="111"/>
    </row>
    <row r="3" spans="1:20" s="11" customFormat="1" ht="56.25" customHeight="1" thickBot="1">
      <c r="B3" s="18"/>
      <c r="C3" s="339" t="s">
        <v>67</v>
      </c>
      <c r="D3" s="340"/>
      <c r="E3" s="112"/>
      <c r="F3" s="167" t="s">
        <v>68</v>
      </c>
      <c r="H3" s="112"/>
      <c r="I3" s="112"/>
    </row>
    <row r="4" spans="1:20" s="11" customFormat="1" ht="62.45" customHeight="1" thickBot="1">
      <c r="B4" s="18"/>
      <c r="C4" s="337" t="s">
        <v>32</v>
      </c>
      <c r="D4" s="338"/>
      <c r="E4" s="166"/>
      <c r="F4" s="168">
        <v>50</v>
      </c>
      <c r="H4" s="170"/>
      <c r="I4" s="169"/>
    </row>
    <row r="5" spans="1:20" s="11" customFormat="1" ht="21">
      <c r="A5" s="50"/>
      <c r="B5" s="18"/>
      <c r="E5" s="20"/>
      <c r="F5" s="336"/>
      <c r="G5" s="336"/>
      <c r="H5" s="295"/>
      <c r="I5" s="295"/>
      <c r="J5" s="295"/>
      <c r="K5" s="295"/>
      <c r="L5" s="295"/>
      <c r="M5" s="295"/>
      <c r="R5" s="58"/>
      <c r="S5" s="56"/>
      <c r="T5" s="51"/>
    </row>
    <row r="6" spans="1:20" s="11" customFormat="1" ht="21">
      <c r="B6" s="18"/>
      <c r="C6" s="51" t="s">
        <v>69</v>
      </c>
      <c r="D6" s="18"/>
      <c r="E6" s="20"/>
      <c r="F6" s="20"/>
      <c r="G6" s="20"/>
      <c r="L6" s="20"/>
      <c r="N6" s="51" t="s">
        <v>70</v>
      </c>
      <c r="O6" s="18"/>
      <c r="P6" s="20"/>
      <c r="Q6" s="20"/>
    </row>
    <row r="7" spans="1:20" ht="21">
      <c r="C7" s="10" t="s">
        <v>71</v>
      </c>
      <c r="F7" s="114"/>
      <c r="G7" s="114"/>
      <c r="N7" s="10" t="s">
        <v>71</v>
      </c>
      <c r="O7" s="8"/>
      <c r="Q7" s="114"/>
    </row>
    <row r="8" spans="1:20" ht="25.5">
      <c r="C8" s="329" t="s">
        <v>28</v>
      </c>
      <c r="D8" s="327" t="s">
        <v>72</v>
      </c>
      <c r="E8" s="296" t="s">
        <v>73</v>
      </c>
      <c r="F8" s="296" t="s">
        <v>74</v>
      </c>
      <c r="G8" s="296" t="s">
        <v>75</v>
      </c>
      <c r="N8" s="329" t="s">
        <v>28</v>
      </c>
      <c r="O8" s="327" t="s">
        <v>72</v>
      </c>
      <c r="P8" s="296" t="s">
        <v>76</v>
      </c>
      <c r="Q8" s="296" t="s">
        <v>77</v>
      </c>
      <c r="R8" s="296" t="s">
        <v>74</v>
      </c>
      <c r="S8" s="296" t="s">
        <v>75</v>
      </c>
    </row>
    <row r="9" spans="1:20" ht="36.75" customHeight="1">
      <c r="C9" s="329"/>
      <c r="D9" s="327"/>
      <c r="E9" s="296" t="s">
        <v>78</v>
      </c>
      <c r="F9" s="296" t="s">
        <v>79</v>
      </c>
      <c r="G9" s="296" t="s">
        <v>80</v>
      </c>
      <c r="N9" s="329"/>
      <c r="O9" s="327"/>
      <c r="P9" s="296" t="s">
        <v>81</v>
      </c>
      <c r="Q9" s="296" t="s">
        <v>82</v>
      </c>
      <c r="R9" s="296" t="s">
        <v>83</v>
      </c>
      <c r="S9" s="296" t="s">
        <v>84</v>
      </c>
    </row>
    <row r="10" spans="1:20">
      <c r="C10" s="249" t="s">
        <v>85</v>
      </c>
      <c r="D10" s="330" t="s">
        <v>86</v>
      </c>
      <c r="E10" s="248">
        <f>SUMIFS('Inhalation Exposure'!$I$6:$I$24,'Inhalation Exposure'!$C$6:$C$24,Dashboard!$C$4,'Inhalation Exposure'!$D$6:$D$24,Dashboard!C10)</f>
        <v>0.42899999999999872</v>
      </c>
      <c r="F10" s="248">
        <f>SUMIFS('Inhalation Exposure'!$O$6:$O$24,'Inhalation Exposure'!$C$6:$C$24,Dashboard!$C$4,'Inhalation Exposure'!$D$6:$D$24,Dashboard!C10)</f>
        <v>1.9589041095890353E-2</v>
      </c>
      <c r="G10" s="248">
        <f>SUMIFS('Inhalation Exposure'!$S$6:$S$24,'Inhalation Exposure'!$C$6:$C$24,Dashboard!$C$4,'Inhalation Exposure'!$D$6:$D$24,Dashboard!C10)</f>
        <v>2.3506849315068422E-3</v>
      </c>
      <c r="L10" s="199"/>
      <c r="N10" s="249" t="s">
        <v>85</v>
      </c>
      <c r="O10" s="330" t="s">
        <v>86</v>
      </c>
      <c r="P10" s="248">
        <f>SUMIFS('Inhalation Exposure'!$K$6:$K$24,'Inhalation Exposure'!$C$6:$C$24,Dashboard!$C$4,'Inhalation Exposure'!$D$6:$D$24,Dashboard!N10)</f>
        <v>0.15579999999999966</v>
      </c>
      <c r="Q10" s="248">
        <f>SUMIFS('Inhalation Exposure'!$M$6:$M$24,'Inhalation Exposure'!$C$6:$C$24,Dashboard!$C$4,'Inhalation Exposure'!$D$6:$D$24,Dashboard!N10)</f>
        <v>0.41192499999999876</v>
      </c>
      <c r="R10" s="248">
        <f>SUMIFS('Inhalation Exposure'!$Q$6:$Q$24,'Inhalation Exposure'!$C$6:$C$24,Dashboard!$C$4,'Inhalation Exposure'!$D$6:$D$24,Dashboard!N10)</f>
        <v>1.8809360730593552E-2</v>
      </c>
      <c r="S10" s="248">
        <f>SUMIFS('Inhalation Exposure'!$U$6:$U$24,'Inhalation Exposure'!$C$6:$C$24,Dashboard!$C$4,'Inhalation Exposure'!$D$6:$D$24,Dashboard!N10)</f>
        <v>2.257123287671226E-3</v>
      </c>
    </row>
    <row r="11" spans="1:20">
      <c r="C11" s="249" t="s">
        <v>87</v>
      </c>
      <c r="D11" s="330"/>
      <c r="E11" s="248">
        <f>SUMIFS('Inhalation Exposure'!$I$6:$I$24,'Inhalation Exposure'!$C$6:$C$24,Dashboard!$C$4,'Inhalation Exposure'!$D$6:$D$24,Dashboard!C11)</f>
        <v>0.21921874999999999</v>
      </c>
      <c r="F11" s="248">
        <f>SUMIFS('Inhalation Exposure'!$O$6:$O$24,'Inhalation Exposure'!$C$6:$C$24,Dashboard!$C$4,'Inhalation Exposure'!$D$6:$D$24,Dashboard!C11)</f>
        <v>1.0009988584474886E-2</v>
      </c>
      <c r="G11" s="248">
        <f>SUMIFS('Inhalation Exposure'!$S$6:$S$24,'Inhalation Exposure'!$C$6:$C$24,Dashboard!$C$4,'Inhalation Exposure'!$D$6:$D$24,Dashboard!C11)</f>
        <v>1.2011986301369863E-3</v>
      </c>
      <c r="L11" s="199"/>
      <c r="N11" s="249" t="s">
        <v>87</v>
      </c>
      <c r="O11" s="330"/>
      <c r="P11" s="248">
        <f>SUMIFS('Inhalation Exposure'!$K$6:$K$24,'Inhalation Exposure'!$C$6:$C$24,Dashboard!$C$4,'Inhalation Exposure'!$D$6:$D$24,Dashboard!N11)</f>
        <v>2.5035153451726647E-2</v>
      </c>
      <c r="Q11" s="248">
        <f>SUMIFS('Inhalation Exposure'!$M$6:$M$24,'Inhalation Exposure'!$C$6:$C$24,Dashboard!$C$4,'Inhalation Exposure'!$D$6:$D$24,Dashboard!N11)</f>
        <v>0.20708227521573291</v>
      </c>
      <c r="R11" s="248">
        <f>SUMIFS('Inhalation Exposure'!$Q$6:$Q$24,'Inhalation Exposure'!$C$6:$C$24,Dashboard!$C$4,'Inhalation Exposure'!$D$6:$D$24,Dashboard!N11)</f>
        <v>9.4558116536864346E-3</v>
      </c>
      <c r="S11" s="248">
        <f>SUMIFS('Inhalation Exposure'!$U$6:$U$24,'Inhalation Exposure'!$C$6:$C$24,Dashboard!$C$4,'Inhalation Exposure'!$D$6:$D$24,Dashboard!N11)</f>
        <v>1.1346973984423722E-3</v>
      </c>
    </row>
    <row r="12" spans="1:20">
      <c r="C12" s="249" t="s">
        <v>88</v>
      </c>
      <c r="D12" s="330"/>
      <c r="E12" s="248">
        <f>SUMIFS('Inhalation Exposure'!$I$6:$I$24,'Inhalation Exposure'!$C$6:$C$24,Dashboard!$C$4,'Inhalation Exposure'!$D$6:$D$24,Dashboard!C12)</f>
        <v>4.5999999999999999E-2</v>
      </c>
      <c r="F12" s="248">
        <f>SUMIFS('Inhalation Exposure'!$O$6:$O$24,'Inhalation Exposure'!$C$6:$C$24,Dashboard!$C$4,'Inhalation Exposure'!$D$6:$D$24,Dashboard!C12)</f>
        <v>2.100456621004566E-3</v>
      </c>
      <c r="G12" s="248">
        <f>SUMIFS('Inhalation Exposure'!$S$6:$S$24,'Inhalation Exposure'!$C$6:$C$24,Dashboard!$C$4,'Inhalation Exposure'!$D$6:$D$24,Dashboard!C12)</f>
        <v>2.5205479452054791E-4</v>
      </c>
      <c r="L12" s="198"/>
      <c r="N12" s="249" t="s">
        <v>88</v>
      </c>
      <c r="O12" s="330"/>
      <c r="P12" s="248">
        <f>SUMIFS('Inhalation Exposure'!$K$6:$K$24,'Inhalation Exposure'!$C$6:$C$24,Dashboard!$C$4,'Inhalation Exposure'!$D$6:$D$24,Dashboard!N12)</f>
        <v>5.2999999999999999E-2</v>
      </c>
      <c r="Q12" s="248">
        <f>SUMIFS('Inhalation Exposure'!$M$6:$M$24,'Inhalation Exposure'!$C$6:$C$24,Dashboard!$C$4,'Inhalation Exposure'!$D$6:$D$24,Dashboard!N12)</f>
        <v>4.64375E-2</v>
      </c>
      <c r="R12" s="248">
        <f>SUMIFS('Inhalation Exposure'!$Q$6:$Q$24,'Inhalation Exposure'!$C$6:$C$24,Dashboard!$C$4,'Inhalation Exposure'!$D$6:$D$24,Dashboard!N12)</f>
        <v>2.1204337899543377E-3</v>
      </c>
      <c r="S12" s="248">
        <f>SUMIFS('Inhalation Exposure'!$U$6:$U$24,'Inhalation Exposure'!$C$6:$C$24,Dashboard!$C$4,'Inhalation Exposure'!$D$6:$D$24,Dashboard!N12)</f>
        <v>2.5445205479452055E-4</v>
      </c>
    </row>
    <row r="13" spans="1:20" ht="15" customHeight="1">
      <c r="C13" s="249" t="s">
        <v>85</v>
      </c>
      <c r="D13" s="330" t="s">
        <v>89</v>
      </c>
      <c r="E13" s="248">
        <f>SUMIFS('Inhalation Exposure'!$J$6:$J$24,'Inhalation Exposure'!$C$6:$C$24,Dashboard!$C$4,'Inhalation Exposure'!$D$6:$D$24,Dashboard!C13)</f>
        <v>1.1084066164154104E-3</v>
      </c>
      <c r="F13" s="248">
        <f>SUMIFS('Inhalation Exposure'!$P$6:$P$24,'Inhalation Exposure'!$C$6:$C$24,Dashboard!$C$4,'Inhalation Exposure'!$D$6:$D$24,Dashboard!C13)</f>
        <v>5.0612174265543845E-5</v>
      </c>
      <c r="G13" s="248">
        <f>SUMIFS('Inhalation Exposure'!$T$6:$T$24,'Inhalation Exposure'!$C$6:$C$24,Dashboard!$C$4,'Inhalation Exposure'!$D$6:$D$24,Dashboard!C13)</f>
        <v>6.0734609118652625E-6</v>
      </c>
      <c r="L13" s="198"/>
      <c r="N13" s="249" t="s">
        <v>85</v>
      </c>
      <c r="O13" s="330" t="s">
        <v>89</v>
      </c>
      <c r="P13" s="248">
        <f>SUMIFS('Inhalation Exposure'!$L$6:$L$24,'Inhalation Exposure'!$C$6:$C$24,Dashboard!$C$4,'Inhalation Exposure'!$D$6:$D$24,Dashboard!N13)</f>
        <v>2.4954976819375238E-2</v>
      </c>
      <c r="Q13" s="248">
        <f>SUMIFS('Inhalation Exposure'!$N$6:$N$24,'Inhalation Exposure'!$C$6:$C$24,Dashboard!$C$4,'Inhalation Exposure'!$D$6:$D$24,Dashboard!N13)</f>
        <v>2.5988172541003994E-3</v>
      </c>
      <c r="R13" s="248">
        <f>SUMIFS('Inhalation Exposure'!$R$6:$R$24,'Inhalation Exposure'!$C$6:$C$24,Dashboard!$C$4,'Inhalation Exposure'!$D$6:$D$24,Dashboard!N13)</f>
        <v>1.1866745452513241E-4</v>
      </c>
      <c r="S13" s="248">
        <f>SUMIFS('Inhalation Exposure'!$V$6:$V$24,'Inhalation Exposure'!$C$6:$C$24,Dashboard!$C$4,'Inhalation Exposure'!$D$6:$D$24,Dashboard!N13)</f>
        <v>1.4240094543015885E-5</v>
      </c>
    </row>
    <row r="14" spans="1:20" ht="15" customHeight="1">
      <c r="C14" s="249" t="s">
        <v>87</v>
      </c>
      <c r="D14" s="330"/>
      <c r="E14" s="248">
        <f>SUMIFS('Inhalation Exposure'!$J$6:$J$24,'Inhalation Exposure'!$C$6:$C$24,Dashboard!$C$4,'Inhalation Exposure'!$D$6:$D$24,Dashboard!C14)</f>
        <v>1.1182852982187835E-3</v>
      </c>
      <c r="F14" s="248">
        <f>SUMIFS('Inhalation Exposure'!$P$6:$P$24,'Inhalation Exposure'!$C$6:$C$24,Dashboard!$C$4,'Inhalation Exposure'!$D$6:$D$24,Dashboard!C14)</f>
        <v>5.1063255626428474E-5</v>
      </c>
      <c r="G14" s="248">
        <f>SUMIFS('Inhalation Exposure'!$T$6:$T$24,'Inhalation Exposure'!$C$6:$C$24,Dashboard!$C$4,'Inhalation Exposure'!$D$6:$D$24,Dashboard!C14)</f>
        <v>6.1275906751714172E-6</v>
      </c>
      <c r="L14" s="198"/>
      <c r="N14" s="249" t="s">
        <v>87</v>
      </c>
      <c r="O14" s="330"/>
      <c r="P14" s="248">
        <f>SUMIFS('Inhalation Exposure'!$L$6:$L$24,'Inhalation Exposure'!$C$6:$C$24,Dashboard!$C$4,'Inhalation Exposure'!$D$6:$D$24,Dashboard!N14)</f>
        <v>2.4954976819375238E-2</v>
      </c>
      <c r="Q14" s="248">
        <f>SUMIFS('Inhalation Exposure'!$N$6:$N$24,'Inhalation Exposure'!$C$6:$C$24,Dashboard!$C$4,'Inhalation Exposure'!$D$6:$D$24,Dashboard!N14)</f>
        <v>2.6080785182910618E-3</v>
      </c>
      <c r="R14" s="248">
        <f>SUMIFS('Inhalation Exposure'!$R$6:$R$24,'Inhalation Exposure'!$C$6:$C$24,Dashboard!$C$4,'Inhalation Exposure'!$D$6:$D$24,Dashboard!N14)</f>
        <v>1.1909034330096171E-4</v>
      </c>
      <c r="S14" s="248">
        <f>SUMIFS('Inhalation Exposure'!$V$6:$V$24,'Inhalation Exposure'!$C$6:$C$24,Dashboard!$C$4,'Inhalation Exposure'!$D$6:$D$24,Dashboard!N14)</f>
        <v>1.4290841196115404E-5</v>
      </c>
    </row>
    <row r="15" spans="1:20">
      <c r="C15" s="249" t="s">
        <v>88</v>
      </c>
      <c r="D15" s="330"/>
      <c r="E15" s="248">
        <f>SUMIFS('Inhalation Exposure'!$J$6:$J$24,'Inhalation Exposure'!$C$6:$C$24,Dashboard!$C$4,'Inhalation Exposure'!$D$6:$D$24,Dashboard!C15)</f>
        <v>1.2266666666666669E-2</v>
      </c>
      <c r="F15" s="248">
        <f>SUMIFS('Inhalation Exposure'!$P$6:$P$24,'Inhalation Exposure'!$C$6:$C$24,Dashboard!$C$4,'Inhalation Exposure'!$D$6:$D$24,Dashboard!C15)</f>
        <v>5.6012176560121774E-4</v>
      </c>
      <c r="G15" s="248">
        <f>SUMIFS('Inhalation Exposure'!$T$6:$T$24,'Inhalation Exposure'!$C$6:$C$24,Dashboard!$C$4,'Inhalation Exposure'!$D$6:$D$24,Dashboard!C15)</f>
        <v>6.7214611872146141E-5</v>
      </c>
      <c r="L15" s="198"/>
      <c r="N15" s="249" t="s">
        <v>88</v>
      </c>
      <c r="O15" s="330"/>
      <c r="P15" s="248">
        <f>SUMIFS('Inhalation Exposure'!$L$6:$L$24,'Inhalation Exposure'!$C$6:$C$24,Dashboard!$C$4,'Inhalation Exposure'!$D$6:$D$24,Dashboard!N15)</f>
        <v>2.6499999999999999E-2</v>
      </c>
      <c r="Q15" s="248">
        <f>SUMIFS('Inhalation Exposure'!$N$6:$N$24,'Inhalation Exposure'!$C$6:$C$24,Dashboard!$C$4,'Inhalation Exposure'!$D$6:$D$24,Dashboard!N15)</f>
        <v>1.3156250000000001E-2</v>
      </c>
      <c r="R15" s="248">
        <f>SUMIFS('Inhalation Exposure'!$R$6:$R$24,'Inhalation Exposure'!$C$6:$C$24,Dashboard!$C$4,'Inhalation Exposure'!$D$6:$D$24,Dashboard!N15)</f>
        <v>6.0074200913242011E-4</v>
      </c>
      <c r="S15" s="248">
        <f>SUMIFS('Inhalation Exposure'!$V$6:$V$24,'Inhalation Exposure'!$C$6:$C$24,Dashboard!$C$4,'Inhalation Exposure'!$D$6:$D$24,Dashboard!N15)</f>
        <v>7.208904109589041E-5</v>
      </c>
    </row>
    <row r="16" spans="1:20" s="11" customFormat="1">
      <c r="B16" s="18"/>
      <c r="C16" s="17"/>
      <c r="D16" s="294"/>
      <c r="E16" s="20"/>
      <c r="F16" s="294"/>
      <c r="G16" s="294"/>
      <c r="H16" s="294"/>
      <c r="I16" s="294"/>
      <c r="J16" s="294"/>
      <c r="K16" s="294"/>
      <c r="L16" s="294"/>
    </row>
    <row r="17" spans="1:23" s="21" customFormat="1" ht="21">
      <c r="B17" s="294"/>
      <c r="C17" s="19" t="s">
        <v>90</v>
      </c>
      <c r="D17" s="19"/>
      <c r="E17" s="294"/>
      <c r="F17" s="7"/>
      <c r="G17" s="7"/>
      <c r="H17" s="7"/>
      <c r="I17" s="7"/>
      <c r="J17" s="7"/>
      <c r="M17" s="9"/>
      <c r="N17" s="19" t="s">
        <v>90</v>
      </c>
      <c r="O17" s="19"/>
      <c r="P17" s="294"/>
      <c r="Q17" s="7"/>
      <c r="R17" s="7"/>
      <c r="S17" s="7"/>
      <c r="T17" s="7"/>
      <c r="U17" s="7"/>
    </row>
    <row r="18" spans="1:23" s="21" customFormat="1" ht="14.45" customHeight="1">
      <c r="B18" s="294"/>
      <c r="C18" s="327" t="s">
        <v>91</v>
      </c>
      <c r="D18" s="327" t="s">
        <v>92</v>
      </c>
      <c r="E18" s="329" t="s">
        <v>72</v>
      </c>
      <c r="F18" s="327" t="s">
        <v>93</v>
      </c>
      <c r="G18" s="327" t="s">
        <v>94</v>
      </c>
      <c r="H18" s="327"/>
      <c r="I18" s="327"/>
      <c r="J18" s="328" t="str">
        <f>_xlfn.CONCAT("Respirator Scenario: APF of ",$F$4)</f>
        <v>Respirator Scenario: APF of 50</v>
      </c>
      <c r="K18" s="328"/>
      <c r="L18" s="328"/>
      <c r="M18" s="9"/>
      <c r="N18" s="327" t="s">
        <v>91</v>
      </c>
      <c r="O18" s="327" t="s">
        <v>92</v>
      </c>
      <c r="P18" s="329" t="s">
        <v>72</v>
      </c>
      <c r="Q18" s="327" t="s">
        <v>93</v>
      </c>
      <c r="R18" s="327" t="s">
        <v>94</v>
      </c>
      <c r="S18" s="327"/>
      <c r="T18" s="327"/>
      <c r="U18" s="328" t="str">
        <f>_xlfn.CONCAT("Respirator Scenario: APF of ",$F$4)</f>
        <v>Respirator Scenario: APF of 50</v>
      </c>
      <c r="V18" s="328"/>
      <c r="W18" s="328"/>
    </row>
    <row r="19" spans="1:23" s="21" customFormat="1" ht="25.5">
      <c r="B19" s="294"/>
      <c r="C19" s="327"/>
      <c r="D19" s="327"/>
      <c r="E19" s="329"/>
      <c r="F19" s="327"/>
      <c r="G19" s="296" t="s">
        <v>95</v>
      </c>
      <c r="H19" s="296" t="s">
        <v>96</v>
      </c>
      <c r="I19" s="296" t="s">
        <v>88</v>
      </c>
      <c r="J19" s="296" t="s">
        <v>95</v>
      </c>
      <c r="K19" s="296" t="s">
        <v>97</v>
      </c>
      <c r="L19" s="296" t="s">
        <v>88</v>
      </c>
      <c r="M19" s="9"/>
      <c r="N19" s="327"/>
      <c r="O19" s="327"/>
      <c r="P19" s="329"/>
      <c r="Q19" s="327"/>
      <c r="R19" s="296" t="s">
        <v>95</v>
      </c>
      <c r="S19" s="296" t="s">
        <v>96</v>
      </c>
      <c r="T19" s="296" t="s">
        <v>88</v>
      </c>
      <c r="U19" s="296" t="s">
        <v>95</v>
      </c>
      <c r="V19" s="296" t="s">
        <v>97</v>
      </c>
      <c r="W19" s="296" t="s">
        <v>88</v>
      </c>
    </row>
    <row r="20" spans="1:23" s="21" customFormat="1" ht="23.1" customHeight="1">
      <c r="B20" s="335" t="s">
        <v>98</v>
      </c>
      <c r="C20" s="332" t="s">
        <v>99</v>
      </c>
      <c r="D20" s="334">
        <f>VLOOKUP($B$20,'Health Data'!$F$7:$I$8,2,FALSE)</f>
        <v>2.5999999999999999E-2</v>
      </c>
      <c r="E20" s="250" t="s">
        <v>86</v>
      </c>
      <c r="F20" s="247">
        <f>VLOOKUP($B$20,'Health Data'!$F$7:$I$8,3,FALSE)</f>
        <v>300</v>
      </c>
      <c r="G20" s="251">
        <f>IFERROR(D20/$F$10, "")</f>
        <v>1.3272727272727312</v>
      </c>
      <c r="H20" s="251">
        <f>IFERROR(D20/$F$11, "")</f>
        <v>2.597405559515324</v>
      </c>
      <c r="I20" s="251">
        <f>IFERROR(D20/$F$12, "")</f>
        <v>12.378260869565217</v>
      </c>
      <c r="J20" s="251">
        <f>IFERROR(G20*$F$4,"")</f>
        <v>66.363636363636559</v>
      </c>
      <c r="K20" s="251">
        <f t="shared" ref="K20:L20" si="0">IFERROR(H20*$F$4,"")</f>
        <v>129.87027797576621</v>
      </c>
      <c r="L20" s="251">
        <f t="shared" si="0"/>
        <v>618.91304347826087</v>
      </c>
      <c r="M20" s="9"/>
      <c r="N20" s="332" t="s">
        <v>99</v>
      </c>
      <c r="O20" s="334">
        <f>VLOOKUP($B$20,'Health Data'!$F$7:$I$8,2,FALSE)</f>
        <v>2.5999999999999999E-2</v>
      </c>
      <c r="P20" s="250" t="s">
        <v>86</v>
      </c>
      <c r="Q20" s="247">
        <f>VLOOKUP($B$20,'Health Data'!$F$7:$I$8,3,FALSE)</f>
        <v>300</v>
      </c>
      <c r="R20" s="251">
        <f>IFERROR(O20/$R$10, "")</f>
        <v>1.382290465497364</v>
      </c>
      <c r="S20" s="251">
        <f>IFERROR(O20/$R$11, "")</f>
        <v>2.7496317558169276</v>
      </c>
      <c r="T20" s="251">
        <f>IFERROR(O20/$R$12, "")</f>
        <v>12.26164199192463</v>
      </c>
      <c r="U20" s="251">
        <f>IFERROR(R20*$F$4,"")</f>
        <v>69.114523274868205</v>
      </c>
      <c r="V20" s="251">
        <f t="shared" ref="V20:V21" si="1">IFERROR(S20*$F$4,"")</f>
        <v>137.48158779084639</v>
      </c>
      <c r="W20" s="251">
        <f t="shared" ref="W20:W21" si="2">IFERROR(T20*$F$4,"")</f>
        <v>613.0820995962315</v>
      </c>
    </row>
    <row r="21" spans="1:23" s="21" customFormat="1" ht="23.1" customHeight="1">
      <c r="B21" s="335"/>
      <c r="C21" s="333"/>
      <c r="D21" s="334"/>
      <c r="E21" s="250" t="s">
        <v>89</v>
      </c>
      <c r="F21" s="247">
        <f>VLOOKUP($B$20,'Health Data'!$F$7:$I$8,3,FALSE)</f>
        <v>300</v>
      </c>
      <c r="G21" s="251">
        <f>IFERROR(D20/$F$13, "")</f>
        <v>513.71039433293981</v>
      </c>
      <c r="H21" s="251">
        <f>IFERROR(D20/$F$14, "")</f>
        <v>509.17239179210009</v>
      </c>
      <c r="I21" s="251">
        <f>IFERROR(D20/$F$15, "")</f>
        <v>46.418478260869556</v>
      </c>
      <c r="J21" s="251">
        <f>IFERROR(G21*$F$4,"")</f>
        <v>25685.519716646992</v>
      </c>
      <c r="K21" s="251">
        <f t="shared" ref="K21" si="3">IFERROR(H21*$F$4,"")</f>
        <v>25458.619589605005</v>
      </c>
      <c r="L21" s="251">
        <f t="shared" ref="L21" si="4">IFERROR(I21*$F$4,"")</f>
        <v>2320.9239130434776</v>
      </c>
      <c r="M21" s="9"/>
      <c r="N21" s="333"/>
      <c r="O21" s="334"/>
      <c r="P21" s="250" t="s">
        <v>89</v>
      </c>
      <c r="Q21" s="247">
        <f>VLOOKUP($B$20,'Health Data'!$F$7:$I$8,3,FALSE)</f>
        <v>300</v>
      </c>
      <c r="R21" s="251">
        <f>IFERROR(O20/$R$13, "")</f>
        <v>219.09966893655326</v>
      </c>
      <c r="S21" s="251">
        <f>IFERROR(O20/$R$14, "")</f>
        <v>218.32164791307673</v>
      </c>
      <c r="T21" s="251">
        <f>IFERROR(O20/$R$15, "")</f>
        <v>43.27980997624703</v>
      </c>
      <c r="U21" s="251">
        <f>IFERROR(R21*$F$4,"")</f>
        <v>10954.983446827662</v>
      </c>
      <c r="V21" s="251">
        <f t="shared" si="1"/>
        <v>10916.082395653837</v>
      </c>
      <c r="W21" s="251">
        <f t="shared" si="2"/>
        <v>2163.9904988123517</v>
      </c>
    </row>
    <row r="22" spans="1:23" s="21" customFormat="1">
      <c r="B22" s="294"/>
      <c r="C22" s="22"/>
      <c r="D22" s="9"/>
      <c r="E22" s="39"/>
      <c r="F22" s="40"/>
      <c r="G22" s="54"/>
      <c r="H22" s="54"/>
      <c r="I22" s="54"/>
      <c r="N22" s="9"/>
    </row>
    <row r="23" spans="1:23" s="21" customFormat="1" ht="37.5" customHeight="1">
      <c r="B23" s="8"/>
      <c r="C23" s="19" t="s">
        <v>100</v>
      </c>
      <c r="D23" s="11"/>
      <c r="E23" s="7"/>
      <c r="F23" s="9"/>
      <c r="G23" s="327" t="s">
        <v>101</v>
      </c>
      <c r="H23" s="327"/>
      <c r="I23" s="327"/>
      <c r="J23" s="328" t="str">
        <f>_xlfn.CONCAT("Respirator Scenario: APF of ",$F$4)</f>
        <v>Respirator Scenario: APF of 50</v>
      </c>
      <c r="K23" s="328"/>
      <c r="L23" s="328"/>
      <c r="M23" s="8"/>
      <c r="N23" s="19" t="s">
        <v>102</v>
      </c>
      <c r="O23" s="11"/>
      <c r="P23" s="7"/>
      <c r="Q23" s="9"/>
      <c r="R23" s="327" t="s">
        <v>101</v>
      </c>
      <c r="S23" s="327"/>
      <c r="T23" s="327"/>
      <c r="U23" s="328" t="str">
        <f>_xlfn.CONCAT("Respirator Scenario: APF of ",$F$4)</f>
        <v>Respirator Scenario: APF of 50</v>
      </c>
      <c r="V23" s="328"/>
      <c r="W23" s="328"/>
    </row>
    <row r="24" spans="1:23" s="21" customFormat="1" ht="25.5">
      <c r="B24" s="8"/>
      <c r="C24" s="296" t="s">
        <v>91</v>
      </c>
      <c r="D24" s="252" t="s">
        <v>103</v>
      </c>
      <c r="E24" s="252" t="s">
        <v>72</v>
      </c>
      <c r="F24" s="253" t="s">
        <v>104</v>
      </c>
      <c r="G24" s="296" t="s">
        <v>95</v>
      </c>
      <c r="H24" s="296" t="s">
        <v>96</v>
      </c>
      <c r="I24" s="296" t="s">
        <v>88</v>
      </c>
      <c r="J24" s="296" t="s">
        <v>95</v>
      </c>
      <c r="K24" s="296" t="s">
        <v>97</v>
      </c>
      <c r="L24" s="296" t="s">
        <v>88</v>
      </c>
      <c r="M24" s="8"/>
      <c r="N24" s="296" t="s">
        <v>91</v>
      </c>
      <c r="O24" s="252" t="s">
        <v>103</v>
      </c>
      <c r="P24" s="252" t="s">
        <v>72</v>
      </c>
      <c r="Q24" s="253" t="s">
        <v>104</v>
      </c>
      <c r="R24" s="296" t="s">
        <v>95</v>
      </c>
      <c r="S24" s="296" t="s">
        <v>96</v>
      </c>
      <c r="T24" s="296" t="s">
        <v>88</v>
      </c>
      <c r="U24" s="296" t="s">
        <v>95</v>
      </c>
      <c r="V24" s="296" t="s">
        <v>97</v>
      </c>
      <c r="W24" s="296" t="s">
        <v>88</v>
      </c>
    </row>
    <row r="25" spans="1:23" s="11" customFormat="1" ht="23.25" customHeight="1">
      <c r="A25" s="21"/>
      <c r="B25" s="294" t="s">
        <v>105</v>
      </c>
      <c r="C25" s="331" t="s">
        <v>106</v>
      </c>
      <c r="D25" s="326">
        <f>VLOOKUP($B25,'Health Data'!$F$8:$I$8,4,FALSE)</f>
        <v>0.08</v>
      </c>
      <c r="E25" s="254" t="s">
        <v>86</v>
      </c>
      <c r="F25" s="260" t="s">
        <v>107</v>
      </c>
      <c r="G25" s="255">
        <f>IFERROR(G10*D25, "")</f>
        <v>1.8805479452054739E-4</v>
      </c>
      <c r="H25" s="255">
        <f>IFERROR(G11*D25, "")</f>
        <v>9.6095890410958907E-5</v>
      </c>
      <c r="I25" s="256">
        <f>IFERROR(G12*D25, "")</f>
        <v>2.0164383561643834E-5</v>
      </c>
      <c r="J25" s="255">
        <f t="shared" ref="J25:L26" si="5">IFERROR(G25/$F$4,"")</f>
        <v>3.7610958904109478E-6</v>
      </c>
      <c r="K25" s="255">
        <f t="shared" si="5"/>
        <v>1.9219178082191782E-6</v>
      </c>
      <c r="L25" s="255">
        <f t="shared" si="5"/>
        <v>4.0328767123287665E-7</v>
      </c>
      <c r="M25" s="294"/>
      <c r="N25" s="331" t="s">
        <v>106</v>
      </c>
      <c r="O25" s="326">
        <f>VLOOKUP($B25,'Health Data'!$F$8:$I$8,4,FALSE)</f>
        <v>0.08</v>
      </c>
      <c r="P25" s="254" t="s">
        <v>86</v>
      </c>
      <c r="Q25" s="260" t="s">
        <v>107</v>
      </c>
      <c r="R25" s="255">
        <f>IFERROR(S10*O25, "")</f>
        <v>1.8056986301369807E-4</v>
      </c>
      <c r="S25" s="255">
        <f>IFERROR(S11*O25, "")</f>
        <v>9.0775791875389775E-5</v>
      </c>
      <c r="T25" s="256">
        <f>IFERROR(S12*O25, "")</f>
        <v>2.0356164383561643E-5</v>
      </c>
      <c r="U25" s="255">
        <f t="shared" ref="U25:W26" si="6">IFERROR(R25/$F$4,"")</f>
        <v>3.6113972602739614E-6</v>
      </c>
      <c r="V25" s="255">
        <f t="shared" si="6"/>
        <v>1.8155158375077956E-6</v>
      </c>
      <c r="W25" s="255">
        <f t="shared" si="6"/>
        <v>4.0712328767123287E-7</v>
      </c>
    </row>
    <row r="26" spans="1:23" s="11" customFormat="1" ht="24" customHeight="1">
      <c r="B26" s="294"/>
      <c r="C26" s="331"/>
      <c r="D26" s="326"/>
      <c r="E26" s="254" t="s">
        <v>89</v>
      </c>
      <c r="F26" s="260" t="s">
        <v>107</v>
      </c>
      <c r="G26" s="257">
        <f>IFERROR(G13*D25, "")</f>
        <v>4.8587687294922106E-7</v>
      </c>
      <c r="H26" s="257">
        <f>IFERROR(G14*D25, "")</f>
        <v>4.902072540137134E-7</v>
      </c>
      <c r="I26" s="256">
        <f>IFERROR(G15*D25, "")</f>
        <v>5.3771689497716918E-6</v>
      </c>
      <c r="J26" s="257">
        <f t="shared" si="5"/>
        <v>9.7175374589844209E-9</v>
      </c>
      <c r="K26" s="257">
        <f t="shared" si="5"/>
        <v>9.8041450802742682E-9</v>
      </c>
      <c r="L26" s="257">
        <f t="shared" si="5"/>
        <v>1.0754337899543384E-7</v>
      </c>
      <c r="M26" s="294"/>
      <c r="N26" s="331"/>
      <c r="O26" s="326"/>
      <c r="P26" s="254" t="s">
        <v>89</v>
      </c>
      <c r="Q26" s="260" t="s">
        <v>107</v>
      </c>
      <c r="R26" s="257">
        <f>IFERROR(S13*O25, "")</f>
        <v>1.1392075634412708E-6</v>
      </c>
      <c r="S26" s="257">
        <f>IFERROR(S14*O25, "")</f>
        <v>1.1432672956892324E-6</v>
      </c>
      <c r="T26" s="256">
        <f>IFERROR(S15*O25, "")</f>
        <v>5.7671232876712326E-6</v>
      </c>
      <c r="U26" s="257">
        <f t="shared" si="6"/>
        <v>2.2784151268825417E-8</v>
      </c>
      <c r="V26" s="257">
        <f t="shared" si="6"/>
        <v>2.2865345913784647E-8</v>
      </c>
      <c r="W26" s="257">
        <f t="shared" si="6"/>
        <v>1.1534246575342466E-7</v>
      </c>
    </row>
    <row r="27" spans="1:23" s="11" customFormat="1">
      <c r="B27" s="294"/>
      <c r="C27" s="17"/>
      <c r="D27" s="86"/>
      <c r="E27" s="86"/>
      <c r="F27" s="113"/>
      <c r="G27" s="110"/>
      <c r="H27" s="110"/>
      <c r="I27" s="22"/>
      <c r="J27" s="110"/>
      <c r="K27" s="110"/>
      <c r="L27" s="22"/>
      <c r="M27" s="22"/>
    </row>
    <row r="28" spans="1:23" s="11" customFormat="1">
      <c r="B28" s="294"/>
      <c r="C28" s="17"/>
      <c r="D28" s="86"/>
      <c r="E28" s="86"/>
      <c r="F28" s="113"/>
      <c r="G28" s="110"/>
      <c r="H28" s="110"/>
      <c r="I28" s="22"/>
      <c r="J28" s="110"/>
      <c r="K28" s="110"/>
      <c r="L28" s="22"/>
      <c r="M28" s="22"/>
    </row>
    <row r="29" spans="1:23" s="21" customFormat="1">
      <c r="A29" s="11"/>
      <c r="B29" s="18"/>
      <c r="C29" s="9"/>
      <c r="D29" s="8"/>
      <c r="E29" s="9"/>
      <c r="F29" s="9"/>
      <c r="G29" s="9"/>
      <c r="H29" s="9"/>
      <c r="I29" s="200"/>
      <c r="J29" s="9"/>
      <c r="K29" s="9"/>
      <c r="L29" s="9"/>
      <c r="M29" s="9"/>
      <c r="N29" s="11"/>
    </row>
    <row r="30" spans="1:23" s="21" customFormat="1">
      <c r="B30" s="8"/>
      <c r="C30" s="9"/>
      <c r="D30" s="8"/>
      <c r="E30" s="9"/>
      <c r="F30" s="9"/>
      <c r="G30" s="9"/>
      <c r="H30" s="9"/>
      <c r="I30" s="9"/>
      <c r="J30" s="9"/>
      <c r="K30" s="9"/>
      <c r="L30" s="9"/>
      <c r="M30" s="9"/>
      <c r="N30" s="11"/>
    </row>
    <row r="31" spans="1:23" s="11" customFormat="1">
      <c r="A31" s="21"/>
      <c r="B31" s="8"/>
      <c r="C31" s="9"/>
      <c r="D31" s="8"/>
      <c r="E31" s="9"/>
      <c r="F31" s="9"/>
      <c r="G31" s="9"/>
      <c r="H31" s="9"/>
      <c r="I31" s="9"/>
      <c r="J31" s="9"/>
      <c r="K31" s="9"/>
      <c r="L31" s="9"/>
      <c r="M31" s="9"/>
    </row>
    <row r="32" spans="1:23" s="11" customFormat="1">
      <c r="B32" s="8"/>
      <c r="C32" s="9"/>
      <c r="D32" s="8"/>
      <c r="E32" s="9"/>
      <c r="F32" s="9"/>
      <c r="G32" s="9"/>
      <c r="H32" s="9"/>
      <c r="I32" s="9"/>
      <c r="J32" s="9"/>
      <c r="K32" s="9"/>
      <c r="L32" s="9"/>
      <c r="M32" s="9"/>
      <c r="N32" s="9"/>
    </row>
    <row r="33" spans="1:13">
      <c r="A33" s="11"/>
    </row>
    <row r="39" spans="1:13">
      <c r="I39" s="11"/>
      <c r="J39" s="11"/>
      <c r="K39" s="11"/>
      <c r="L39" s="11"/>
      <c r="M39" s="11"/>
    </row>
    <row r="45" spans="1:13">
      <c r="C45" s="11"/>
      <c r="D45" s="18"/>
      <c r="E45" s="11"/>
      <c r="F45" s="11"/>
      <c r="G45" s="11"/>
      <c r="H45" s="11"/>
    </row>
    <row r="47" spans="1:13">
      <c r="B47" s="18"/>
    </row>
    <row r="48" spans="1:13">
      <c r="B48" s="37"/>
    </row>
    <row r="49" spans="1:14">
      <c r="B49" s="37"/>
      <c r="I49" s="25"/>
      <c r="J49" s="25"/>
      <c r="K49" s="25"/>
      <c r="L49" s="25"/>
      <c r="M49" s="25"/>
      <c r="N49" s="11"/>
    </row>
    <row r="50" spans="1:14" s="11" customFormat="1">
      <c r="A50" s="9"/>
      <c r="B50" s="37"/>
      <c r="C50" s="9"/>
      <c r="D50" s="8"/>
      <c r="E50" s="9"/>
      <c r="F50" s="9"/>
      <c r="G50" s="9"/>
      <c r="H50" s="9"/>
      <c r="I50" s="25"/>
      <c r="J50" s="25"/>
      <c r="K50" s="25"/>
      <c r="L50" s="25"/>
      <c r="M50" s="25"/>
      <c r="N50" s="9"/>
    </row>
    <row r="51" spans="1:14">
      <c r="A51" s="11"/>
      <c r="B51" s="37"/>
      <c r="I51" s="24"/>
      <c r="J51" s="24"/>
      <c r="K51" s="24"/>
      <c r="L51" s="24"/>
      <c r="M51" s="24"/>
    </row>
    <row r="52" spans="1:14">
      <c r="B52" s="37"/>
      <c r="I52" s="24"/>
      <c r="J52" s="24"/>
      <c r="K52" s="24"/>
      <c r="L52" s="24"/>
      <c r="M52" s="24"/>
    </row>
    <row r="53" spans="1:14">
      <c r="B53" s="37"/>
    </row>
    <row r="54" spans="1:14">
      <c r="B54" s="37"/>
      <c r="C54" s="36"/>
      <c r="D54" s="37"/>
      <c r="E54" s="36"/>
    </row>
    <row r="55" spans="1:14">
      <c r="B55" s="37"/>
      <c r="E55" s="38"/>
      <c r="F55" s="24"/>
      <c r="G55" s="25"/>
      <c r="H55" s="25"/>
    </row>
    <row r="79" spans="3:16" ht="30">
      <c r="C79" s="75" t="s">
        <v>108</v>
      </c>
      <c r="D79" s="75" t="s">
        <v>109</v>
      </c>
      <c r="E79" s="108" t="str">
        <f>_xlfn.CONCAT("Cancer Risk with APF of ",$F$4)</f>
        <v>Cancer Risk with APF of 50</v>
      </c>
      <c r="N79" s="75" t="s">
        <v>108</v>
      </c>
      <c r="O79" s="75" t="s">
        <v>109</v>
      </c>
      <c r="P79" s="108" t="str">
        <f>_xlfn.CONCAT("Cancer Risk with APF of ",$F$4)</f>
        <v>Cancer Risk with APF of 50</v>
      </c>
    </row>
    <row r="80" spans="3:16">
      <c r="C80" s="77" t="s">
        <v>110</v>
      </c>
      <c r="D80" s="293">
        <f>I26</f>
        <v>5.3771689497716918E-6</v>
      </c>
      <c r="E80" s="293">
        <f>L26</f>
        <v>1.0754337899543384E-7</v>
      </c>
      <c r="N80" s="77" t="s">
        <v>110</v>
      </c>
      <c r="O80" s="293">
        <f>T26</f>
        <v>5.7671232876712326E-6</v>
      </c>
      <c r="P80" s="293">
        <f>W26</f>
        <v>1.1534246575342466E-7</v>
      </c>
    </row>
    <row r="81" spans="3:16">
      <c r="C81" s="77" t="s">
        <v>111</v>
      </c>
      <c r="D81" s="293">
        <f>I25</f>
        <v>2.0164383561643834E-5</v>
      </c>
      <c r="E81" s="293">
        <f>L25</f>
        <v>4.0328767123287665E-7</v>
      </c>
      <c r="N81" s="77" t="s">
        <v>111</v>
      </c>
      <c r="O81" s="293">
        <f>T25</f>
        <v>2.0356164383561643E-5</v>
      </c>
      <c r="P81" s="293">
        <f>W25</f>
        <v>4.0712328767123287E-7</v>
      </c>
    </row>
    <row r="82" spans="3:16">
      <c r="C82" s="77" t="s">
        <v>112</v>
      </c>
      <c r="D82" s="293">
        <f>H26</f>
        <v>4.902072540137134E-7</v>
      </c>
      <c r="E82" s="293">
        <f>K26</f>
        <v>9.8041450802742682E-9</v>
      </c>
      <c r="N82" s="77" t="s">
        <v>112</v>
      </c>
      <c r="O82" s="293">
        <f>S26</f>
        <v>1.1432672956892324E-6</v>
      </c>
      <c r="P82" s="293">
        <f>V26</f>
        <v>2.2865345913784647E-8</v>
      </c>
    </row>
    <row r="83" spans="3:16">
      <c r="C83" s="77" t="s">
        <v>113</v>
      </c>
      <c r="D83" s="293">
        <f>H25</f>
        <v>9.6095890410958907E-5</v>
      </c>
      <c r="E83" s="293">
        <f>K25</f>
        <v>1.9219178082191782E-6</v>
      </c>
      <c r="N83" s="77" t="s">
        <v>113</v>
      </c>
      <c r="O83" s="293">
        <f>S25</f>
        <v>9.0775791875389775E-5</v>
      </c>
      <c r="P83" s="293">
        <f>V25</f>
        <v>1.8155158375077956E-6</v>
      </c>
    </row>
    <row r="84" spans="3:16">
      <c r="C84" s="77" t="s">
        <v>114</v>
      </c>
      <c r="D84" s="293">
        <f>G26</f>
        <v>4.8587687294922106E-7</v>
      </c>
      <c r="E84" s="293">
        <f>J26</f>
        <v>9.7175374589844209E-9</v>
      </c>
      <c r="N84" s="77" t="s">
        <v>114</v>
      </c>
      <c r="O84" s="293">
        <f>R26</f>
        <v>1.1392075634412708E-6</v>
      </c>
      <c r="P84" s="293">
        <f>U26</f>
        <v>2.2784151268825417E-8</v>
      </c>
    </row>
    <row r="85" spans="3:16">
      <c r="C85" s="77" t="s">
        <v>115</v>
      </c>
      <c r="D85" s="293">
        <f>G25</f>
        <v>1.8805479452054739E-4</v>
      </c>
      <c r="E85" s="293">
        <f>J25</f>
        <v>3.7610958904109478E-6</v>
      </c>
      <c r="N85" s="77" t="s">
        <v>115</v>
      </c>
      <c r="O85" s="293">
        <f>R25</f>
        <v>1.8056986301369807E-4</v>
      </c>
      <c r="P85" s="293">
        <f>U25</f>
        <v>3.6113972602739614E-6</v>
      </c>
    </row>
  </sheetData>
  <dataConsolidate link="1"/>
  <mergeCells count="37">
    <mergeCell ref="C4:D4"/>
    <mergeCell ref="C3:D3"/>
    <mergeCell ref="C2:D2"/>
    <mergeCell ref="C25:C26"/>
    <mergeCell ref="D25:D26"/>
    <mergeCell ref="B20:B21"/>
    <mergeCell ref="C20:C21"/>
    <mergeCell ref="D20:D21"/>
    <mergeCell ref="J18:L18"/>
    <mergeCell ref="F5:G5"/>
    <mergeCell ref="G18:I18"/>
    <mergeCell ref="J23:L23"/>
    <mergeCell ref="G23:I23"/>
    <mergeCell ref="C8:C9"/>
    <mergeCell ref="D8:D9"/>
    <mergeCell ref="D10:D12"/>
    <mergeCell ref="D13:D15"/>
    <mergeCell ref="C18:C19"/>
    <mergeCell ref="D18:D19"/>
    <mergeCell ref="E18:E19"/>
    <mergeCell ref="F18:F19"/>
    <mergeCell ref="O25:O26"/>
    <mergeCell ref="R23:T23"/>
    <mergeCell ref="U23:W23"/>
    <mergeCell ref="N8:N9"/>
    <mergeCell ref="O8:O9"/>
    <mergeCell ref="O10:O12"/>
    <mergeCell ref="O13:O15"/>
    <mergeCell ref="N25:N26"/>
    <mergeCell ref="N18:N19"/>
    <mergeCell ref="O18:O19"/>
    <mergeCell ref="P18:P19"/>
    <mergeCell ref="Q18:Q19"/>
    <mergeCell ref="R18:T18"/>
    <mergeCell ref="U18:W18"/>
    <mergeCell ref="N20:N21"/>
    <mergeCell ref="O20:O21"/>
  </mergeCells>
  <conditionalFormatting sqref="E10:G15 P10:S15 G20:L21 R20:W21 G25:L26 R25:W26">
    <cfRule type="cellIs" dxfId="61" priority="1" operator="greaterThanOrEqual">
      <formula>10000</formula>
    </cfRule>
    <cfRule type="cellIs" dxfId="60" priority="2" operator="between">
      <formula>10</formula>
      <formula>9999.9999</formula>
    </cfRule>
    <cfRule type="cellIs" dxfId="59" priority="3" operator="between">
      <formula>1</formula>
      <formula>9.9999</formula>
    </cfRule>
    <cfRule type="cellIs" dxfId="58" priority="4" operator="between">
      <formula>0.1</formula>
      <formula>0.9999</formula>
    </cfRule>
    <cfRule type="cellIs" dxfId="57" priority="5" operator="lessThan">
      <formula>0.1</formula>
    </cfRule>
  </conditionalFormatting>
  <conditionalFormatting sqref="E10:G15 P10:S15">
    <cfRule type="cellIs" dxfId="56" priority="10" operator="equal">
      <formula>0</formula>
    </cfRule>
  </conditionalFormatting>
  <conditionalFormatting sqref="G20:L21">
    <cfRule type="containsBlanks" dxfId="55" priority="13" stopIfTrue="1">
      <formula>LEN(TRIM(G20))=0</formula>
    </cfRule>
    <cfRule type="cellIs" dxfId="54" priority="14" operator="lessThan">
      <formula>$F20</formula>
    </cfRule>
  </conditionalFormatting>
  <conditionalFormatting sqref="G25:L26">
    <cfRule type="cellIs" dxfId="53" priority="41" operator="equal">
      <formula>0</formula>
    </cfRule>
    <cfRule type="containsBlanks" dxfId="52" priority="45" stopIfTrue="1">
      <formula>LEN(TRIM(G25))=0</formula>
    </cfRule>
    <cfRule type="cellIs" dxfId="51" priority="253" operator="greaterThan">
      <formula>0.0001</formula>
    </cfRule>
  </conditionalFormatting>
  <conditionalFormatting sqref="R20:W21">
    <cfRule type="containsBlanks" dxfId="50" priority="6" stopIfTrue="1">
      <formula>LEN(TRIM(R20))=0</formula>
    </cfRule>
    <cfRule type="cellIs" dxfId="49" priority="7" operator="lessThan">
      <formula>$Q20</formula>
    </cfRule>
  </conditionalFormatting>
  <conditionalFormatting sqref="R25:W26">
    <cfRule type="cellIs" dxfId="48" priority="28" operator="equal">
      <formula>0</formula>
    </cfRule>
    <cfRule type="containsBlanks" dxfId="47" priority="31" stopIfTrue="1">
      <formula>LEN(TRIM(R25))=0</formula>
    </cfRule>
  </conditionalFormatting>
  <dataValidations count="1">
    <dataValidation allowBlank="1" showErrorMessage="1" sqref="E8:E9 C8 C13:C15 N8 N13:N15 P8:Q9" xr:uid="{00000000-0002-0000-0200-000005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A257FB3-03C7-4DEF-9441-F0399894DF14}">
          <x14:formula1>
            <xm:f>'List Values'!$B$2:$B$6</xm:f>
          </x14:formula1>
          <xm:sqref>C4</xm:sqref>
        </x14:dataValidation>
        <x14:dataValidation type="list" allowBlank="1" showInputMessage="1" showErrorMessage="1" xr:uid="{E5526D17-97EC-4AA5-A666-8D2A0F9CF0D6}">
          <x14:formula1>
            <xm:f>'List Values'!#REF!</xm:f>
          </x14:formula1>
          <xm:sqref>I4</xm:sqref>
        </x14:dataValidation>
        <x14:dataValidation type="list" allowBlank="1" showInputMessage="1" showErrorMessage="1" xr:uid="{B0688B23-6125-49FA-9B9F-BE3A00B4E2DD}">
          <x14:formula1>
            <xm:f>'List Values'!$E$6:$E$10</xm:f>
          </x14:formula1>
          <xm:sqref>H4 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E7FE-9D99-4B66-A2F9-D57F9F4A70CF}">
  <sheetPr>
    <tabColor rgb="FF92D050"/>
  </sheetPr>
  <dimension ref="A1:V86"/>
  <sheetViews>
    <sheetView zoomScale="80" zoomScaleNormal="80" workbookViewId="0">
      <pane xSplit="1" ySplit="7" topLeftCell="B8" activePane="bottomRight" state="frozen"/>
      <selection pane="bottomRight" activeCell="E36" sqref="E36:E45"/>
      <selection pane="bottomLeft" activeCell="A8" sqref="A8"/>
      <selection pane="topRight" activeCell="B1" sqref="B1"/>
    </sheetView>
  </sheetViews>
  <sheetFormatPr defaultColWidth="9.140625" defaultRowHeight="15"/>
  <cols>
    <col min="1" max="1" width="2.85546875" style="2" customWidth="1"/>
    <col min="2" max="2" width="7.42578125" style="145" customWidth="1"/>
    <col min="3" max="3" width="23.85546875" style="145" customWidth="1"/>
    <col min="4" max="4" width="10" style="145" customWidth="1"/>
    <col min="5" max="5" width="17.140625" style="2" customWidth="1"/>
    <col min="6" max="6" width="10.85546875" style="2" customWidth="1"/>
    <col min="7" max="9" width="11.140625" style="2" customWidth="1"/>
    <col min="10" max="12" width="19.140625" style="2" customWidth="1"/>
    <col min="13" max="14" width="9.140625" style="2"/>
    <col min="15" max="15" width="25" style="2" customWidth="1"/>
    <col min="16" max="17" width="9.140625" style="2"/>
    <col min="18" max="18" width="9.5703125" style="2" customWidth="1"/>
    <col min="19" max="19" width="18.140625" style="2" customWidth="1"/>
    <col min="20" max="20" width="22.42578125" style="2" customWidth="1"/>
    <col min="21" max="21" width="14.140625" style="2" customWidth="1"/>
    <col min="22" max="22" width="12.85546875" style="2" customWidth="1"/>
    <col min="23" max="16384" width="9.140625" style="2"/>
  </cols>
  <sheetData>
    <row r="1" spans="1:22">
      <c r="A1" s="366"/>
      <c r="B1" s="366"/>
      <c r="C1" s="366"/>
      <c r="D1" s="366"/>
      <c r="E1" s="366"/>
      <c r="F1" s="366"/>
      <c r="G1" s="366"/>
      <c r="H1" s="366"/>
      <c r="I1" s="366"/>
      <c r="J1" s="366"/>
      <c r="K1" s="366"/>
      <c r="L1" s="366"/>
    </row>
    <row r="2" spans="1:22" ht="15.75" thickBot="1">
      <c r="B2" s="144" t="s">
        <v>116</v>
      </c>
    </row>
    <row r="3" spans="1:22" ht="15.75" thickBot="1">
      <c r="C3" s="202"/>
      <c r="I3" s="351" t="s">
        <v>117</v>
      </c>
      <c r="J3" s="351"/>
      <c r="K3" s="351"/>
      <c r="L3" s="351"/>
    </row>
    <row r="4" spans="1:22" ht="15.75" thickBot="1">
      <c r="C4" s="202"/>
      <c r="I4" s="267">
        <v>300</v>
      </c>
      <c r="J4" s="146">
        <f>'Health Data'!N7</f>
        <v>1E-4</v>
      </c>
      <c r="K4" s="267">
        <v>300</v>
      </c>
      <c r="L4" s="146">
        <f>J4</f>
        <v>1E-4</v>
      </c>
    </row>
    <row r="5" spans="1:22" ht="15.75" thickBot="1"/>
    <row r="6" spans="1:22" ht="25.7" customHeight="1" thickBot="1">
      <c r="B6" s="367" t="s">
        <v>118</v>
      </c>
      <c r="C6" s="367" t="s">
        <v>28</v>
      </c>
      <c r="D6" s="367" t="s">
        <v>119</v>
      </c>
      <c r="E6" s="369" t="s">
        <v>65</v>
      </c>
      <c r="F6" s="369" t="s">
        <v>120</v>
      </c>
      <c r="G6" s="369" t="s">
        <v>121</v>
      </c>
      <c r="H6" s="369" t="s">
        <v>72</v>
      </c>
      <c r="I6" s="348" t="s">
        <v>122</v>
      </c>
      <c r="J6" s="348"/>
      <c r="K6" s="349" t="s">
        <v>123</v>
      </c>
      <c r="L6" s="350"/>
      <c r="N6" s="347" t="s">
        <v>124</v>
      </c>
      <c r="O6" s="347"/>
      <c r="S6" s="302" t="s">
        <v>125</v>
      </c>
      <c r="T6" s="302" t="s">
        <v>126</v>
      </c>
    </row>
    <row r="7" spans="1:22" ht="51.75" thickBot="1">
      <c r="A7" s="147"/>
      <c r="B7" s="368"/>
      <c r="C7" s="368"/>
      <c r="D7" s="368"/>
      <c r="E7" s="370"/>
      <c r="F7" s="370"/>
      <c r="G7" s="370"/>
      <c r="H7" s="370"/>
      <c r="I7" s="148" t="s">
        <v>127</v>
      </c>
      <c r="J7" s="148" t="s">
        <v>128</v>
      </c>
      <c r="K7" s="148" t="s">
        <v>127</v>
      </c>
      <c r="L7" s="148" t="s">
        <v>129</v>
      </c>
      <c r="N7" s="299" t="s">
        <v>130</v>
      </c>
      <c r="O7" s="299" t="s">
        <v>131</v>
      </c>
      <c r="R7" s="150" t="s">
        <v>132</v>
      </c>
      <c r="S7" s="150">
        <v>2.5999999999999999E-2</v>
      </c>
      <c r="T7" s="151">
        <f>'Health Data'!I8</f>
        <v>0.08</v>
      </c>
    </row>
    <row r="8" spans="1:22" ht="15.75" thickBot="1">
      <c r="B8" s="215">
        <v>1</v>
      </c>
      <c r="C8" s="149" t="s">
        <v>85</v>
      </c>
      <c r="D8" s="149" t="s">
        <v>132</v>
      </c>
      <c r="E8" s="365" t="s">
        <v>32</v>
      </c>
      <c r="F8" s="352" t="str">
        <f>C8</f>
        <v>Higher-Exposure Workers</v>
      </c>
      <c r="G8" s="352" t="s">
        <v>133</v>
      </c>
      <c r="H8" s="355" t="s">
        <v>89</v>
      </c>
      <c r="I8" s="343">
        <f>IFERROR(VLOOKUP(D8,$R$7:$T$7,2,FALSE)*IF(G8="8-hr",IF($H8="Central Tendency",SUMIFS('Inhalation Exposure'!$P$6:$P$24,'Inhalation Exposure'!$B$6:$B$24,B8,'Inhalation Exposure'!$D$6:$D$24,C8),SUMIFS('Inhalation Exposure'!$O$6:$O$24,'Inhalation Exposure'!$B$6:$B$24,B8,'Inhalation Exposure'!$D$6:$D$24,C8)), IF($H8="Central Tendency",SUMIFS('Inhalation Exposure'!$R$6:$R$24,'Inhalation Exposure'!$B$6:$B$24,B8,'Inhalation Exposure'!$D$6:$D$24,C8),SUMIFS('Inhalation Exposure'!$Q$6:$Q$24,'Inhalation Exposure'!$B$6:$B$24,B8,'Inhalation Exposure'!$D$6:$D$24,C8))),"--")</f>
        <v>1.3159165309041399E-6</v>
      </c>
      <c r="J8" s="343">
        <f>IFERROR(VLOOKUP(D8,$R$7:$T$7,3,FALSE)*IF(G8="8-hr",IF($H8="Central Tendency",SUMIFS('Inhalation Exposure'!$J$6:$J$24,'Inhalation Exposure'!$B$6:$B$24,B8,'Inhalation Exposure'!$D$6:$D$24,C8),SUMIFS('Inhalation Exposure'!$H$6:$H$24,'Inhalation Exposure'!$B$6:$B$24,B8,'Inhalation Exposure'!$D$6:$D$24,C8)), IF($H8="Central Tendency",SUMIFS('Inhalation Exposure'!$N$6:$N$24,'Inhalation Exposure'!$B$6:$B$24,B8,'Inhalation Exposure'!$D$6:$D$24,C8),SUMIFS('Inhalation Exposure'!$M$6:$M$24,'Inhalation Exposure'!$B$6:$B$24,B8,'Inhalation Exposure'!$D$6:$D$24,C8))),"--")</f>
        <v>8.8672529313232833E-5</v>
      </c>
      <c r="K8" s="216">
        <f>I8/N8</f>
        <v>1.3159165309041398E-7</v>
      </c>
      <c r="L8" s="216">
        <f>J8/O8</f>
        <v>8.8672529313232839E-6</v>
      </c>
      <c r="N8" s="263">
        <v>10</v>
      </c>
      <c r="O8" s="262">
        <v>10</v>
      </c>
    </row>
    <row r="9" spans="1:22" ht="15.75" thickBot="1">
      <c r="B9" s="215">
        <v>1</v>
      </c>
      <c r="C9" s="149" t="s">
        <v>85</v>
      </c>
      <c r="D9" s="149" t="s">
        <v>132</v>
      </c>
      <c r="E9" s="358"/>
      <c r="F9" s="353"/>
      <c r="G9" s="353"/>
      <c r="H9" s="356"/>
      <c r="I9" s="344"/>
      <c r="J9" s="344"/>
      <c r="K9" s="298" t="str">
        <f>CONCATENATE("(APF ",N8,")")</f>
        <v>(APF 10)</v>
      </c>
      <c r="L9" s="298" t="str">
        <f>CONCATENATE("(APF ",O8,")")</f>
        <v>(APF 10)</v>
      </c>
      <c r="N9" s="264" t="s">
        <v>134</v>
      </c>
      <c r="O9" s="261" t="s">
        <v>134</v>
      </c>
    </row>
    <row r="10" spans="1:22" ht="15.75" thickBot="1">
      <c r="B10" s="215">
        <v>1</v>
      </c>
      <c r="C10" s="149" t="s">
        <v>85</v>
      </c>
      <c r="D10" s="149" t="s">
        <v>132</v>
      </c>
      <c r="E10" s="358"/>
      <c r="F10" s="353"/>
      <c r="G10" s="353"/>
      <c r="H10" s="355" t="s">
        <v>135</v>
      </c>
      <c r="I10" s="343">
        <f>IFERROR(VLOOKUP(D10,$R$7:$T$7,2,FALSE)*IF(G8="8-hr",IF($H10="Central Tendency",SUMIFS('Inhalation Exposure'!$P$6:$P$24,'Inhalation Exposure'!$B$6:$B$24,B10,'Inhalation Exposure'!$D$6:$D$24,C10),SUMIFS('Inhalation Exposure'!$O$6:$O$24,'Inhalation Exposure'!$B$6:$B$24,B10,'Inhalation Exposure'!$D$6:$D$24,C10)), IF($H10="Central Tendency",SUMIFS('Inhalation Exposure'!$R$6:$R$24,'Inhalation Exposure'!$B$6:$B$24,B10,'Inhalation Exposure'!$D$6:$D$24,C10),SUMIFS('Inhalation Exposure'!$Q$6:$Q$24,'Inhalation Exposure'!$B$6:$B$24,B10,'Inhalation Exposure'!$D$6:$D$24,C10))),"--")</f>
        <v>5.0931506849314918E-4</v>
      </c>
      <c r="J10" s="343">
        <f>IFERROR(VLOOKUP(D10,$R$7:$T$7,3,FALSE)*IF(G8="8-hr",IF($H10="Central Tendency",SUMIFS('Inhalation Exposure'!$J$6:$J$24,'Inhalation Exposure'!$B$6:$B$24,B10,'Inhalation Exposure'!$D$6:$D$24,C10),SUMIFS('Inhalation Exposure'!$H$6:$H$24,'Inhalation Exposure'!$B$6:$B$24,B10,'Inhalation Exposure'!$D$6:$D$24,C10)), IF($H10="Central Tendency",SUMIFS('Inhalation Exposure'!$N$6:$N$24,'Inhalation Exposure'!$B$6:$B$24,B10,'Inhalation Exposure'!$D$6:$D$24,C10),SUMIFS('Inhalation Exposure'!$M$6:$M$24,'Inhalation Exposure'!$B$6:$B$24,B10,'Inhalation Exposure'!$D$6:$D$24,C10))),"--")</f>
        <v>7.3059360730593605E-3</v>
      </c>
      <c r="K10" s="217">
        <f>I10/N10</f>
        <v>1.0186301369862983E-5</v>
      </c>
      <c r="L10" s="217">
        <f>J10/O10</f>
        <v>1.4611872146118722E-4</v>
      </c>
      <c r="N10" s="264">
        <v>50</v>
      </c>
      <c r="O10" s="261">
        <v>50</v>
      </c>
      <c r="V10" s="152"/>
    </row>
    <row r="11" spans="1:22" ht="15.75" thickBot="1">
      <c r="B11" s="215">
        <v>1</v>
      </c>
      <c r="C11" s="149" t="s">
        <v>85</v>
      </c>
      <c r="D11" s="149" t="s">
        <v>132</v>
      </c>
      <c r="E11" s="358"/>
      <c r="F11" s="354"/>
      <c r="G11" s="354"/>
      <c r="H11" s="356"/>
      <c r="I11" s="344"/>
      <c r="J11" s="344"/>
      <c r="K11" s="298" t="str">
        <f>CONCATENATE("(APF ",N10,")")</f>
        <v>(APF 50)</v>
      </c>
      <c r="L11" s="298" t="str">
        <f>CONCATENATE("(APF ",O10,")")</f>
        <v>(APF 50)</v>
      </c>
      <c r="N11" s="264" t="s">
        <v>134</v>
      </c>
      <c r="O11" s="261" t="s">
        <v>134</v>
      </c>
    </row>
    <row r="12" spans="1:22" ht="15" customHeight="1" thickBot="1">
      <c r="B12" s="215">
        <v>1</v>
      </c>
      <c r="C12" s="149" t="s">
        <v>87</v>
      </c>
      <c r="D12" s="149" t="s">
        <v>132</v>
      </c>
      <c r="E12" s="358"/>
      <c r="F12" s="352" t="str">
        <f>C12</f>
        <v>Lower-Exposure Workers</v>
      </c>
      <c r="G12" s="352" t="s">
        <v>133</v>
      </c>
      <c r="H12" s="355" t="s">
        <v>89</v>
      </c>
      <c r="I12" s="343">
        <f>IFERROR(VLOOKUP(D12,$R$7:$T$7,2,FALSE)*IF(G12="8-hr",IF($H12="Central Tendency",SUMIFS('Inhalation Exposure'!$P$6:$P$24,'Inhalation Exposure'!$B$6:$B$24,B12,'Inhalation Exposure'!$D$6:$D$24,C12),SUMIFS('Inhalation Exposure'!$O$6:$O$24,'Inhalation Exposure'!$B$6:$B$24,B12,'Inhalation Exposure'!$D$6:$D$24,C12)), IF($H12="Central Tendency",SUMIFS('Inhalation Exposure'!$R$6:$R$24,'Inhalation Exposure'!$B$6:$B$24,B12,'Inhalation Exposure'!$D$6:$D$24,C12),SUMIFS('Inhalation Exposure'!$Q$6:$Q$24,'Inhalation Exposure'!$B$6:$B$24,B12,'Inhalation Exposure'!$D$6:$D$24,C12))),"--")</f>
        <v>1.3276446462871403E-6</v>
      </c>
      <c r="J12" s="343">
        <f>IFERROR(VLOOKUP(D12,$R$7:$T$7,3,FALSE)*IF(G12="8-hr",IF($H12="Central Tendency",SUMIFS('Inhalation Exposure'!$J$6:$J$24,'Inhalation Exposure'!$B$6:$B$24,B12,'Inhalation Exposure'!$D$6:$D$24,C12),SUMIFS('Inhalation Exposure'!$H$6:$H$24,'Inhalation Exposure'!$B$6:$B$24,B12,'Inhalation Exposure'!$D$6:$D$24,C12)), IF($H12="Central Tendency",SUMIFS('Inhalation Exposure'!$N$6:$N$24,'Inhalation Exposure'!$B$6:$B$24,B12,'Inhalation Exposure'!$D$6:$D$24,C12),SUMIFS('Inhalation Exposure'!$M$6:$M$24,'Inhalation Exposure'!$B$6:$B$24,B12,'Inhalation Exposure'!$D$6:$D$24,C12))),"--")</f>
        <v>8.9462823857502691E-5</v>
      </c>
      <c r="K12" s="216">
        <f>I12/N12</f>
        <v>2.6552892925742807E-8</v>
      </c>
      <c r="L12" s="216">
        <f>J12/O12</f>
        <v>1.7892564771500537E-6</v>
      </c>
      <c r="N12" s="264">
        <v>50</v>
      </c>
      <c r="O12" s="261">
        <v>50</v>
      </c>
    </row>
    <row r="13" spans="1:22" ht="15.75" thickBot="1">
      <c r="B13" s="215">
        <v>1</v>
      </c>
      <c r="C13" s="149" t="s">
        <v>87</v>
      </c>
      <c r="D13" s="149" t="s">
        <v>132</v>
      </c>
      <c r="E13" s="358"/>
      <c r="F13" s="353"/>
      <c r="G13" s="353"/>
      <c r="H13" s="356"/>
      <c r="I13" s="344"/>
      <c r="J13" s="344"/>
      <c r="K13" s="298" t="str">
        <f>CONCATENATE("(APF ",N12,")")</f>
        <v>(APF 50)</v>
      </c>
      <c r="L13" s="298" t="str">
        <f>CONCATENATE("(APF ",O12,")")</f>
        <v>(APF 50)</v>
      </c>
      <c r="N13" s="264" t="s">
        <v>134</v>
      </c>
      <c r="O13" s="261" t="s">
        <v>134</v>
      </c>
    </row>
    <row r="14" spans="1:22" ht="15" customHeight="1" thickBot="1">
      <c r="B14" s="215">
        <v>1</v>
      </c>
      <c r="C14" s="149" t="s">
        <v>87</v>
      </c>
      <c r="D14" s="149" t="s">
        <v>132</v>
      </c>
      <c r="E14" s="358"/>
      <c r="F14" s="353"/>
      <c r="G14" s="353"/>
      <c r="H14" s="355" t="s">
        <v>135</v>
      </c>
      <c r="I14" s="343">
        <f>IFERROR(VLOOKUP(D14,$R$7:$T$7,2,FALSE)*IF(G12="8-hr",IF($H14="Central Tendency",SUMIFS('Inhalation Exposure'!$P$6:$P$24,'Inhalation Exposure'!$B$6:$B$24,B14,'Inhalation Exposure'!$D$6:$D$24,C14),SUMIFS('Inhalation Exposure'!$O$6:$O$24,'Inhalation Exposure'!$B$6:$B$24,B14,'Inhalation Exposure'!$D$6:$D$24,C14)), IF($H14="Central Tendency",SUMIFS('Inhalation Exposure'!$R$6:$R$24,'Inhalation Exposure'!$B$6:$B$24,B14,'Inhalation Exposure'!$D$6:$D$24,C14),SUMIFS('Inhalation Exposure'!$Q$6:$Q$24,'Inhalation Exposure'!$B$6:$B$24,B14,'Inhalation Exposure'!$D$6:$D$24,C14))),"--")</f>
        <v>2.6025970319634701E-4</v>
      </c>
      <c r="J14" s="343">
        <f>IFERROR(VLOOKUP(D14,$R$7:$T$7,3,FALSE)*IF(G12="8-hr",IF($H14="Central Tendency",SUMIFS('Inhalation Exposure'!$J$6:$J$24,'Inhalation Exposure'!$B$6:$B$24,B14,'Inhalation Exposure'!$D$6:$D$24,C14),SUMIFS('Inhalation Exposure'!$H$6:$H$24,'Inhalation Exposure'!$B$6:$B$24,B14,'Inhalation Exposure'!$D$6:$D$24,C14)), IF($H14="Central Tendency",SUMIFS('Inhalation Exposure'!$N$6:$N$24,'Inhalation Exposure'!$B$6:$B$24,B14,'Inhalation Exposure'!$D$6:$D$24,C14),SUMIFS('Inhalation Exposure'!$M$6:$M$24,'Inhalation Exposure'!$B$6:$B$24,B14,'Inhalation Exposure'!$D$6:$D$24,C14))),"--")</f>
        <v>7.3059360730593605E-3</v>
      </c>
      <c r="K14" s="217">
        <f>I14/N14</f>
        <v>5.2051940639269402E-6</v>
      </c>
      <c r="L14" s="217">
        <f>J14/O14</f>
        <v>1.4611872146118722E-4</v>
      </c>
      <c r="N14" s="264">
        <v>50</v>
      </c>
      <c r="O14" s="261">
        <v>50</v>
      </c>
    </row>
    <row r="15" spans="1:22" ht="15.75" thickBot="1">
      <c r="B15" s="215">
        <v>1</v>
      </c>
      <c r="C15" s="149" t="s">
        <v>87</v>
      </c>
      <c r="D15" s="149" t="s">
        <v>132</v>
      </c>
      <c r="E15" s="358"/>
      <c r="F15" s="354"/>
      <c r="G15" s="354"/>
      <c r="H15" s="356"/>
      <c r="I15" s="344"/>
      <c r="J15" s="344"/>
      <c r="K15" s="298" t="str">
        <f>CONCATENATE("(APF ",N14,")")</f>
        <v>(APF 50)</v>
      </c>
      <c r="L15" s="298" t="str">
        <f>CONCATENATE("(APF ",O14,")")</f>
        <v>(APF 50)</v>
      </c>
      <c r="N15" s="264" t="s">
        <v>134</v>
      </c>
      <c r="O15" s="261" t="s">
        <v>134</v>
      </c>
    </row>
    <row r="16" spans="1:22" ht="26.25" thickBot="1">
      <c r="B16" s="215">
        <v>1</v>
      </c>
      <c r="C16" s="149" t="s">
        <v>88</v>
      </c>
      <c r="D16" s="149" t="s">
        <v>132</v>
      </c>
      <c r="E16" s="358"/>
      <c r="F16" s="352" t="str">
        <f>C16</f>
        <v>ONU</v>
      </c>
      <c r="G16" s="352" t="s">
        <v>133</v>
      </c>
      <c r="H16" s="268" t="s">
        <v>89</v>
      </c>
      <c r="I16" s="269">
        <f>IFERROR(VLOOKUP(D16,$R$7:$T$7,2,FALSE)*IF(G16="8-hr",IF($H16="Central Tendency",SUMIFS('Inhalation Exposure'!$P$6:$P$24,'Inhalation Exposure'!$B$6:$B$24,B16,'Inhalation Exposure'!$D$6:$D$24,C16),SUMIFS('Inhalation Exposure'!$O$6:$O$24,'Inhalation Exposure'!$B$6:$B$24,B16,'Inhalation Exposure'!$D$6:$D$24,C16)), IF($H16="Central Tendency",SUMIFS('Inhalation Exposure'!$R$6:$R$24,'Inhalation Exposure'!$B$6:$B$24,B16,'Inhalation Exposure'!$D$6:$D$24,C16),SUMIFS('Inhalation Exposure'!$Q$6:$Q$24,'Inhalation Exposure'!$B$6:$B$24,B16,'Inhalation Exposure'!$D$6:$D$24,C16))),"--")</f>
        <v>1.4563165905631661E-5</v>
      </c>
      <c r="J16" s="269">
        <f>IFERROR(VLOOKUP(D16,$R$7:$T$7,3,FALSE)*IF(G16="8-hr",IF($H16="Central Tendency",SUMIFS('Inhalation Exposure'!$J$6:$J$24,'Inhalation Exposure'!$B$6:$B$24,B16,'Inhalation Exposure'!$D$6:$D$24,C16),SUMIFS('Inhalation Exposure'!$H$6:$H$24,'Inhalation Exposure'!$B$6:$B$24,B16,'Inhalation Exposure'!$D$6:$D$24,C16)), IF($H16="Central Tendency",SUMIFS('Inhalation Exposure'!$N$6:$N$24,'Inhalation Exposure'!$B$6:$B$24,B16,'Inhalation Exposure'!$D$6:$D$24,C16),SUMIFS('Inhalation Exposure'!$M$6:$M$24,'Inhalation Exposure'!$B$6:$B$24,B16,'Inhalation Exposure'!$D$6:$D$24,C16))),"--")</f>
        <v>9.8133333333333362E-4</v>
      </c>
      <c r="K16" s="268" t="s">
        <v>136</v>
      </c>
      <c r="L16" s="268" t="s">
        <v>136</v>
      </c>
      <c r="N16" s="264" t="s">
        <v>136</v>
      </c>
      <c r="O16" s="261" t="s">
        <v>136</v>
      </c>
    </row>
    <row r="17" spans="2:22" ht="15.75" thickBot="1">
      <c r="B17" s="218">
        <v>1</v>
      </c>
      <c r="C17" s="206" t="s">
        <v>88</v>
      </c>
      <c r="D17" s="206" t="s">
        <v>132</v>
      </c>
      <c r="E17" s="362"/>
      <c r="F17" s="357"/>
      <c r="G17" s="357"/>
      <c r="H17" s="222" t="s">
        <v>135</v>
      </c>
      <c r="I17" s="270">
        <f>IFERROR(VLOOKUP(D17,$R$7:$T$7,2,FALSE)*IF(G16="8-hr",IF($H17="Central Tendency",SUMIFS('Inhalation Exposure'!$P$6:$P$24,'Inhalation Exposure'!$B$6:$B$24,B17,'Inhalation Exposure'!$D$6:$D$24,C17),SUMIFS('Inhalation Exposure'!$O$6:$O$24,'Inhalation Exposure'!$B$6:$B$24,B17,'Inhalation Exposure'!$D$6:$D$24,C17)), IF($H17="Central Tendency",SUMIFS('Inhalation Exposure'!$R$6:$R$24,'Inhalation Exposure'!$B$6:$B$24,B17,'Inhalation Exposure'!$D$6:$D$24,C17),SUMIFS('Inhalation Exposure'!$Q$6:$Q$24,'Inhalation Exposure'!$B$6:$B$24,B17,'Inhalation Exposure'!$D$6:$D$24,C17))),"--")</f>
        <v>5.4611872146118714E-5</v>
      </c>
      <c r="J17" s="270">
        <f>IFERROR(VLOOKUP(D17,$R$7:$T$7,3,FALSE)*IF(G16="8-hr",IF($H17="Central Tendency",SUMIFS('Inhalation Exposure'!$J$6:$J$24,'Inhalation Exposure'!$B$6:$B$24,B17,'Inhalation Exposure'!$D$6:$D$24,C17),SUMIFS('Inhalation Exposure'!$H$6:$H$24,'Inhalation Exposure'!$B$6:$B$24,B17,'Inhalation Exposure'!$D$6:$D$24,C17)), IF($H17="Central Tendency",SUMIFS('Inhalation Exposure'!$N$6:$N$24,'Inhalation Exposure'!$B$6:$B$24,B17,'Inhalation Exposure'!$D$6:$D$24,C17),SUMIFS('Inhalation Exposure'!$M$6:$M$24,'Inhalation Exposure'!$B$6:$B$24,B17,'Inhalation Exposure'!$D$6:$D$24,C17))),"--")</f>
        <v>7.3059360730593605E-3</v>
      </c>
      <c r="K17" s="222" t="s">
        <v>136</v>
      </c>
      <c r="L17" s="222" t="s">
        <v>136</v>
      </c>
      <c r="N17" s="265" t="s">
        <v>136</v>
      </c>
      <c r="O17" s="266" t="s">
        <v>136</v>
      </c>
    </row>
    <row r="18" spans="2:22" ht="16.5" thickTop="1" thickBot="1">
      <c r="B18" s="215">
        <v>1</v>
      </c>
      <c r="C18" s="203" t="s">
        <v>85</v>
      </c>
      <c r="D18" s="203" t="s">
        <v>132</v>
      </c>
      <c r="E18" s="358" t="s">
        <v>32</v>
      </c>
      <c r="F18" s="353" t="str">
        <f>C18</f>
        <v>Higher-Exposure Workers</v>
      </c>
      <c r="G18" s="353" t="s">
        <v>137</v>
      </c>
      <c r="H18" s="359" t="s">
        <v>89</v>
      </c>
      <c r="I18" s="345">
        <f>IFERROR(VLOOKUP(D18,$R$7:$T$7,2,FALSE)*IF(G18="8-hr",IF($H18="Central Tendency",SUMIFS('Inhalation Exposure'!$P$6:$P$24,'Inhalation Exposure'!$B$6:$B$24,B18,'Inhalation Exposure'!$D$6:$D$24,C18),SUMIFS('Inhalation Exposure'!$O$6:$O$24,'Inhalation Exposure'!$B$6:$B$24,B18,'Inhalation Exposure'!$D$6:$D$24,C18)), IF($H18="Central Tendency",SUMIFS('Inhalation Exposure'!$R$6:$R$24,'Inhalation Exposure'!$B$6:$B$24,B18,'Inhalation Exposure'!$D$6:$D$24,C18),SUMIFS('Inhalation Exposure'!$Q$6:$Q$24,'Inhalation Exposure'!$B$6:$B$24,B18,'Inhalation Exposure'!$D$6:$D$24,C18))),"--")</f>
        <v>3.0853538176534425E-6</v>
      </c>
      <c r="J18" s="345">
        <f>IFERROR(VLOOKUP(D18,$R$7:$T$7,3,FALSE)*IF(G18="8-hr",IF($H18="Central Tendency",SUMIFS('Inhalation Exposure'!$J$6:$J$24,'Inhalation Exposure'!$B$6:$B$24,B18,'Inhalation Exposure'!$D$6:$D$24,C18),SUMIFS('Inhalation Exposure'!$H$6:$H$24,'Inhalation Exposure'!$B$6:$B$24,B18,'Inhalation Exposure'!$D$6:$D$24,C18)), IF($H18="Central Tendency",SUMIFS('Inhalation Exposure'!$N$6:$N$24,'Inhalation Exposure'!$B$6:$B$24,B18,'Inhalation Exposure'!$D$6:$D$24,C18),SUMIFS('Inhalation Exposure'!$M$6:$M$24,'Inhalation Exposure'!$B$6:$B$24,B18,'Inhalation Exposure'!$D$6:$D$24,C18))),"--")</f>
        <v>2.0790538032803196E-4</v>
      </c>
      <c r="K18" s="217">
        <f>I18/N18</f>
        <v>3.0853538176534425E-7</v>
      </c>
      <c r="L18" s="217">
        <f>J18/O18</f>
        <v>2.0790538032803195E-5</v>
      </c>
      <c r="N18" s="263">
        <v>10</v>
      </c>
      <c r="O18" s="262">
        <v>10</v>
      </c>
    </row>
    <row r="19" spans="2:22" ht="15.75" thickBot="1">
      <c r="B19" s="215">
        <v>1</v>
      </c>
      <c r="C19" s="149" t="s">
        <v>85</v>
      </c>
      <c r="D19" s="149" t="s">
        <v>132</v>
      </c>
      <c r="E19" s="358"/>
      <c r="F19" s="353"/>
      <c r="G19" s="353"/>
      <c r="H19" s="356"/>
      <c r="I19" s="344"/>
      <c r="J19" s="344"/>
      <c r="K19" s="298" t="str">
        <f>CONCATENATE("(APF ",N18,")")</f>
        <v>(APF 10)</v>
      </c>
      <c r="L19" s="298" t="str">
        <f>CONCATENATE("(APF ",O18,")")</f>
        <v>(APF 10)</v>
      </c>
      <c r="N19" s="264" t="s">
        <v>134</v>
      </c>
      <c r="O19" s="261" t="s">
        <v>134</v>
      </c>
    </row>
    <row r="20" spans="2:22" ht="15.75" thickBot="1">
      <c r="B20" s="215">
        <v>1</v>
      </c>
      <c r="C20" s="149" t="s">
        <v>85</v>
      </c>
      <c r="D20" s="149" t="s">
        <v>132</v>
      </c>
      <c r="E20" s="358"/>
      <c r="F20" s="353"/>
      <c r="G20" s="353"/>
      <c r="H20" s="355" t="s">
        <v>135</v>
      </c>
      <c r="I20" s="343">
        <f>IFERROR(VLOOKUP(D20,$R$7:$T$7,2,FALSE)*IF(G18="8-hr",IF($H20="Central Tendency",SUMIFS('Inhalation Exposure'!$P$6:$P$24,'Inhalation Exposure'!$B$6:$B$24,B20,'Inhalation Exposure'!$D$6:$D$24,C20),SUMIFS('Inhalation Exposure'!$O$6:$O$24,'Inhalation Exposure'!$B$6:$B$24,B20,'Inhalation Exposure'!$D$6:$D$24,C20)), IF($H20="Central Tendency",SUMIFS('Inhalation Exposure'!$R$6:$R$24,'Inhalation Exposure'!$B$6:$B$24,B20,'Inhalation Exposure'!$D$6:$D$24,C20),SUMIFS('Inhalation Exposure'!$Q$6:$Q$24,'Inhalation Exposure'!$B$6:$B$24,B20,'Inhalation Exposure'!$D$6:$D$24,C20))),"--")</f>
        <v>4.8904337899543235E-4</v>
      </c>
      <c r="J20" s="343">
        <f>IFERROR(VLOOKUP(D20,$R$7:$T$7,3,FALSE)*IF(G18="8-hr",IF($H20="Central Tendency",SUMIFS('Inhalation Exposure'!$J$6:$J$24,'Inhalation Exposure'!$B$6:$B$24,B20,'Inhalation Exposure'!$D$6:$D$24,C20),SUMIFS('Inhalation Exposure'!$H$6:$H$24,'Inhalation Exposure'!$B$6:$B$24,B20,'Inhalation Exposure'!$D$6:$D$24,C20)), IF($H20="Central Tendency",SUMIFS('Inhalation Exposure'!$N$6:$N$24,'Inhalation Exposure'!$B$6:$B$24,B20,'Inhalation Exposure'!$D$6:$D$24,C20),SUMIFS('Inhalation Exposure'!$M$6:$M$24,'Inhalation Exposure'!$B$6:$B$24,B20,'Inhalation Exposure'!$D$6:$D$24,C20))),"--")</f>
        <v>3.29539999999999E-2</v>
      </c>
      <c r="K20" s="217">
        <f>I20/N20</f>
        <v>9.780867579908647E-6</v>
      </c>
      <c r="L20" s="217">
        <f>J20/O20</f>
        <v>6.5907999999999798E-4</v>
      </c>
      <c r="N20" s="264">
        <v>50</v>
      </c>
      <c r="O20" s="261">
        <v>50</v>
      </c>
      <c r="V20" s="152"/>
    </row>
    <row r="21" spans="2:22" ht="15.75" thickBot="1">
      <c r="B21" s="215">
        <v>1</v>
      </c>
      <c r="C21" s="149" t="s">
        <v>85</v>
      </c>
      <c r="D21" s="149" t="s">
        <v>132</v>
      </c>
      <c r="E21" s="358"/>
      <c r="F21" s="354"/>
      <c r="G21" s="354"/>
      <c r="H21" s="356"/>
      <c r="I21" s="344"/>
      <c r="J21" s="344"/>
      <c r="K21" s="298" t="str">
        <f>CONCATENATE("(APF ",N20,")")</f>
        <v>(APF 50)</v>
      </c>
      <c r="L21" s="298" t="str">
        <f>CONCATENATE("(APF ",O20,")")</f>
        <v>(APF 50)</v>
      </c>
      <c r="N21" s="264" t="s">
        <v>134</v>
      </c>
      <c r="O21" s="261" t="s">
        <v>134</v>
      </c>
    </row>
    <row r="22" spans="2:22" ht="15" customHeight="1" thickBot="1">
      <c r="B22" s="215">
        <v>1</v>
      </c>
      <c r="C22" s="149" t="s">
        <v>87</v>
      </c>
      <c r="D22" s="149" t="s">
        <v>132</v>
      </c>
      <c r="E22" s="358"/>
      <c r="F22" s="352" t="str">
        <f>C22</f>
        <v>Lower-Exposure Workers</v>
      </c>
      <c r="G22" s="352" t="s">
        <v>137</v>
      </c>
      <c r="H22" s="355" t="s">
        <v>89</v>
      </c>
      <c r="I22" s="343">
        <f>IFERROR(VLOOKUP(D22,$R$7:$T$7,2,FALSE)*IF(G22="8-hr",IF($H22="Central Tendency",SUMIFS('Inhalation Exposure'!$P$6:$P$24,'Inhalation Exposure'!$B$6:$B$24,B22,'Inhalation Exposure'!$D$6:$D$24,C22),SUMIFS('Inhalation Exposure'!$O$6:$O$24,'Inhalation Exposure'!$B$6:$B$24,B22,'Inhalation Exposure'!$D$6:$D$24,C22)), IF($H22="Central Tendency",SUMIFS('Inhalation Exposure'!$R$6:$R$24,'Inhalation Exposure'!$B$6:$B$24,B22,'Inhalation Exposure'!$D$6:$D$24,C22),SUMIFS('Inhalation Exposure'!$Q$6:$Q$24,'Inhalation Exposure'!$B$6:$B$24,B22,'Inhalation Exposure'!$D$6:$D$24,C22))),"--")</f>
        <v>3.0963489258250044E-6</v>
      </c>
      <c r="J22" s="343">
        <f>IFERROR(VLOOKUP(D22,$R$7:$T$7,3,FALSE)*IF(G22="8-hr",IF($H22="Central Tendency",SUMIFS('Inhalation Exposure'!$J$6:$J$24,'Inhalation Exposure'!$B$6:$B$24,B22,'Inhalation Exposure'!$D$6:$D$24,C22),SUMIFS('Inhalation Exposure'!$H$6:$H$24,'Inhalation Exposure'!$B$6:$B$24,B22,'Inhalation Exposure'!$D$6:$D$24,C22)), IF($H22="Central Tendency",SUMIFS('Inhalation Exposure'!$N$6:$N$24,'Inhalation Exposure'!$B$6:$B$24,B22,'Inhalation Exposure'!$D$6:$D$24,C22),SUMIFS('Inhalation Exposure'!$M$6:$M$24,'Inhalation Exposure'!$B$6:$B$24,B22,'Inhalation Exposure'!$D$6:$D$24,C22))),"--")</f>
        <v>2.0864628146328494E-4</v>
      </c>
      <c r="K22" s="216">
        <f>I22/N22</f>
        <v>6.1926978516500093E-8</v>
      </c>
      <c r="L22" s="216">
        <f>J22/O22</f>
        <v>4.172925629265699E-6</v>
      </c>
      <c r="N22" s="264">
        <v>50</v>
      </c>
      <c r="O22" s="261">
        <v>50</v>
      </c>
    </row>
    <row r="23" spans="2:22" ht="15.75" thickBot="1">
      <c r="B23" s="215">
        <v>1</v>
      </c>
      <c r="C23" s="149" t="s">
        <v>87</v>
      </c>
      <c r="D23" s="149" t="s">
        <v>132</v>
      </c>
      <c r="E23" s="358"/>
      <c r="F23" s="353"/>
      <c r="G23" s="353"/>
      <c r="H23" s="356"/>
      <c r="I23" s="344"/>
      <c r="J23" s="344"/>
      <c r="K23" s="298" t="str">
        <f>CONCATENATE("(APF ",N22,")")</f>
        <v>(APF 50)</v>
      </c>
      <c r="L23" s="298" t="str">
        <f>CONCATENATE("(APF ",O22,")")</f>
        <v>(APF 50)</v>
      </c>
      <c r="N23" s="264" t="s">
        <v>134</v>
      </c>
      <c r="O23" s="261" t="s">
        <v>134</v>
      </c>
    </row>
    <row r="24" spans="2:22" ht="15" customHeight="1" thickBot="1">
      <c r="B24" s="215">
        <v>1</v>
      </c>
      <c r="C24" s="149" t="s">
        <v>87</v>
      </c>
      <c r="D24" s="149" t="s">
        <v>132</v>
      </c>
      <c r="E24" s="358"/>
      <c r="F24" s="353"/>
      <c r="G24" s="353"/>
      <c r="H24" s="355" t="s">
        <v>135</v>
      </c>
      <c r="I24" s="343">
        <f>IFERROR(VLOOKUP(D24,$R$7:$T$7,2,FALSE)*IF(G22="8-hr",IF($H24="Central Tendency",SUMIFS('Inhalation Exposure'!$P$6:$P$24,'Inhalation Exposure'!$B$6:$B$24,B24,'Inhalation Exposure'!$D$6:$D$24,C24),SUMIFS('Inhalation Exposure'!$O$6:$O$24,'Inhalation Exposure'!$B$6:$B$24,B24,'Inhalation Exposure'!$D$6:$D$24,C24)), IF($H24="Central Tendency",SUMIFS('Inhalation Exposure'!$R$6:$R$24,'Inhalation Exposure'!$B$6:$B$24,B24,'Inhalation Exposure'!$D$6:$D$24,C24),SUMIFS('Inhalation Exposure'!$Q$6:$Q$24,'Inhalation Exposure'!$B$6:$B$24,B24,'Inhalation Exposure'!$D$6:$D$24,C24))),"--")</f>
        <v>2.4585110299584731E-4</v>
      </c>
      <c r="J24" s="343">
        <f>IFERROR(VLOOKUP(D24,$R$7:$T$7,3,FALSE)*IF(G22="8-hr",IF($H24="Central Tendency",SUMIFS('Inhalation Exposure'!$J$6:$J$24,'Inhalation Exposure'!$B$6:$B$24,B24,'Inhalation Exposure'!$D$6:$D$24,C24),SUMIFS('Inhalation Exposure'!$H$6:$H$24,'Inhalation Exposure'!$B$6:$B$24,B24,'Inhalation Exposure'!$D$6:$D$24,C24)), IF($H24="Central Tendency",SUMIFS('Inhalation Exposure'!$N$6:$N$24,'Inhalation Exposure'!$B$6:$B$24,B24,'Inhalation Exposure'!$D$6:$D$24,C24),SUMIFS('Inhalation Exposure'!$M$6:$M$24,'Inhalation Exposure'!$B$6:$B$24,B24,'Inhalation Exposure'!$D$6:$D$24,C24))),"--")</f>
        <v>1.6566582017258632E-2</v>
      </c>
      <c r="K24" s="217">
        <f>I24/N24</f>
        <v>4.9170220599169464E-6</v>
      </c>
      <c r="L24" s="217">
        <f>J24/O24</f>
        <v>3.3133164034517264E-4</v>
      </c>
      <c r="N24" s="264">
        <v>50</v>
      </c>
      <c r="O24" s="261">
        <v>50</v>
      </c>
    </row>
    <row r="25" spans="2:22" ht="15.75" thickBot="1">
      <c r="B25" s="215">
        <v>1</v>
      </c>
      <c r="C25" s="149" t="s">
        <v>87</v>
      </c>
      <c r="D25" s="149" t="s">
        <v>132</v>
      </c>
      <c r="E25" s="358"/>
      <c r="F25" s="354"/>
      <c r="G25" s="354"/>
      <c r="H25" s="356"/>
      <c r="I25" s="344"/>
      <c r="J25" s="344"/>
      <c r="K25" s="298" t="str">
        <f>CONCATENATE("(APF ",N24,")")</f>
        <v>(APF 50)</v>
      </c>
      <c r="L25" s="298" t="str">
        <f>CONCATENATE("(APF ",O24,")")</f>
        <v>(APF 50)</v>
      </c>
      <c r="N25" s="264" t="s">
        <v>134</v>
      </c>
      <c r="O25" s="261" t="s">
        <v>134</v>
      </c>
    </row>
    <row r="26" spans="2:22" ht="26.25" thickBot="1">
      <c r="B26" s="215">
        <v>1</v>
      </c>
      <c r="C26" s="149" t="s">
        <v>88</v>
      </c>
      <c r="D26" s="149" t="s">
        <v>132</v>
      </c>
      <c r="E26" s="358"/>
      <c r="F26" s="352" t="str">
        <f>C26</f>
        <v>ONU</v>
      </c>
      <c r="G26" s="352" t="s">
        <v>137</v>
      </c>
      <c r="H26" s="298" t="s">
        <v>89</v>
      </c>
      <c r="I26" s="153">
        <f>IFERROR(VLOOKUP(D26,$R$7:$T$7,2,FALSE)*IF(G26="8-hr",IF($H26="Central Tendency",SUMIFS('Inhalation Exposure'!$P$6:$P$24,'Inhalation Exposure'!$B$6:$B$24,B26,'Inhalation Exposure'!$D$6:$D$24,C26),SUMIFS('Inhalation Exposure'!$O$6:$O$24,'Inhalation Exposure'!$B$6:$B$24,B26,'Inhalation Exposure'!$D$6:$D$24,C26)), IF($H26="Central Tendency",SUMIFS('Inhalation Exposure'!$R$6:$R$24,'Inhalation Exposure'!$B$6:$B$24,B26,'Inhalation Exposure'!$D$6:$D$24,C26),SUMIFS('Inhalation Exposure'!$Q$6:$Q$24,'Inhalation Exposure'!$B$6:$B$24,B26,'Inhalation Exposure'!$D$6:$D$24,C26))),"--")</f>
        <v>1.5619292237442921E-5</v>
      </c>
      <c r="J26" s="153">
        <f>IFERROR(VLOOKUP(D26,$R$7:$T$7,3,FALSE)*IF(G26="8-hr",IF($H26="Central Tendency",SUMIFS('Inhalation Exposure'!$J$6:$J$24,'Inhalation Exposure'!$B$6:$B$24,B26,'Inhalation Exposure'!$D$6:$D$24,C26),SUMIFS('Inhalation Exposure'!$H$6:$H$24,'Inhalation Exposure'!$B$6:$B$24,B26,'Inhalation Exposure'!$D$6:$D$24,C26)), IF($H26="Central Tendency",SUMIFS('Inhalation Exposure'!$N$6:$N$24,'Inhalation Exposure'!$B$6:$B$24,B26,'Inhalation Exposure'!$D$6:$D$24,C26),SUMIFS('Inhalation Exposure'!$M$6:$M$24,'Inhalation Exposure'!$B$6:$B$24,B26,'Inhalation Exposure'!$D$6:$D$24,C26))),"--")</f>
        <v>1.0525000000000001E-3</v>
      </c>
      <c r="K26" s="298" t="s">
        <v>136</v>
      </c>
      <c r="L26" s="298" t="s">
        <v>136</v>
      </c>
      <c r="N26" s="264" t="s">
        <v>136</v>
      </c>
      <c r="O26" s="261" t="s">
        <v>136</v>
      </c>
    </row>
    <row r="27" spans="2:22" ht="15.75" thickBot="1">
      <c r="B27" s="218">
        <v>1</v>
      </c>
      <c r="C27" s="204" t="s">
        <v>88</v>
      </c>
      <c r="D27" s="204" t="s">
        <v>132</v>
      </c>
      <c r="E27" s="358"/>
      <c r="F27" s="357"/>
      <c r="G27" s="357"/>
      <c r="H27" s="222" t="s">
        <v>135</v>
      </c>
      <c r="I27" s="270">
        <f>IFERROR(VLOOKUP(D27,$R$7:$T$7,2,FALSE)*IF(G26="8-hr",IF($H27="Central Tendency",SUMIFS('Inhalation Exposure'!$P$6:$P$24,'Inhalation Exposure'!$B$6:$B$24,B27,'Inhalation Exposure'!$D$6:$D$24,C27),SUMIFS('Inhalation Exposure'!$O$6:$O$24,'Inhalation Exposure'!$B$6:$B$24,B27,'Inhalation Exposure'!$D$6:$D$24,C27)), IF($H27="Central Tendency",SUMIFS('Inhalation Exposure'!$R$6:$R$24,'Inhalation Exposure'!$B$6:$B$24,B27,'Inhalation Exposure'!$D$6:$D$24,C27),SUMIFS('Inhalation Exposure'!$Q$6:$Q$24,'Inhalation Exposure'!$B$6:$B$24,B27,'Inhalation Exposure'!$D$6:$D$24,C27))),"--")</f>
        <v>5.5131278538812781E-5</v>
      </c>
      <c r="J27" s="270">
        <f>IFERROR(VLOOKUP(D27,$R$7:$T$7,3,FALSE)*IF(G26="8-hr",IF($H27="Central Tendency",SUMIFS('Inhalation Exposure'!$J$6:$J$24,'Inhalation Exposure'!$B$6:$B$24,B27,'Inhalation Exposure'!$D$6:$D$24,C27),SUMIFS('Inhalation Exposure'!$H$6:$H$24,'Inhalation Exposure'!$B$6:$B$24,B27,'Inhalation Exposure'!$D$6:$D$24,C27)), IF($H27="Central Tendency",SUMIFS('Inhalation Exposure'!$N$6:$N$24,'Inhalation Exposure'!$B$6:$B$24,B27,'Inhalation Exposure'!$D$6:$D$24,C27),SUMIFS('Inhalation Exposure'!$M$6:$M$24,'Inhalation Exposure'!$B$6:$B$24,B27,'Inhalation Exposure'!$D$6:$D$24,C27))),"--")</f>
        <v>3.715E-3</v>
      </c>
      <c r="K27" s="222" t="s">
        <v>136</v>
      </c>
      <c r="L27" s="222" t="s">
        <v>136</v>
      </c>
      <c r="N27" s="265" t="s">
        <v>136</v>
      </c>
      <c r="O27" s="266" t="s">
        <v>136</v>
      </c>
    </row>
    <row r="28" spans="2:22" ht="15.6" customHeight="1" thickTop="1" thickBot="1">
      <c r="B28" s="219">
        <v>2</v>
      </c>
      <c r="C28" s="205" t="s">
        <v>85</v>
      </c>
      <c r="D28" s="205" t="s">
        <v>132</v>
      </c>
      <c r="E28" s="361" t="s">
        <v>138</v>
      </c>
      <c r="F28" s="353" t="str">
        <f>C28</f>
        <v>Higher-Exposure Workers</v>
      </c>
      <c r="G28" s="353" t="s">
        <v>133</v>
      </c>
      <c r="H28" s="359" t="s">
        <v>89</v>
      </c>
      <c r="I28" s="345">
        <f>IFERROR(VLOOKUP(D28,$R$7:$T$7,2,FALSE)*IF(G28="8-hr",IF($H28="Central Tendency",SUMIFS('Inhalation Exposure'!$P$6:$P$24,'Inhalation Exposure'!$B$6:$B$24,B28,'Inhalation Exposure'!$D$6:$D$24,C28),SUMIFS('Inhalation Exposure'!$O$6:$O$24,'Inhalation Exposure'!$B$6:$B$24,B28,'Inhalation Exposure'!$D$6:$D$24,C28)), IF($H28="Central Tendency",SUMIFS('Inhalation Exposure'!$R$6:$R$24,'Inhalation Exposure'!$B$6:$B$24,B28,'Inhalation Exposure'!$D$6:$D$24,C28),SUMIFS('Inhalation Exposure'!$Q$6:$Q$24,'Inhalation Exposure'!$B$6:$B$24,B28,'Inhalation Exposure'!$D$6:$D$24,C28))),"--")</f>
        <v>1.4246575342465751E-6</v>
      </c>
      <c r="J28" s="345">
        <f>IFERROR(VLOOKUP(D28,$R$7:$T$7,3,FALSE)*IF(G28="8-hr",IF($H28="Central Tendency",SUMIFS('Inhalation Exposure'!$J$6:$J$24,'Inhalation Exposure'!$B$6:$B$24,B28,'Inhalation Exposure'!$D$6:$D$24,C28),SUMIFS('Inhalation Exposure'!$H$6:$H$24,'Inhalation Exposure'!$B$6:$B$24,B28,'Inhalation Exposure'!$D$6:$D$24,C28)), IF($H28="Central Tendency",SUMIFS('Inhalation Exposure'!$N$6:$N$24,'Inhalation Exposure'!$B$6:$B$24,B28,'Inhalation Exposure'!$D$6:$D$24,C28),SUMIFS('Inhalation Exposure'!$M$6:$M$24,'Inhalation Exposure'!$B$6:$B$24,B28,'Inhalation Exposure'!$D$6:$D$24,C28))),"--")</f>
        <v>1.6000000000000001E-3</v>
      </c>
      <c r="K28" s="217">
        <f>I28/N28</f>
        <v>1.4246575342465751E-7</v>
      </c>
      <c r="L28" s="217">
        <f>J28/O28</f>
        <v>1.6000000000000001E-4</v>
      </c>
      <c r="N28" s="263">
        <v>10</v>
      </c>
      <c r="O28" s="262">
        <v>10</v>
      </c>
    </row>
    <row r="29" spans="2:22" ht="15.75" thickBot="1">
      <c r="B29" s="215">
        <v>2</v>
      </c>
      <c r="C29" s="149" t="s">
        <v>85</v>
      </c>
      <c r="D29" s="149" t="s">
        <v>132</v>
      </c>
      <c r="E29" s="358"/>
      <c r="F29" s="353"/>
      <c r="G29" s="353"/>
      <c r="H29" s="356"/>
      <c r="I29" s="344"/>
      <c r="J29" s="344"/>
      <c r="K29" s="298" t="str">
        <f>CONCATENATE("(APF ",N28,")")</f>
        <v>(APF 10)</v>
      </c>
      <c r="L29" s="298" t="str">
        <f>CONCATENATE("(APF ",O28,")")</f>
        <v>(APF 10)</v>
      </c>
      <c r="N29" s="264" t="s">
        <v>134</v>
      </c>
      <c r="O29" s="261" t="s">
        <v>134</v>
      </c>
    </row>
    <row r="30" spans="2:22" ht="15.75" thickBot="1">
      <c r="B30" s="215">
        <v>2</v>
      </c>
      <c r="C30" s="149" t="s">
        <v>85</v>
      </c>
      <c r="D30" s="149" t="s">
        <v>132</v>
      </c>
      <c r="E30" s="358"/>
      <c r="F30" s="353"/>
      <c r="G30" s="353"/>
      <c r="H30" s="355" t="s">
        <v>135</v>
      </c>
      <c r="I30" s="343">
        <f>IFERROR(VLOOKUP(D30,$R$7:$T$7,2,FALSE)*IF(G28="8-hr",IF($H30="Central Tendency",SUMIFS('Inhalation Exposure'!$P$6:$P$24,'Inhalation Exposure'!$B$6:$B$24,B30,'Inhalation Exposure'!$D$6:$D$24,C30),SUMIFS('Inhalation Exposure'!$O$6:$O$24,'Inhalation Exposure'!$B$6:$B$24,B30,'Inhalation Exposure'!$D$6:$D$24,C30)), IF($H30="Central Tendency",SUMIFS('Inhalation Exposure'!$R$6:$R$24,'Inhalation Exposure'!$B$6:$B$24,B30,'Inhalation Exposure'!$D$6:$D$24,C30),SUMIFS('Inhalation Exposure'!$Q$6:$Q$24,'Inhalation Exposure'!$B$6:$B$24,B30,'Inhalation Exposure'!$D$6:$D$24,C30))),"--")</f>
        <v>2.7460273972602724E-5</v>
      </c>
      <c r="J30" s="343">
        <f>IFERROR(VLOOKUP(D30,$R$7:$T$7,3,FALSE)*IF(G28="8-hr",IF($H30="Central Tendency",SUMIFS('Inhalation Exposure'!$J$6:$J$24,'Inhalation Exposure'!$B$6:$B$24,B30,'Inhalation Exposure'!$D$6:$D$24,C30),SUMIFS('Inhalation Exposure'!$H$6:$H$24,'Inhalation Exposure'!$B$6:$B$24,B30,'Inhalation Exposure'!$D$6:$D$24,C30)), IF($H30="Central Tendency",SUMIFS('Inhalation Exposure'!$N$6:$N$24,'Inhalation Exposure'!$B$6:$B$24,B30,'Inhalation Exposure'!$D$6:$D$24,C30),SUMIFS('Inhalation Exposure'!$M$6:$M$24,'Inhalation Exposure'!$B$6:$B$24,B30,'Inhalation Exposure'!$D$6:$D$24,C30))),"--")</f>
        <v>2.191780821917808E-4</v>
      </c>
      <c r="K30" s="217">
        <f>I30/N30</f>
        <v>5.4920547945205443E-7</v>
      </c>
      <c r="L30" s="217">
        <f>J30/O30</f>
        <v>4.3835616438356164E-6</v>
      </c>
      <c r="N30" s="264">
        <v>50</v>
      </c>
      <c r="O30" s="261">
        <v>50</v>
      </c>
    </row>
    <row r="31" spans="2:22" ht="15.75" thickBot="1">
      <c r="B31" s="215">
        <v>2</v>
      </c>
      <c r="C31" s="149" t="s">
        <v>85</v>
      </c>
      <c r="D31" s="149" t="s">
        <v>132</v>
      </c>
      <c r="E31" s="358"/>
      <c r="F31" s="354"/>
      <c r="G31" s="354"/>
      <c r="H31" s="356"/>
      <c r="I31" s="344"/>
      <c r="J31" s="344"/>
      <c r="K31" s="298" t="str">
        <f>CONCATENATE("(APF ",N30,")")</f>
        <v>(APF 50)</v>
      </c>
      <c r="L31" s="298" t="str">
        <f>CONCATENATE("(APF ",O30,")")</f>
        <v>(APF 50)</v>
      </c>
      <c r="N31" s="264" t="s">
        <v>134</v>
      </c>
      <c r="O31" s="261" t="s">
        <v>134</v>
      </c>
    </row>
    <row r="32" spans="2:22" ht="15" customHeight="1" thickBot="1">
      <c r="B32" s="215">
        <v>2</v>
      </c>
      <c r="C32" s="149" t="s">
        <v>87</v>
      </c>
      <c r="D32" s="149" t="s">
        <v>132</v>
      </c>
      <c r="E32" s="358"/>
      <c r="F32" s="353" t="str">
        <f>C32</f>
        <v>Lower-Exposure Workers</v>
      </c>
      <c r="G32" s="352" t="s">
        <v>133</v>
      </c>
      <c r="H32" s="359" t="s">
        <v>89</v>
      </c>
      <c r="I32" s="343">
        <f>IFERROR(VLOOKUP(D32,$R$7:$T$7,2,FALSE)*IF(G32="8-hr",IF($H32="Central Tendency",SUMIFS('Inhalation Exposure'!$P$6:$P$24,'Inhalation Exposure'!$B$6:$B$24,B32,'Inhalation Exposure'!$D$6:$D$24,C32),SUMIFS('Inhalation Exposure'!$O$6:$O$24,'Inhalation Exposure'!$B$6:$B$24,B32,'Inhalation Exposure'!$D$6:$D$24,C32)), IF($H32="Central Tendency",SUMIFS('Inhalation Exposure'!$R$6:$R$24,'Inhalation Exposure'!$B$6:$B$24,B32,'Inhalation Exposure'!$D$6:$D$24,C32),SUMIFS('Inhalation Exposure'!$Q$6:$Q$24,'Inhalation Exposure'!$B$6:$B$24,B32,'Inhalation Exposure'!$D$6:$D$24,C32))),"--")</f>
        <v>4.7488584474885844E-7</v>
      </c>
      <c r="J32" s="343">
        <f>IFERROR(VLOOKUP(D32,$R$7:$T$7,3,FALSE)*IF(G32="8-hr",IF($H32="Central Tendency",SUMIFS('Inhalation Exposure'!$J$6:$J$24,'Inhalation Exposure'!$B$6:$B$24,B32,'Inhalation Exposure'!$D$6:$D$24,C32),SUMIFS('Inhalation Exposure'!$H$6:$H$24,'Inhalation Exposure'!$B$6:$B$24,B32,'Inhalation Exposure'!$D$6:$D$24,C32)), IF($H32="Central Tendency",SUMIFS('Inhalation Exposure'!$N$6:$N$24,'Inhalation Exposure'!$B$6:$B$24,B32,'Inhalation Exposure'!$D$6:$D$24,C32),SUMIFS('Inhalation Exposure'!$M$6:$M$24,'Inhalation Exposure'!$B$6:$B$24,B32,'Inhalation Exposure'!$D$6:$D$24,C32))),"--")</f>
        <v>1.6000000000000001E-3</v>
      </c>
      <c r="K32" s="217">
        <f>I32/N32</f>
        <v>4.7488584474885841E-8</v>
      </c>
      <c r="L32" s="217">
        <f>J32/O32</f>
        <v>1.6000000000000001E-4</v>
      </c>
      <c r="N32" s="264">
        <v>10</v>
      </c>
      <c r="O32" s="261">
        <v>10</v>
      </c>
    </row>
    <row r="33" spans="2:15" ht="15.75" thickBot="1">
      <c r="B33" s="215">
        <v>2</v>
      </c>
      <c r="C33" s="149" t="s">
        <v>87</v>
      </c>
      <c r="D33" s="149" t="s">
        <v>132</v>
      </c>
      <c r="E33" s="358"/>
      <c r="F33" s="353"/>
      <c r="G33" s="353"/>
      <c r="H33" s="356"/>
      <c r="I33" s="344"/>
      <c r="J33" s="344"/>
      <c r="K33" s="298" t="str">
        <f>CONCATENATE("(APF ",N32,")")</f>
        <v>(APF 10)</v>
      </c>
      <c r="L33" s="298" t="str">
        <f>CONCATENATE("(APF ",O32,")")</f>
        <v>(APF 10)</v>
      </c>
      <c r="N33" s="264" t="s">
        <v>134</v>
      </c>
      <c r="O33" s="261" t="s">
        <v>134</v>
      </c>
    </row>
    <row r="34" spans="2:15" ht="15.75" thickBot="1">
      <c r="B34" s="215">
        <v>2</v>
      </c>
      <c r="C34" s="149" t="s">
        <v>87</v>
      </c>
      <c r="D34" s="149" t="s">
        <v>132</v>
      </c>
      <c r="E34" s="358"/>
      <c r="F34" s="353"/>
      <c r="G34" s="353"/>
      <c r="H34" s="355" t="s">
        <v>135</v>
      </c>
      <c r="I34" s="343">
        <f>IFERROR(VLOOKUP(D34,$R$7:$T$7,2,FALSE)*IF(G32="8-hr",IF($H34="Central Tendency",SUMIFS('Inhalation Exposure'!$P$6:$P$24,'Inhalation Exposure'!$B$6:$B$24,B34,'Inhalation Exposure'!$D$6:$D$24,C34),SUMIFS('Inhalation Exposure'!$O$6:$O$24,'Inhalation Exposure'!$B$6:$B$24,B34,'Inhalation Exposure'!$D$6:$D$24,C34)), IF($H34="Central Tendency",SUMIFS('Inhalation Exposure'!$R$6:$R$24,'Inhalation Exposure'!$B$6:$B$24,B34,'Inhalation Exposure'!$D$6:$D$24,C34),SUMIFS('Inhalation Exposure'!$Q$6:$Q$24,'Inhalation Exposure'!$B$6:$B$24,B34,'Inhalation Exposure'!$D$6:$D$24,C34))),"--")</f>
        <v>9.1534246575342401E-6</v>
      </c>
      <c r="J34" s="343">
        <f>IFERROR(VLOOKUP(D34,$R$7:$T$7,3,FALSE)*IF(G32="8-hr",IF($H34="Central Tendency",SUMIFS('Inhalation Exposure'!$J$6:$J$24,'Inhalation Exposure'!$B$6:$B$24,B34,'Inhalation Exposure'!$D$6:$D$24,C34),SUMIFS('Inhalation Exposure'!$H$6:$H$24,'Inhalation Exposure'!$B$6:$B$24,B34,'Inhalation Exposure'!$D$6:$D$24,C34)), IF($H34="Central Tendency",SUMIFS('Inhalation Exposure'!$N$6:$N$24,'Inhalation Exposure'!$B$6:$B$24,B34,'Inhalation Exposure'!$D$6:$D$24,C34),SUMIFS('Inhalation Exposure'!$M$6:$M$24,'Inhalation Exposure'!$B$6:$B$24,B34,'Inhalation Exposure'!$D$6:$D$24,C34))),"--")</f>
        <v>7.3059360730593609E-5</v>
      </c>
      <c r="K34" s="217">
        <f>I34/N34</f>
        <v>1.830684931506848E-7</v>
      </c>
      <c r="L34" s="217">
        <f>J34/O34</f>
        <v>1.4611872146118721E-6</v>
      </c>
      <c r="N34" s="264">
        <v>50</v>
      </c>
      <c r="O34" s="261">
        <v>50</v>
      </c>
    </row>
    <row r="35" spans="2:15" ht="15.75" thickBot="1">
      <c r="B35" s="221">
        <v>2</v>
      </c>
      <c r="C35" s="206" t="s">
        <v>87</v>
      </c>
      <c r="D35" s="206" t="s">
        <v>132</v>
      </c>
      <c r="E35" s="362"/>
      <c r="F35" s="357"/>
      <c r="G35" s="357"/>
      <c r="H35" s="364"/>
      <c r="I35" s="346"/>
      <c r="J35" s="346"/>
      <c r="K35" s="300" t="str">
        <f>CONCATENATE("(APF ",N34,")")</f>
        <v>(APF 50)</v>
      </c>
      <c r="L35" s="301" t="str">
        <f>CONCATENATE("(APF ",O34,")")</f>
        <v>(APF 50)</v>
      </c>
      <c r="N35" s="265" t="s">
        <v>134</v>
      </c>
      <c r="O35" s="266" t="s">
        <v>134</v>
      </c>
    </row>
    <row r="36" spans="2:15" ht="15.6" customHeight="1" thickTop="1" thickBot="1">
      <c r="B36" s="219">
        <v>3</v>
      </c>
      <c r="C36" s="203" t="s">
        <v>85</v>
      </c>
      <c r="D36" s="203" t="s">
        <v>132</v>
      </c>
      <c r="E36" s="358" t="s">
        <v>39</v>
      </c>
      <c r="F36" s="353" t="str">
        <f>C36</f>
        <v>Higher-Exposure Workers</v>
      </c>
      <c r="G36" s="363" t="s">
        <v>133</v>
      </c>
      <c r="H36" s="359" t="s">
        <v>89</v>
      </c>
      <c r="I36" s="345">
        <f>IFERROR(VLOOKUP(D36,$R$7:$T$7,2,FALSE)*IF(G36="8-hr",IF($H36="Central Tendency",SUMIFS('Inhalation Exposure'!$P$6:$P$24,'Inhalation Exposure'!$B$6:$B$24,B36,'Inhalation Exposure'!$D$6:$D$24,C36),SUMIFS('Inhalation Exposure'!$O$6:$O$24,'Inhalation Exposure'!$B$6:$B$24,B36,'Inhalation Exposure'!$D$6:$D$24,C36)), IF($H36="Central Tendency",SUMIFS('Inhalation Exposure'!$R$6:$R$24,'Inhalation Exposure'!$B$6:$B$24,B36,'Inhalation Exposure'!$D$6:$D$24,C36),SUMIFS('Inhalation Exposure'!$Q$6:$Q$24,'Inhalation Exposure'!$B$6:$B$24,B36,'Inhalation Exposure'!$D$6:$D$24,C36))),"--")</f>
        <v>5.014003044140032E-5</v>
      </c>
      <c r="J36" s="345">
        <f>IFERROR(VLOOKUP(D36,$R$7:$T$7,3,FALSE)*IF(G36="8-hr",IF($H36="Central Tendency",SUMIFS('Inhalation Exposure'!$J$6:$J$24,'Inhalation Exposure'!$B$6:$B$24,B36,'Inhalation Exposure'!$D$6:$D$24,C36),SUMIFS('Inhalation Exposure'!$H$6:$H$24,'Inhalation Exposure'!$B$6:$B$24,B36,'Inhalation Exposure'!$D$6:$D$24,C36)), IF($H36="Central Tendency",SUMIFS('Inhalation Exposure'!$N$6:$N$24,'Inhalation Exposure'!$B$6:$B$24,B36,'Inhalation Exposure'!$D$6:$D$24,C36),SUMIFS('Inhalation Exposure'!$M$6:$M$24,'Inhalation Exposure'!$B$6:$B$24,B36,'Inhalation Exposure'!$D$6:$D$24,C36))),"--")</f>
        <v>6.7573333333333346E-4</v>
      </c>
      <c r="K36" s="217">
        <f>I36/N36</f>
        <v>5.0140030441400317E-6</v>
      </c>
      <c r="L36" s="217">
        <f>J36/O36</f>
        <v>6.7573333333333346E-5</v>
      </c>
      <c r="N36" s="263">
        <v>10</v>
      </c>
      <c r="O36" s="262">
        <v>10</v>
      </c>
    </row>
    <row r="37" spans="2:15" ht="15.75" thickBot="1">
      <c r="B37" s="215">
        <v>3</v>
      </c>
      <c r="C37" s="149" t="s">
        <v>85</v>
      </c>
      <c r="D37" s="149" t="s">
        <v>132</v>
      </c>
      <c r="E37" s="358"/>
      <c r="F37" s="353"/>
      <c r="G37" s="353"/>
      <c r="H37" s="356"/>
      <c r="I37" s="344"/>
      <c r="J37" s="344"/>
      <c r="K37" s="298" t="str">
        <f>CONCATENATE("(APF ",N36,")")</f>
        <v>(APF 10)</v>
      </c>
      <c r="L37" s="298" t="str">
        <f>CONCATENATE("(APF ",O36,")")</f>
        <v>(APF 10)</v>
      </c>
      <c r="N37" s="264" t="s">
        <v>134</v>
      </c>
      <c r="O37" s="261" t="s">
        <v>134</v>
      </c>
    </row>
    <row r="38" spans="2:15" ht="15.75" thickBot="1">
      <c r="B38" s="215">
        <v>3</v>
      </c>
      <c r="C38" s="149" t="s">
        <v>85</v>
      </c>
      <c r="D38" s="149" t="s">
        <v>132</v>
      </c>
      <c r="E38" s="358"/>
      <c r="F38" s="353"/>
      <c r="G38" s="353"/>
      <c r="H38" s="352" t="s">
        <v>135</v>
      </c>
      <c r="I38" s="343">
        <f>IFERROR(VLOOKUP(D38,$R$7:$T$7,2,FALSE)*IF(G36="8-hr",IF($H38="Central Tendency",SUMIFS('Inhalation Exposure'!$P$6:$P$24,'Inhalation Exposure'!$B$6:$B$24,B38,'Inhalation Exposure'!$D$6:$D$24,C38),SUMIFS('Inhalation Exposure'!$O$6:$O$24,'Inhalation Exposure'!$B$6:$B$24,B38,'Inhalation Exposure'!$D$6:$D$24,C38)), IF($H38="Central Tendency",SUMIFS('Inhalation Exposure'!$R$6:$R$24,'Inhalation Exposure'!$B$6:$B$24,B38,'Inhalation Exposure'!$D$6:$D$24,C38),SUMIFS('Inhalation Exposure'!$Q$6:$Q$24,'Inhalation Exposure'!$B$6:$B$24,B38,'Inhalation Exposure'!$D$6:$D$24,C38))),"--")</f>
        <v>9.3196347031963465E-4</v>
      </c>
      <c r="J38" s="343">
        <f>IFERROR(VLOOKUP(D38,$R$7:$T$7,3,FALSE)*IF(G36="8-hr",IF($H38="Central Tendency",SUMIFS('Inhalation Exposure'!$J$6:$J$24,'Inhalation Exposure'!$B$6:$B$24,B38,'Inhalation Exposure'!$D$6:$D$24,C38),SUMIFS('Inhalation Exposure'!$H$6:$H$24,'Inhalation Exposure'!$B$6:$B$24,B38,'Inhalation Exposure'!$D$6:$D$24,C38)), IF($H38="Central Tendency",SUMIFS('Inhalation Exposure'!$N$6:$N$24,'Inhalation Exposure'!$B$6:$B$24,B38,'Inhalation Exposure'!$D$6:$D$24,C38),SUMIFS('Inhalation Exposure'!$M$6:$M$24,'Inhalation Exposure'!$B$6:$B$24,B38,'Inhalation Exposure'!$D$6:$D$24,C38))),"--")</f>
        <v>3.6529680365296802E-2</v>
      </c>
      <c r="K38" s="217">
        <f>I38/N38</f>
        <v>1.8639269406392694E-5</v>
      </c>
      <c r="L38" s="217">
        <f>J38/O38</f>
        <v>7.3059360730593598E-4</v>
      </c>
      <c r="N38" s="264">
        <v>50</v>
      </c>
      <c r="O38" s="261">
        <v>50</v>
      </c>
    </row>
    <row r="39" spans="2:15" ht="15.75" thickBot="1">
      <c r="B39" s="215">
        <v>3</v>
      </c>
      <c r="C39" s="149" t="s">
        <v>85</v>
      </c>
      <c r="D39" s="149" t="s">
        <v>132</v>
      </c>
      <c r="E39" s="358"/>
      <c r="F39" s="354"/>
      <c r="G39" s="354"/>
      <c r="H39" s="354"/>
      <c r="I39" s="344"/>
      <c r="J39" s="344"/>
      <c r="K39" s="297" t="str">
        <f>CONCATENATE("(APF ",N38,")")</f>
        <v>(APF 50)</v>
      </c>
      <c r="L39" s="297" t="str">
        <f>CONCATENATE("(APF ",O38,")")</f>
        <v>(APF 50)</v>
      </c>
      <c r="N39" s="264" t="s">
        <v>134</v>
      </c>
      <c r="O39" s="261" t="s">
        <v>134</v>
      </c>
    </row>
    <row r="40" spans="2:15" ht="15.6" customHeight="1" thickTop="1" thickBot="1">
      <c r="B40" s="219">
        <v>3</v>
      </c>
      <c r="C40" s="205" t="s">
        <v>85</v>
      </c>
      <c r="D40" s="205" t="s">
        <v>132</v>
      </c>
      <c r="E40" s="358"/>
      <c r="F40" s="363" t="str">
        <f>C40</f>
        <v>Higher-Exposure Workers</v>
      </c>
      <c r="G40" s="352" t="s">
        <v>137</v>
      </c>
      <c r="H40" s="359" t="s">
        <v>89</v>
      </c>
      <c r="I40" s="343">
        <f>IFERROR(VLOOKUP(D40,$R$7:$T$7,2,FALSE)*IF(G40="8-hr",IF($H40="Central Tendency",SUMIFS('Inhalation Exposure'!$P$6:$P$24,'Inhalation Exposure'!$B$6:$B$24,B40,'Inhalation Exposure'!$D$6:$D$24,C40),SUMIFS('Inhalation Exposure'!$O$6:$O$24,'Inhalation Exposure'!$B$6:$B$24,B40,'Inhalation Exposure'!$D$6:$D$24,C40)), IF($H40="Central Tendency",SUMIFS('Inhalation Exposure'!$R$6:$R$24,'Inhalation Exposure'!$B$6:$B$24,B40,'Inhalation Exposure'!$D$6:$D$24,C40),SUMIFS('Inhalation Exposure'!$Q$6:$Q$24,'Inhalation Exposure'!$B$6:$B$24,B40,'Inhalation Exposure'!$D$6:$D$24,C40))),"--")</f>
        <v>5.405536529680366E-5</v>
      </c>
      <c r="J40" s="343">
        <f>IFERROR(VLOOKUP(D40,$R$7:$T$7,3,FALSE)*IF(G40="8-hr",IF($H40="Central Tendency",SUMIFS('Inhalation Exposure'!$J$6:$J$24,'Inhalation Exposure'!$B$6:$B$24,B40,'Inhalation Exposure'!$D$6:$D$24,C40),SUMIFS('Inhalation Exposure'!$H$6:$H$24,'Inhalation Exposure'!$B$6:$B$24,B40,'Inhalation Exposure'!$D$6:$D$24,C40)), IF($H40="Central Tendency",SUMIFS('Inhalation Exposure'!$N$6:$N$24,'Inhalation Exposure'!$B$6:$B$24,B40,'Inhalation Exposure'!$D$6:$D$24,C40),SUMIFS('Inhalation Exposure'!$M$6:$M$24,'Inhalation Exposure'!$B$6:$B$24,B40,'Inhalation Exposure'!$D$6:$D$24,C40))),"--")</f>
        <v>7.2850000000000009E-4</v>
      </c>
      <c r="K40" s="217">
        <f>I40/N40</f>
        <v>5.4055365296803657E-6</v>
      </c>
      <c r="L40" s="217">
        <f>J40/O40</f>
        <v>7.2850000000000009E-5</v>
      </c>
      <c r="N40" s="264">
        <v>10</v>
      </c>
      <c r="O40" s="261">
        <v>10</v>
      </c>
    </row>
    <row r="41" spans="2:15" ht="15.75" thickBot="1">
      <c r="B41" s="215">
        <v>3</v>
      </c>
      <c r="C41" s="149" t="s">
        <v>85</v>
      </c>
      <c r="D41" s="149" t="s">
        <v>132</v>
      </c>
      <c r="E41" s="358"/>
      <c r="F41" s="353"/>
      <c r="G41" s="353"/>
      <c r="H41" s="356"/>
      <c r="I41" s="344"/>
      <c r="J41" s="344"/>
      <c r="K41" s="298" t="str">
        <f>CONCATENATE("(APF ",N40,")")</f>
        <v>(APF 10)</v>
      </c>
      <c r="L41" s="298" t="str">
        <f>CONCATENATE("(APF ",O40,")")</f>
        <v>(APF 10)</v>
      </c>
      <c r="N41" s="264" t="s">
        <v>134</v>
      </c>
      <c r="O41" s="261" t="s">
        <v>134</v>
      </c>
    </row>
    <row r="42" spans="2:15" ht="15.75" thickBot="1">
      <c r="B42" s="215">
        <v>3</v>
      </c>
      <c r="C42" s="149" t="s">
        <v>85</v>
      </c>
      <c r="D42" s="149" t="s">
        <v>132</v>
      </c>
      <c r="E42" s="358"/>
      <c r="F42" s="353"/>
      <c r="G42" s="353"/>
      <c r="H42" s="355" t="s">
        <v>135</v>
      </c>
      <c r="I42" s="343">
        <f>IFERROR(VLOOKUP(D42,$R$7:$T$7,2,FALSE)*IF(G40="8-hr",IF($H42="Central Tendency",SUMIFS('Inhalation Exposure'!$P$6:$P$24,'Inhalation Exposure'!$B$6:$B$24,B42,'Inhalation Exposure'!$D$6:$D$24,C42),SUMIFS('Inhalation Exposure'!$O$6:$O$24,'Inhalation Exposure'!$B$6:$B$24,B42,'Inhalation Exposure'!$D$6:$D$24,C42)), IF($H42="Central Tendency",SUMIFS('Inhalation Exposure'!$R$6:$R$24,'Inhalation Exposure'!$B$6:$B$24,B42,'Inhalation Exposure'!$D$6:$D$24,C42),SUMIFS('Inhalation Exposure'!$Q$6:$Q$24,'Inhalation Exposure'!$B$6:$B$24,B42,'Inhalation Exposure'!$D$6:$D$24,C42))),"--")</f>
        <v>9.3567351598173513E-4</v>
      </c>
      <c r="J42" s="343">
        <f>IFERROR(VLOOKUP(D42,$R$7:$T$7,3,FALSE)*IF(G40="8-hr",IF($H42="Central Tendency",SUMIFS('Inhalation Exposure'!$J$6:$J$24,'Inhalation Exposure'!$B$6:$B$24,B42,'Inhalation Exposure'!$D$6:$D$24,C42),SUMIFS('Inhalation Exposure'!$H$6:$H$24,'Inhalation Exposure'!$B$6:$B$24,B42,'Inhalation Exposure'!$D$6:$D$24,C42)), IF($H42="Central Tendency",SUMIFS('Inhalation Exposure'!$N$6:$N$24,'Inhalation Exposure'!$B$6:$B$24,B42,'Inhalation Exposure'!$D$6:$D$24,C42),SUMIFS('Inhalation Exposure'!$M$6:$M$24,'Inhalation Exposure'!$B$6:$B$24,B42,'Inhalation Exposure'!$D$6:$D$24,C42))),"--")</f>
        <v>1.261E-2</v>
      </c>
      <c r="K42" s="217">
        <f>I42/N42</f>
        <v>1.8713470319634704E-5</v>
      </c>
      <c r="L42" s="217">
        <f>J42/O42</f>
        <v>2.522E-4</v>
      </c>
      <c r="N42" s="264">
        <v>50</v>
      </c>
      <c r="O42" s="261">
        <v>50</v>
      </c>
    </row>
    <row r="43" spans="2:15" ht="15.75" thickBot="1">
      <c r="B43" s="215">
        <v>3</v>
      </c>
      <c r="C43" s="149" t="s">
        <v>85</v>
      </c>
      <c r="D43" s="149" t="s">
        <v>132</v>
      </c>
      <c r="E43" s="358"/>
      <c r="F43" s="354"/>
      <c r="G43" s="354"/>
      <c r="H43" s="356"/>
      <c r="I43" s="344"/>
      <c r="J43" s="344"/>
      <c r="K43" s="298" t="str">
        <f>CONCATENATE("(APF ",N42,")")</f>
        <v>(APF 50)</v>
      </c>
      <c r="L43" s="298" t="str">
        <f>CONCATENATE("(APF ",O42,")")</f>
        <v>(APF 50)</v>
      </c>
      <c r="N43" s="264" t="s">
        <v>134</v>
      </c>
      <c r="O43" s="261" t="s">
        <v>134</v>
      </c>
    </row>
    <row r="44" spans="2:15" ht="26.25" thickBot="1">
      <c r="B44" s="215">
        <v>3</v>
      </c>
      <c r="C44" s="149" t="s">
        <v>88</v>
      </c>
      <c r="D44" s="149" t="s">
        <v>132</v>
      </c>
      <c r="E44" s="358"/>
      <c r="F44" s="352" t="str">
        <f>C44</f>
        <v>ONU</v>
      </c>
      <c r="G44" s="352" t="s">
        <v>133</v>
      </c>
      <c r="H44" s="298" t="s">
        <v>89</v>
      </c>
      <c r="I44" s="153">
        <f>IFERROR(VLOOKUP(D44,$R$7:$T$7,2,FALSE)*IF(G44="8-hr",IF($H44="Central Tendency",SUMIFS('Inhalation Exposure'!$P$6:$P$24,'Inhalation Exposure'!$B$6:$B$24,B44,'Inhalation Exposure'!$D$6:$D$24,C44),SUMIFS('Inhalation Exposure'!$O$6:$O$24,'Inhalation Exposure'!$B$6:$B$24,B44,'Inhalation Exposure'!$D$6:$D$24,C44)), IF($H44="Central Tendency",SUMIFS('Inhalation Exposure'!$R$6:$R$24,'Inhalation Exposure'!$B$6:$B$24,B44,'Inhalation Exposure'!$D$6:$D$24,C44),SUMIFS('Inhalation Exposure'!$Q$6:$Q$24,'Inhalation Exposure'!$B$6:$B$24,B44,'Inhalation Exposure'!$D$6:$D$24,C44))),"--")</f>
        <v>1.6531963470319634E-4</v>
      </c>
      <c r="J44" s="153">
        <f>IFERROR(VLOOKUP(D44,$R$7:$T$7,3,FALSE)*IF(G44="8-hr",IF($H44="Central Tendency",SUMIFS('Inhalation Exposure'!$J$6:$J$24,'Inhalation Exposure'!$B$6:$B$24,B44,'Inhalation Exposure'!$D$6:$D$24,C44),SUMIFS('Inhalation Exposure'!$H$6:$H$24,'Inhalation Exposure'!$B$6:$B$24,B44,'Inhalation Exposure'!$D$6:$D$24,C44)), IF($H44="Central Tendency",SUMIFS('Inhalation Exposure'!$N$6:$N$24,'Inhalation Exposure'!$B$6:$B$24,B44,'Inhalation Exposure'!$D$6:$D$24,C44),SUMIFS('Inhalation Exposure'!$M$6:$M$24,'Inhalation Exposure'!$B$6:$B$24,B44,'Inhalation Exposure'!$D$6:$D$24,C44))),"--")</f>
        <v>2.2279999999999999E-3</v>
      </c>
      <c r="K44" s="298" t="s">
        <v>136</v>
      </c>
      <c r="L44" s="298" t="s">
        <v>136</v>
      </c>
      <c r="N44" s="264" t="s">
        <v>136</v>
      </c>
      <c r="O44" s="261" t="s">
        <v>136</v>
      </c>
    </row>
    <row r="45" spans="2:15" ht="15.75" thickBot="1">
      <c r="B45" s="218">
        <v>3</v>
      </c>
      <c r="C45" s="204" t="s">
        <v>88</v>
      </c>
      <c r="D45" s="204" t="s">
        <v>132</v>
      </c>
      <c r="E45" s="358"/>
      <c r="F45" s="357"/>
      <c r="G45" s="357"/>
      <c r="H45" s="222" t="s">
        <v>135</v>
      </c>
      <c r="I45" s="270">
        <f>IFERROR(VLOOKUP(D45,$R$7:$T$7,2,FALSE)*IF(G44="8-hr",IF($H45="Central Tendency",SUMIFS('Inhalation Exposure'!$P$6:$P$24,'Inhalation Exposure'!$B$6:$B$24,B45,'Inhalation Exposure'!$D$6:$D$24,C45),SUMIFS('Inhalation Exposure'!$O$6:$O$24,'Inhalation Exposure'!$B$6:$B$24,B45,'Inhalation Exposure'!$D$6:$D$24,C45)), IF($H45="Central Tendency",SUMIFS('Inhalation Exposure'!$R$6:$R$24,'Inhalation Exposure'!$B$6:$B$24,B45,'Inhalation Exposure'!$D$6:$D$24,C45),SUMIFS('Inhalation Exposure'!$Q$6:$Q$24,'Inhalation Exposure'!$B$6:$B$24,B45,'Inhalation Exposure'!$D$6:$D$24,C45))),"--")</f>
        <v>2.8849315068493146E-4</v>
      </c>
      <c r="J45" s="270">
        <f>IFERROR(VLOOKUP(D45,$R$7:$T$7,3,FALSE)*IF(G44="8-hr",IF($H45="Central Tendency",SUMIFS('Inhalation Exposure'!$J$6:$J$24,'Inhalation Exposure'!$B$6:$B$24,B45,'Inhalation Exposure'!$D$6:$D$24,C45),SUMIFS('Inhalation Exposure'!$H$6:$H$24,'Inhalation Exposure'!$B$6:$B$24,B45,'Inhalation Exposure'!$D$6:$D$24,C45)), IF($H45="Central Tendency",SUMIFS('Inhalation Exposure'!$N$6:$N$24,'Inhalation Exposure'!$B$6:$B$24,B45,'Inhalation Exposure'!$D$6:$D$24,C45),SUMIFS('Inhalation Exposure'!$M$6:$M$24,'Inhalation Exposure'!$B$6:$B$24,B45,'Inhalation Exposure'!$D$6:$D$24,C45))),"--")</f>
        <v>1.8264840182648401E-2</v>
      </c>
      <c r="K45" s="222" t="s">
        <v>136</v>
      </c>
      <c r="L45" s="222" t="s">
        <v>136</v>
      </c>
      <c r="N45" s="265" t="s">
        <v>136</v>
      </c>
      <c r="O45" s="266" t="s">
        <v>136</v>
      </c>
    </row>
    <row r="46" spans="2:15" ht="15.6" customHeight="1" thickTop="1" thickBot="1">
      <c r="B46" s="219">
        <v>4</v>
      </c>
      <c r="C46" s="205" t="s">
        <v>85</v>
      </c>
      <c r="D46" s="205" t="s">
        <v>132</v>
      </c>
      <c r="E46" s="361" t="s">
        <v>139</v>
      </c>
      <c r="F46" s="353" t="str">
        <f>C46</f>
        <v>Higher-Exposure Workers</v>
      </c>
      <c r="G46" s="353" t="s">
        <v>133</v>
      </c>
      <c r="H46" s="359" t="s">
        <v>89</v>
      </c>
      <c r="I46" s="345">
        <f>IFERROR(VLOOKUP(D46,$R$7:$T$7,2,FALSE)*IF(G46="8-hr",IF($H46="Central Tendency",SUMIFS('Inhalation Exposure'!$P$6:$P$24,'Inhalation Exposure'!$B$6:$B$24,B46,'Inhalation Exposure'!$D$6:$D$24,C46),SUMIFS('Inhalation Exposure'!$O$6:$O$24,'Inhalation Exposure'!$B$6:$B$24,B46,'Inhalation Exposure'!$D$6:$D$24,C46)), IF($H46="Central Tendency",SUMIFS('Inhalation Exposure'!$R$6:$R$24,'Inhalation Exposure'!$B$6:$B$24,B46,'Inhalation Exposure'!$D$6:$D$24,C46),SUMIFS('Inhalation Exposure'!$Q$6:$Q$24,'Inhalation Exposure'!$B$6:$B$24,B46,'Inhalation Exposure'!$D$6:$D$24,C46))),"--")</f>
        <v>8.3105022831050218E-4</v>
      </c>
      <c r="J46" s="345">
        <f>IFERROR(VLOOKUP(D46,$R$7:$T$7,3,FALSE)*IF(G46="8-hr",IF($H46="Central Tendency",SUMIFS('Inhalation Exposure'!$J$6:$J$24,'Inhalation Exposure'!$B$6:$B$24,B46,'Inhalation Exposure'!$D$6:$D$24,C46),SUMIFS('Inhalation Exposure'!$H$6:$H$24,'Inhalation Exposure'!$B$6:$B$24,B46,'Inhalation Exposure'!$D$6:$D$24,C46)), IF($H46="Central Tendency",SUMIFS('Inhalation Exposure'!$N$6:$N$24,'Inhalation Exposure'!$B$6:$B$24,B46,'Inhalation Exposure'!$D$6:$D$24,C46),SUMIFS('Inhalation Exposure'!$M$6:$M$24,'Inhalation Exposure'!$B$6:$B$24,B46,'Inhalation Exposure'!$D$6:$D$24,C46))),"--")</f>
        <v>1.1200000000000002E-2</v>
      </c>
      <c r="K46" s="217">
        <f>I46/N46</f>
        <v>8.3105022831050213E-5</v>
      </c>
      <c r="L46" s="217">
        <f>J46/O46</f>
        <v>1.1200000000000001E-3</v>
      </c>
      <c r="N46" s="263">
        <v>10</v>
      </c>
      <c r="O46" s="262">
        <v>10</v>
      </c>
    </row>
    <row r="47" spans="2:15" ht="15.75" thickBot="1">
      <c r="B47" s="215">
        <v>4</v>
      </c>
      <c r="C47" s="149" t="s">
        <v>85</v>
      </c>
      <c r="D47" s="149" t="s">
        <v>132</v>
      </c>
      <c r="E47" s="358"/>
      <c r="F47" s="353"/>
      <c r="G47" s="353"/>
      <c r="H47" s="356"/>
      <c r="I47" s="344"/>
      <c r="J47" s="344"/>
      <c r="K47" s="298" t="str">
        <f>CONCATENATE("(APF ",N46,")")</f>
        <v>(APF 10)</v>
      </c>
      <c r="L47" s="298" t="str">
        <f>CONCATENATE("(APF ",O46,")")</f>
        <v>(APF 10)</v>
      </c>
      <c r="N47" s="264" t="s">
        <v>134</v>
      </c>
      <c r="O47" s="261" t="s">
        <v>134</v>
      </c>
    </row>
    <row r="48" spans="2:15" ht="15.75" thickBot="1">
      <c r="B48" s="215">
        <v>4</v>
      </c>
      <c r="C48" s="149" t="s">
        <v>85</v>
      </c>
      <c r="D48" s="149" t="s">
        <v>132</v>
      </c>
      <c r="E48" s="358"/>
      <c r="F48" s="353"/>
      <c r="G48" s="353"/>
      <c r="H48" s="355" t="s">
        <v>135</v>
      </c>
      <c r="I48" s="343">
        <f>IFERROR(VLOOKUP(D48,$R$7:$T$7,2,FALSE)*IF(G46="8-hr",IF($H48="Central Tendency",SUMIFS('Inhalation Exposure'!$P$6:$P$24,'Inhalation Exposure'!$B$6:$B$24,B48,'Inhalation Exposure'!$D$6:$D$24,C48),SUMIFS('Inhalation Exposure'!$O$6:$O$24,'Inhalation Exposure'!$B$6:$B$24,B48,'Inhalation Exposure'!$D$6:$D$24,C48)), IF($H48="Central Tendency",SUMIFS('Inhalation Exposure'!$R$6:$R$24,'Inhalation Exposure'!$B$6:$B$24,B48,'Inhalation Exposure'!$D$6:$D$24,C48),SUMIFS('Inhalation Exposure'!$Q$6:$Q$24,'Inhalation Exposure'!$B$6:$B$24,B48,'Inhalation Exposure'!$D$6:$D$24,C48))),"--")</f>
        <v>1.9589041095890412E-2</v>
      </c>
      <c r="J48" s="343">
        <f>IFERROR(VLOOKUP(D48,$R$7:$T$7,3,FALSE)*IF(G46="8-hr",IF($H48="Central Tendency",SUMIFS('Inhalation Exposure'!$J$6:$J$24,'Inhalation Exposure'!$B$6:$B$24,B48,'Inhalation Exposure'!$D$6:$D$24,C48),SUMIFS('Inhalation Exposure'!$H$6:$H$24,'Inhalation Exposure'!$B$6:$B$24,B48,'Inhalation Exposure'!$D$6:$D$24,C48)), IF($H48="Central Tendency",SUMIFS('Inhalation Exposure'!$N$6:$N$24,'Inhalation Exposure'!$B$6:$B$24,B48,'Inhalation Exposure'!$D$6:$D$24,C48),SUMIFS('Inhalation Exposure'!$M$6:$M$24,'Inhalation Exposure'!$B$6:$B$24,B48,'Inhalation Exposure'!$D$6:$D$24,C48))),"--")</f>
        <v>3.6529680365296802E-2</v>
      </c>
      <c r="K48" s="217">
        <f>I48/N48</f>
        <v>3.9178082191780822E-4</v>
      </c>
      <c r="L48" s="217">
        <f>J48/O48</f>
        <v>7.3059360730593598E-4</v>
      </c>
      <c r="N48" s="264">
        <v>50</v>
      </c>
      <c r="O48" s="261">
        <v>50</v>
      </c>
    </row>
    <row r="49" spans="2:15" ht="15.75" thickBot="1">
      <c r="B49" s="215">
        <v>4</v>
      </c>
      <c r="C49" s="149" t="s">
        <v>85</v>
      </c>
      <c r="D49" s="149" t="s">
        <v>132</v>
      </c>
      <c r="E49" s="358"/>
      <c r="F49" s="353"/>
      <c r="G49" s="354"/>
      <c r="H49" s="356"/>
      <c r="I49" s="344"/>
      <c r="J49" s="344"/>
      <c r="K49" s="298" t="str">
        <f>CONCATENATE("(APF ",N48,")")</f>
        <v>(APF 50)</v>
      </c>
      <c r="L49" s="298" t="str">
        <f>CONCATENATE("(APF ",O48,")")</f>
        <v>(APF 50)</v>
      </c>
      <c r="N49" s="264" t="s">
        <v>134</v>
      </c>
      <c r="O49" s="261" t="s">
        <v>134</v>
      </c>
    </row>
    <row r="50" spans="2:15" ht="15" customHeight="1" thickBot="1">
      <c r="B50" s="215">
        <v>4</v>
      </c>
      <c r="C50" s="149" t="s">
        <v>87</v>
      </c>
      <c r="D50" s="149" t="s">
        <v>132</v>
      </c>
      <c r="E50" s="358"/>
      <c r="F50" s="352" t="str">
        <f>C50</f>
        <v>Lower-Exposure Workers</v>
      </c>
      <c r="G50" s="352" t="s">
        <v>133</v>
      </c>
      <c r="H50" s="355" t="s">
        <v>89</v>
      </c>
      <c r="I50" s="343">
        <f>IFERROR(VLOOKUP(D50,$R$7:$T$7,2,FALSE)*IF(G50="8-hr",IF($H50="Central Tendency",SUMIFS('Inhalation Exposure'!$P$6:$P$24,'Inhalation Exposure'!$B$6:$B$24,B50,'Inhalation Exposure'!$D$6:$D$24,C50),SUMIFS('Inhalation Exposure'!$O$6:$O$24,'Inhalation Exposure'!$B$6:$B$24,B50,'Inhalation Exposure'!$D$6:$D$24,C50)), IF($H50="Central Tendency",SUMIFS('Inhalation Exposure'!$R$6:$R$24,'Inhalation Exposure'!$B$6:$B$24,B50,'Inhalation Exposure'!$D$6:$D$24,C50),SUMIFS('Inhalation Exposure'!$Q$6:$Q$24,'Inhalation Exposure'!$B$6:$B$24,B50,'Inhalation Exposure'!$D$6:$D$24,C50))),"--")</f>
        <v>4.8972602739726028E-5</v>
      </c>
      <c r="J50" s="343">
        <f>IFERROR(VLOOKUP(D50,$R$7:$T$7,3,FALSE)*IF(G50="8-hr",IF($H50="Central Tendency",SUMIFS('Inhalation Exposure'!$J$6:$J$24,'Inhalation Exposure'!$B$6:$B$24,B50,'Inhalation Exposure'!$D$6:$D$24,C50),SUMIFS('Inhalation Exposure'!$H$6:$H$24,'Inhalation Exposure'!$B$6:$B$24,B50,'Inhalation Exposure'!$D$6:$D$24,C50)), IF($H50="Central Tendency",SUMIFS('Inhalation Exposure'!$N$6:$N$24,'Inhalation Exposure'!$B$6:$B$24,B50,'Inhalation Exposure'!$D$6:$D$24,C50),SUMIFS('Inhalation Exposure'!$M$6:$M$24,'Inhalation Exposure'!$B$6:$B$24,B50,'Inhalation Exposure'!$D$6:$D$24,C50))),"--")</f>
        <v>6.6E-4</v>
      </c>
      <c r="K50" s="216">
        <f>I50/N50</f>
        <v>9.7945205479452054E-7</v>
      </c>
      <c r="L50" s="216">
        <f>J50/O50</f>
        <v>1.3200000000000001E-5</v>
      </c>
      <c r="N50" s="264">
        <v>50</v>
      </c>
      <c r="O50" s="261">
        <v>50</v>
      </c>
    </row>
    <row r="51" spans="2:15" ht="15.75" thickBot="1">
      <c r="B51" s="215">
        <v>4</v>
      </c>
      <c r="C51" s="149" t="s">
        <v>87</v>
      </c>
      <c r="D51" s="149" t="s">
        <v>132</v>
      </c>
      <c r="E51" s="358"/>
      <c r="F51" s="353"/>
      <c r="G51" s="353"/>
      <c r="H51" s="356"/>
      <c r="I51" s="344"/>
      <c r="J51" s="344"/>
      <c r="K51" s="298" t="str">
        <f>CONCATENATE("(APF ",N50,")")</f>
        <v>(APF 50)</v>
      </c>
      <c r="L51" s="298" t="str">
        <f>CONCATENATE("(APF ",O50,")")</f>
        <v>(APF 50)</v>
      </c>
      <c r="N51" s="264" t="s">
        <v>134</v>
      </c>
      <c r="O51" s="261" t="s">
        <v>134</v>
      </c>
    </row>
    <row r="52" spans="2:15" ht="15" customHeight="1" thickBot="1">
      <c r="B52" s="215">
        <v>4</v>
      </c>
      <c r="C52" s="149" t="s">
        <v>87</v>
      </c>
      <c r="D52" s="149" t="s">
        <v>132</v>
      </c>
      <c r="E52" s="358"/>
      <c r="F52" s="353"/>
      <c r="G52" s="353"/>
      <c r="H52" s="355" t="s">
        <v>135</v>
      </c>
      <c r="I52" s="343">
        <f>IFERROR(VLOOKUP(D52,$R$7:$T$7,2,FALSE)*IF(G50="8-hr",IF($H52="Central Tendency",SUMIFS('Inhalation Exposure'!$P$6:$P$24,'Inhalation Exposure'!$B$6:$B$24,B52,'Inhalation Exposure'!$D$6:$D$24,C52),SUMIFS('Inhalation Exposure'!$O$6:$O$24,'Inhalation Exposure'!$B$6:$B$24,B52,'Inhalation Exposure'!$D$6:$D$24,C52)), IF($H52="Central Tendency",SUMIFS('Inhalation Exposure'!$R$6:$R$24,'Inhalation Exposure'!$B$6:$B$24,B52,'Inhalation Exposure'!$D$6:$D$24,C52),SUMIFS('Inhalation Exposure'!$Q$6:$Q$24,'Inhalation Exposure'!$B$6:$B$24,B52,'Inhalation Exposure'!$D$6:$D$24,C52))),"--")</f>
        <v>6.5890410958904095E-5</v>
      </c>
      <c r="J52" s="343">
        <f>IFERROR(VLOOKUP(D52,$R$7:$T$7,3,FALSE)*IF(G50="8-hr",IF($H52="Central Tendency",SUMIFS('Inhalation Exposure'!$J$6:$J$24,'Inhalation Exposure'!$B$6:$B$24,B52,'Inhalation Exposure'!$D$6:$D$24,C52),SUMIFS('Inhalation Exposure'!$H$6:$H$24,'Inhalation Exposure'!$B$6:$B$24,B52,'Inhalation Exposure'!$D$6:$D$24,C52)), IF($H52="Central Tendency",SUMIFS('Inhalation Exposure'!$N$6:$N$24,'Inhalation Exposure'!$B$6:$B$24,B52,'Inhalation Exposure'!$D$6:$D$24,C52),SUMIFS('Inhalation Exposure'!$M$6:$M$24,'Inhalation Exposure'!$B$6:$B$24,B52,'Inhalation Exposure'!$D$6:$D$24,C52))),"--")</f>
        <v>3.6529680365296802E-2</v>
      </c>
      <c r="K52" s="217">
        <f>I52/N52</f>
        <v>1.3178082191780819E-6</v>
      </c>
      <c r="L52" s="217">
        <f>J52/O52</f>
        <v>7.3059360730593598E-4</v>
      </c>
      <c r="N52" s="264">
        <v>50</v>
      </c>
      <c r="O52" s="261">
        <v>50</v>
      </c>
    </row>
    <row r="53" spans="2:15" ht="15.75" thickBot="1">
      <c r="B53" s="215">
        <v>4</v>
      </c>
      <c r="C53" s="149" t="s">
        <v>87</v>
      </c>
      <c r="D53" s="149" t="s">
        <v>132</v>
      </c>
      <c r="E53" s="358"/>
      <c r="F53" s="354"/>
      <c r="G53" s="354"/>
      <c r="H53" s="356"/>
      <c r="I53" s="344"/>
      <c r="J53" s="344"/>
      <c r="K53" s="298" t="str">
        <f>CONCATENATE("(APF ",N52,")")</f>
        <v>(APF 50)</v>
      </c>
      <c r="L53" s="298" t="str">
        <f>CONCATENATE("(APF ",O52,")")</f>
        <v>(APF 50)</v>
      </c>
      <c r="N53" s="264" t="s">
        <v>134</v>
      </c>
      <c r="O53" s="261" t="s">
        <v>134</v>
      </c>
    </row>
    <row r="54" spans="2:15" ht="26.25" thickBot="1">
      <c r="B54" s="215">
        <v>4</v>
      </c>
      <c r="C54" s="149" t="s">
        <v>88</v>
      </c>
      <c r="D54" s="149" t="s">
        <v>132</v>
      </c>
      <c r="E54" s="358"/>
      <c r="F54" s="353" t="str">
        <f>C54</f>
        <v>ONU</v>
      </c>
      <c r="G54" s="353" t="s">
        <v>133</v>
      </c>
      <c r="H54" s="298" t="s">
        <v>89</v>
      </c>
      <c r="I54" s="153">
        <f>IFERROR(VLOOKUP(D54,$R$7:$T$7,2,FALSE)*IF(G54="8-hr",IF($H54="Central Tendency",SUMIFS('Inhalation Exposure'!$P$6:$P$24,'Inhalation Exposure'!$B$6:$B$24,B54,'Inhalation Exposure'!$D$6:$D$24,C54),SUMIFS('Inhalation Exposure'!$O$6:$O$24,'Inhalation Exposure'!$B$6:$B$24,B54,'Inhalation Exposure'!$D$6:$D$24,C54)), IF($H54="Central Tendency",SUMIFS('Inhalation Exposure'!$R$6:$R$24,'Inhalation Exposure'!$B$6:$B$24,B54,'Inhalation Exposure'!$D$6:$D$24,C54),SUMIFS('Inhalation Exposure'!$Q$6:$Q$24,'Inhalation Exposure'!$B$6:$B$24,B54,'Inhalation Exposure'!$D$6:$D$24,C54))),"--")</f>
        <v>6.5296803652968031E-6</v>
      </c>
      <c r="J54" s="153">
        <f>IFERROR(VLOOKUP(D54,$R$7:$T$7,3,FALSE)*IF(G54="8-hr",IF($H54="Central Tendency",SUMIFS('Inhalation Exposure'!$J$6:$J$24,'Inhalation Exposure'!$B$6:$B$24,B54,'Inhalation Exposure'!$D$6:$D$24,C54),SUMIFS('Inhalation Exposure'!$H$6:$H$24,'Inhalation Exposure'!$B$6:$B$24,B54,'Inhalation Exposure'!$D$6:$D$24,C54)), IF($H54="Central Tendency",SUMIFS('Inhalation Exposure'!$N$6:$N$24,'Inhalation Exposure'!$B$6:$B$24,B54,'Inhalation Exposure'!$D$6:$D$24,C54),SUMIFS('Inhalation Exposure'!$M$6:$M$24,'Inhalation Exposure'!$B$6:$B$24,B54,'Inhalation Exposure'!$D$6:$D$24,C54))),"--")</f>
        <v>8.8000000000000011E-5</v>
      </c>
      <c r="K54" s="298" t="s">
        <v>136</v>
      </c>
      <c r="L54" s="298" t="s">
        <v>136</v>
      </c>
      <c r="N54" s="264" t="s">
        <v>136</v>
      </c>
      <c r="O54" s="261" t="s">
        <v>136</v>
      </c>
    </row>
    <row r="55" spans="2:15" ht="15.75" thickBot="1">
      <c r="B55" s="221">
        <v>4</v>
      </c>
      <c r="C55" s="206" t="s">
        <v>88</v>
      </c>
      <c r="D55" s="206" t="s">
        <v>132</v>
      </c>
      <c r="E55" s="362"/>
      <c r="F55" s="357"/>
      <c r="G55" s="357"/>
      <c r="H55" s="300" t="s">
        <v>135</v>
      </c>
      <c r="I55" s="271">
        <f>IFERROR(VLOOKUP(D55,$R$7:$T$7,2,FALSE)*IF(G54="8-hr",IF($H55="Central Tendency",SUMIFS('Inhalation Exposure'!$P$6:$P$24,'Inhalation Exposure'!$B$6:$B$24,B55,'Inhalation Exposure'!$D$6:$D$24,C55),SUMIFS('Inhalation Exposure'!$O$6:$O$24,'Inhalation Exposure'!$B$6:$B$24,B55,'Inhalation Exposure'!$D$6:$D$24,C55)), IF($H55="Central Tendency",SUMIFS('Inhalation Exposure'!$R$6:$R$24,'Inhalation Exposure'!$B$6:$B$24,B55,'Inhalation Exposure'!$D$6:$D$24,C55),SUMIFS('Inhalation Exposure'!$Q$6:$Q$24,'Inhalation Exposure'!$B$6:$B$24,B55,'Inhalation Exposure'!$D$6:$D$24,C55))),"--")</f>
        <v>4.9863013698630129E-3</v>
      </c>
      <c r="J55" s="271">
        <f>IFERROR(VLOOKUP(D55,$R$7:$T$7,3,FALSE)*IF(G54="8-hr",IF($H55="Central Tendency",SUMIFS('Inhalation Exposure'!$J$6:$J$24,'Inhalation Exposure'!$B$6:$B$24,B55,'Inhalation Exposure'!$D$6:$D$24,C55),SUMIFS('Inhalation Exposure'!$H$6:$H$24,'Inhalation Exposure'!$B$6:$B$24,B55,'Inhalation Exposure'!$D$6:$D$24,C55)), IF($H55="Central Tendency",SUMIFS('Inhalation Exposure'!$N$6:$N$24,'Inhalation Exposure'!$B$6:$B$24,B55,'Inhalation Exposure'!$D$6:$D$24,C55),SUMIFS('Inhalation Exposure'!$M$6:$M$24,'Inhalation Exposure'!$B$6:$B$24,B55,'Inhalation Exposure'!$D$6:$D$24,C55))),"--")</f>
        <v>3.6529680365296802E-2</v>
      </c>
      <c r="K55" s="222" t="s">
        <v>136</v>
      </c>
      <c r="L55" s="222" t="s">
        <v>136</v>
      </c>
      <c r="N55" s="265" t="s">
        <v>136</v>
      </c>
      <c r="O55" s="266" t="s">
        <v>136</v>
      </c>
    </row>
    <row r="56" spans="2:15" ht="15.6" customHeight="1" thickTop="1" thickBot="1">
      <c r="B56" s="219">
        <v>4</v>
      </c>
      <c r="C56" s="205" t="s">
        <v>85</v>
      </c>
      <c r="D56" s="205" t="s">
        <v>132</v>
      </c>
      <c r="E56" s="358" t="s">
        <v>139</v>
      </c>
      <c r="F56" s="353" t="str">
        <f>C56</f>
        <v>Higher-Exposure Workers</v>
      </c>
      <c r="G56" s="353" t="s">
        <v>137</v>
      </c>
      <c r="H56" s="359" t="s">
        <v>89</v>
      </c>
      <c r="I56" s="345">
        <f>IFERROR(VLOOKUP(D56,$R$7:$T$7,2,FALSE)*IF(G56="8-hr",IF($H56="Central Tendency",SUMIFS('Inhalation Exposure'!$P$6:$P$24,'Inhalation Exposure'!$B$6:$B$24,B56,'Inhalation Exposure'!$D$6:$D$24,C56),SUMIFS('Inhalation Exposure'!$O$6:$O$24,'Inhalation Exposure'!$B$6:$B$24,B56,'Inhalation Exposure'!$D$6:$D$24,C56)), IF($H56="Central Tendency",SUMIFS('Inhalation Exposure'!$R$6:$R$24,'Inhalation Exposure'!$B$6:$B$24,B56,'Inhalation Exposure'!$D$6:$D$24,C56),SUMIFS('Inhalation Exposure'!$Q$6:$Q$24,'Inhalation Exposure'!$B$6:$B$24,B56,'Inhalation Exposure'!$D$6:$D$24,C56))),"--")</f>
        <v>8.0629838830527996E-4</v>
      </c>
      <c r="J56" s="345">
        <f>IFERROR(VLOOKUP(D56,$R$7:$T$7,3,FALSE)*IF(G56="8-hr",IF($H56="Central Tendency",SUMIFS('Inhalation Exposure'!$J$6:$J$24,'Inhalation Exposure'!$B$6:$B$24,B56,'Inhalation Exposure'!$D$6:$D$24,C56),SUMIFS('Inhalation Exposure'!$H$6:$H$24,'Inhalation Exposure'!$B$6:$B$24,B56,'Inhalation Exposure'!$D$6:$D$24,C56)), IF($H56="Central Tendency",SUMIFS('Inhalation Exposure'!$N$6:$N$24,'Inhalation Exposure'!$B$6:$B$24,B56,'Inhalation Exposure'!$D$6:$D$24,C56),SUMIFS('Inhalation Exposure'!$M$6:$M$24,'Inhalation Exposure'!$B$6:$B$24,B56,'Inhalation Exposure'!$D$6:$D$24,C56))),"--")</f>
        <v>1.086642135623731E-2</v>
      </c>
      <c r="K56" s="217">
        <f>I56/N56</f>
        <v>8.0629838830527991E-5</v>
      </c>
      <c r="L56" s="220">
        <f>J56/O56</f>
        <v>1.0866421356237311E-3</v>
      </c>
      <c r="N56" s="263">
        <v>10</v>
      </c>
      <c r="O56" s="262">
        <v>10</v>
      </c>
    </row>
    <row r="57" spans="2:15" ht="15.75" thickBot="1">
      <c r="B57" s="215">
        <v>4</v>
      </c>
      <c r="C57" s="149" t="s">
        <v>85</v>
      </c>
      <c r="D57" s="149" t="s">
        <v>132</v>
      </c>
      <c r="E57" s="358"/>
      <c r="F57" s="353"/>
      <c r="G57" s="353"/>
      <c r="H57" s="356"/>
      <c r="I57" s="344"/>
      <c r="J57" s="344"/>
      <c r="K57" s="298" t="str">
        <f>CONCATENATE("(APF ",N56,")")</f>
        <v>(APF 10)</v>
      </c>
      <c r="L57" s="298" t="str">
        <f>CONCATENATE("(APF ",O56,")")</f>
        <v>(APF 10)</v>
      </c>
      <c r="N57" s="264" t="s">
        <v>134</v>
      </c>
      <c r="O57" s="261" t="s">
        <v>134</v>
      </c>
    </row>
    <row r="58" spans="2:15" ht="15.75" thickBot="1">
      <c r="B58" s="215">
        <v>4</v>
      </c>
      <c r="C58" s="149" t="s">
        <v>85</v>
      </c>
      <c r="D58" s="149" t="s">
        <v>132</v>
      </c>
      <c r="E58" s="358"/>
      <c r="F58" s="353"/>
      <c r="G58" s="353"/>
      <c r="H58" s="355" t="s">
        <v>135</v>
      </c>
      <c r="I58" s="343">
        <f>IFERROR(VLOOKUP(D58,$R$7:$T$7,2,FALSE)*IF(G56="8-hr",IF($H58="Central Tendency",SUMIFS('Inhalation Exposure'!$P$6:$P$24,'Inhalation Exposure'!$B$6:$B$24,B58,'Inhalation Exposure'!$D$6:$D$24,C58),SUMIFS('Inhalation Exposure'!$O$6:$O$24,'Inhalation Exposure'!$B$6:$B$24,B58,'Inhalation Exposure'!$D$6:$D$24,C58)), IF($H58="Central Tendency",SUMIFS('Inhalation Exposure'!$R$6:$R$24,'Inhalation Exposure'!$B$6:$B$24,B58,'Inhalation Exposure'!$D$6:$D$24,C58),SUMIFS('Inhalation Exposure'!$Q$6:$Q$24,'Inhalation Exposure'!$B$6:$B$24,B58,'Inhalation Exposure'!$D$6:$D$24,C58))),"--")</f>
        <v>1.839749627718669E-2</v>
      </c>
      <c r="J58" s="343">
        <f>IFERROR(VLOOKUP(D58,$R$7:$T$7,3,FALSE)*IF(G56="8-hr",IF($H58="Central Tendency",SUMIFS('Inhalation Exposure'!$J$6:$J$24,'Inhalation Exposure'!$B$6:$B$24,B58,'Inhalation Exposure'!$D$6:$D$24,C58),SUMIFS('Inhalation Exposure'!$H$6:$H$24,'Inhalation Exposure'!$B$6:$B$24,B58,'Inhalation Exposure'!$D$6:$D$24,C58)), IF($H58="Central Tendency",SUMIFS('Inhalation Exposure'!$N$6:$N$24,'Inhalation Exposure'!$B$6:$B$24,B58,'Inhalation Exposure'!$D$6:$D$24,C58),SUMIFS('Inhalation Exposure'!$M$6:$M$24,'Inhalation Exposure'!$B$6:$B$24,B58,'Inhalation Exposure'!$D$6:$D$24,C58))),"--")</f>
        <v>0.24794164213562372</v>
      </c>
      <c r="K58" s="217">
        <f>I58/N58</f>
        <v>3.6794992554373379E-4</v>
      </c>
      <c r="L58" s="217">
        <f>J58/O58</f>
        <v>4.9588328427124743E-3</v>
      </c>
      <c r="N58" s="264">
        <v>50</v>
      </c>
      <c r="O58" s="261">
        <v>50</v>
      </c>
    </row>
    <row r="59" spans="2:15" ht="15.75" thickBot="1">
      <c r="B59" s="215">
        <v>4</v>
      </c>
      <c r="C59" s="149" t="s">
        <v>85</v>
      </c>
      <c r="D59" s="149" t="s">
        <v>132</v>
      </c>
      <c r="E59" s="358"/>
      <c r="F59" s="353"/>
      <c r="G59" s="354"/>
      <c r="H59" s="356"/>
      <c r="I59" s="344"/>
      <c r="J59" s="344"/>
      <c r="K59" s="298" t="str">
        <f>CONCATENATE("(APF ",N58,")")</f>
        <v>(APF 50)</v>
      </c>
      <c r="L59" s="298" t="str">
        <f>CONCATENATE("(APF ",O58,")")</f>
        <v>(APF 50)</v>
      </c>
      <c r="N59" s="264" t="s">
        <v>134</v>
      </c>
      <c r="O59" s="261" t="s">
        <v>134</v>
      </c>
    </row>
    <row r="60" spans="2:15" ht="15" customHeight="1" thickBot="1">
      <c r="B60" s="215">
        <v>4</v>
      </c>
      <c r="C60" s="149" t="s">
        <v>87</v>
      </c>
      <c r="D60" s="149" t="s">
        <v>132</v>
      </c>
      <c r="E60" s="358"/>
      <c r="F60" s="352" t="str">
        <f>C60</f>
        <v>Lower-Exposure Workers</v>
      </c>
      <c r="G60" s="352" t="s">
        <v>137</v>
      </c>
      <c r="H60" s="355" t="s">
        <v>89</v>
      </c>
      <c r="I60" s="343">
        <f>IFERROR(VLOOKUP(D60,$R$7:$T$7,2,FALSE)*IF(G60="8-hr",IF($H60="Central Tendency",SUMIFS('Inhalation Exposure'!$P$6:$P$24,'Inhalation Exposure'!$B$6:$B$24,B60,'Inhalation Exposure'!$D$6:$D$24,C60),SUMIFS('Inhalation Exposure'!$O$6:$O$24,'Inhalation Exposure'!$B$6:$B$24,B60,'Inhalation Exposure'!$D$6:$D$24,C60)), IF($H60="Central Tendency",SUMIFS('Inhalation Exposure'!$R$6:$R$24,'Inhalation Exposure'!$B$6:$B$24,B60,'Inhalation Exposure'!$D$6:$D$24,C60),SUMIFS('Inhalation Exposure'!$Q$6:$Q$24,'Inhalation Exposure'!$B$6:$B$24,B60,'Inhalation Exposure'!$D$6:$D$24,C60))),"--")</f>
        <v>5.3519670562423771E-5</v>
      </c>
      <c r="J60" s="343">
        <f>IFERROR(VLOOKUP(D60,$R$7:$T$7,3,FALSE)*IF(G60="8-hr",IF($H60="Central Tendency",SUMIFS('Inhalation Exposure'!$J$6:$J$24,'Inhalation Exposure'!$B$6:$B$24,B60,'Inhalation Exposure'!$D$6:$D$24,C60),SUMIFS('Inhalation Exposure'!$H$6:$H$24,'Inhalation Exposure'!$B$6:$B$24,B60,'Inhalation Exposure'!$D$6:$D$24,C60)), IF($H60="Central Tendency",SUMIFS('Inhalation Exposure'!$N$6:$N$24,'Inhalation Exposure'!$B$6:$B$24,B60,'Inhalation Exposure'!$D$6:$D$24,C60),SUMIFS('Inhalation Exposure'!$M$6:$M$24,'Inhalation Exposure'!$B$6:$B$24,B60,'Inhalation Exposure'!$D$6:$D$24,C60))),"--")</f>
        <v>7.2128048327204947E-4</v>
      </c>
      <c r="K60" s="216">
        <f>I60/N60</f>
        <v>1.0703934112484755E-6</v>
      </c>
      <c r="L60" s="216">
        <f>J60/O60</f>
        <v>1.442560966544099E-5</v>
      </c>
      <c r="N60" s="264">
        <v>50</v>
      </c>
      <c r="O60" s="261">
        <v>50</v>
      </c>
    </row>
    <row r="61" spans="2:15" ht="15.75" thickBot="1">
      <c r="B61" s="215">
        <v>4</v>
      </c>
      <c r="C61" s="149" t="s">
        <v>87</v>
      </c>
      <c r="D61" s="149" t="s">
        <v>132</v>
      </c>
      <c r="E61" s="358"/>
      <c r="F61" s="353"/>
      <c r="G61" s="353"/>
      <c r="H61" s="356"/>
      <c r="I61" s="344"/>
      <c r="J61" s="344"/>
      <c r="K61" s="298" t="str">
        <f>CONCATENATE("(APF ",N60,")")</f>
        <v>(APF 50)</v>
      </c>
      <c r="L61" s="298" t="str">
        <f>CONCATENATE("(APF ",O60,")")</f>
        <v>(APF 50)</v>
      </c>
      <c r="N61" s="264" t="s">
        <v>134</v>
      </c>
      <c r="O61" s="261" t="s">
        <v>134</v>
      </c>
    </row>
    <row r="62" spans="2:15" ht="15" customHeight="1" thickBot="1">
      <c r="B62" s="215">
        <v>4</v>
      </c>
      <c r="C62" s="149" t="s">
        <v>87</v>
      </c>
      <c r="D62" s="149" t="s">
        <v>132</v>
      </c>
      <c r="E62" s="358"/>
      <c r="F62" s="353"/>
      <c r="G62" s="353"/>
      <c r="H62" s="355" t="s">
        <v>135</v>
      </c>
      <c r="I62" s="343">
        <f>IFERROR(VLOOKUP(D62,$R$7:$T$7,2,FALSE)*IF(G60="8-hr",IF($H62="Central Tendency",SUMIFS('Inhalation Exposure'!$P$6:$P$24,'Inhalation Exposure'!$B$6:$B$24,B62,'Inhalation Exposure'!$D$6:$D$24,C62),SUMIFS('Inhalation Exposure'!$O$6:$O$24,'Inhalation Exposure'!$B$6:$B$24,B62,'Inhalation Exposure'!$D$6:$D$24,C62)), IF($H62="Central Tendency",SUMIFS('Inhalation Exposure'!$R$6:$R$24,'Inhalation Exposure'!$B$6:$B$24,B62,'Inhalation Exposure'!$D$6:$D$24,C62),SUMIFS('Inhalation Exposure'!$Q$6:$Q$24,'Inhalation Exposure'!$B$6:$B$24,B62,'Inhalation Exposure'!$D$6:$D$24,C62))),"--")</f>
        <v>7.74572699708209E-5</v>
      </c>
      <c r="J62" s="343">
        <f>IFERROR(VLOOKUP(D62,$R$7:$T$7,3,FALSE)*IF(G60="8-hr",IF($H62="Central Tendency",SUMIFS('Inhalation Exposure'!$J$6:$J$24,'Inhalation Exposure'!$B$6:$B$24,B62,'Inhalation Exposure'!$D$6:$D$24,C62),SUMIFS('Inhalation Exposure'!$H$6:$H$24,'Inhalation Exposure'!$B$6:$B$24,B62,'Inhalation Exposure'!$D$6:$D$24,C62)), IF($H62="Central Tendency",SUMIFS('Inhalation Exposure'!$N$6:$N$24,'Inhalation Exposure'!$B$6:$B$24,B62,'Inhalation Exposure'!$D$6:$D$24,C62),SUMIFS('Inhalation Exposure'!$M$6:$M$24,'Inhalation Exposure'!$B$6:$B$24,B62,'Inhalation Exposure'!$D$6:$D$24,C62))),"--")</f>
        <v>1.0438856691452171E-3</v>
      </c>
      <c r="K62" s="217">
        <f>I62/N62</f>
        <v>1.5491453994164181E-6</v>
      </c>
      <c r="L62" s="217">
        <f>J62/O62</f>
        <v>2.0877713382904341E-5</v>
      </c>
      <c r="N62" s="264">
        <v>50</v>
      </c>
      <c r="O62" s="261">
        <v>50</v>
      </c>
    </row>
    <row r="63" spans="2:15" ht="15.75" thickBot="1">
      <c r="B63" s="215">
        <v>4</v>
      </c>
      <c r="C63" s="149" t="s">
        <v>87</v>
      </c>
      <c r="D63" s="149" t="s">
        <v>132</v>
      </c>
      <c r="E63" s="358"/>
      <c r="F63" s="354"/>
      <c r="G63" s="354"/>
      <c r="H63" s="356"/>
      <c r="I63" s="344"/>
      <c r="J63" s="344"/>
      <c r="K63" s="298" t="str">
        <f>CONCATENATE("(APF ",N62,")")</f>
        <v>(APF 50)</v>
      </c>
      <c r="L63" s="298" t="str">
        <f>CONCATENATE("(APF ",O62,")")</f>
        <v>(APF 50)</v>
      </c>
      <c r="N63" s="264" t="s">
        <v>134</v>
      </c>
      <c r="O63" s="261" t="s">
        <v>134</v>
      </c>
    </row>
    <row r="64" spans="2:15" ht="26.25" thickBot="1">
      <c r="B64" s="215">
        <v>4</v>
      </c>
      <c r="C64" s="149" t="s">
        <v>88</v>
      </c>
      <c r="D64" s="149" t="s">
        <v>132</v>
      </c>
      <c r="E64" s="358"/>
      <c r="F64" s="353" t="str">
        <f>C64</f>
        <v>ONU</v>
      </c>
      <c r="G64" s="353" t="s">
        <v>137</v>
      </c>
      <c r="H64" s="298" t="s">
        <v>89</v>
      </c>
      <c r="I64" s="153">
        <f>IFERROR(VLOOKUP(D64,$R$7:$T$7,2,FALSE)*IF(G64="8-hr",IF($H64="Central Tendency",SUMIFS('Inhalation Exposure'!$P$6:$P$24,'Inhalation Exposure'!$B$6:$B$24,B64,'Inhalation Exposure'!$D$6:$D$24,C64),SUMIFS('Inhalation Exposure'!$O$6:$O$24,'Inhalation Exposure'!$B$6:$B$24,B64,'Inhalation Exposure'!$D$6:$D$24,C64)), IF($H64="Central Tendency",SUMIFS('Inhalation Exposure'!$R$6:$R$24,'Inhalation Exposure'!$B$6:$B$24,B64,'Inhalation Exposure'!$D$6:$D$24,C64),SUMIFS('Inhalation Exposure'!$Q$6:$Q$24,'Inhalation Exposure'!$B$6:$B$24,B64,'Inhalation Exposure'!$D$6:$D$24,C64))),"--")</f>
        <v>6.4066249221964805E-6</v>
      </c>
      <c r="J64" s="153">
        <f>IFERROR(VLOOKUP(D64,$R$7:$T$7,3,FALSE)*IF(G64="8-hr",IF($H64="Central Tendency",SUMIFS('Inhalation Exposure'!$J$6:$J$24,'Inhalation Exposure'!$B$6:$B$24,B64,'Inhalation Exposure'!$D$6:$D$24,C64),SUMIFS('Inhalation Exposure'!$H$6:$H$24,'Inhalation Exposure'!$B$6:$B$24,B64,'Inhalation Exposure'!$D$6:$D$24,C64)), IF($H64="Central Tendency",SUMIFS('Inhalation Exposure'!$N$6:$N$24,'Inhalation Exposure'!$B$6:$B$24,B64,'Inhalation Exposure'!$D$6:$D$24,C64),SUMIFS('Inhalation Exposure'!$M$6:$M$24,'Inhalation Exposure'!$B$6:$B$24,B64,'Inhalation Exposure'!$D$6:$D$24,C64))),"--")</f>
        <v>8.6341591259140286E-5</v>
      </c>
      <c r="K64" s="298" t="s">
        <v>136</v>
      </c>
      <c r="L64" s="298" t="s">
        <v>136</v>
      </c>
      <c r="N64" s="264" t="s">
        <v>136</v>
      </c>
      <c r="O64" s="261" t="s">
        <v>136</v>
      </c>
    </row>
    <row r="65" spans="2:15" ht="15.75" thickBot="1">
      <c r="B65" s="221">
        <v>4</v>
      </c>
      <c r="C65" s="206" t="s">
        <v>88</v>
      </c>
      <c r="D65" s="206" t="s">
        <v>132</v>
      </c>
      <c r="E65" s="362"/>
      <c r="F65" s="357"/>
      <c r="G65" s="357"/>
      <c r="H65" s="300" t="s">
        <v>135</v>
      </c>
      <c r="I65" s="271">
        <f>IFERROR(VLOOKUP(D65,$R$7:$T$7,2,FALSE)*IF(G64="8-hr",IF($H65="Central Tendency",SUMIFS('Inhalation Exposure'!$P$6:$P$24,'Inhalation Exposure'!$B$6:$B$24,B65,'Inhalation Exposure'!$D$6:$D$24,C65),SUMIFS('Inhalation Exposure'!$O$6:$O$24,'Inhalation Exposure'!$B$6:$B$24,B65,'Inhalation Exposure'!$D$6:$D$24,C65)), IF($H65="Central Tendency",SUMIFS('Inhalation Exposure'!$R$6:$R$24,'Inhalation Exposure'!$B$6:$B$24,B65,'Inhalation Exposure'!$D$6:$D$24,C65),SUMIFS('Inhalation Exposure'!$Q$6:$Q$24,'Inhalation Exposure'!$B$6:$B$24,B65,'Inhalation Exposure'!$D$6:$D$24,C65))),"--")</f>
        <v>4.6752276334060374E-3</v>
      </c>
      <c r="J65" s="271">
        <f>IFERROR(VLOOKUP(D65,$R$7:$T$7,3,FALSE)*IF(G64="8-hr",IF($H65="Central Tendency",SUMIFS('Inhalation Exposure'!$J$6:$J$24,'Inhalation Exposure'!$B$6:$B$24,B65,'Inhalation Exposure'!$D$6:$D$24,C65),SUMIFS('Inhalation Exposure'!$H$6:$H$24,'Inhalation Exposure'!$B$6:$B$24,B65,'Inhalation Exposure'!$D$6:$D$24,C65)), IF($H65="Central Tendency",SUMIFS('Inhalation Exposure'!$N$6:$N$24,'Inhalation Exposure'!$B$6:$B$24,B65,'Inhalation Exposure'!$D$6:$D$24,C65),SUMIFS('Inhalation Exposure'!$M$6:$M$24,'Inhalation Exposure'!$B$6:$B$24,B65,'Inhalation Exposure'!$D$6:$D$24,C65))),"--")</f>
        <v>6.3007683182518287E-2</v>
      </c>
      <c r="K65" s="222" t="s">
        <v>136</v>
      </c>
      <c r="L65" s="222" t="s">
        <v>136</v>
      </c>
      <c r="N65" s="265" t="s">
        <v>136</v>
      </c>
      <c r="O65" s="266" t="s">
        <v>136</v>
      </c>
    </row>
    <row r="66" spans="2:15" ht="15.6" customHeight="1" thickTop="1" thickBot="1">
      <c r="B66" s="223">
        <v>5</v>
      </c>
      <c r="C66" s="203" t="s">
        <v>85</v>
      </c>
      <c r="D66" s="203" t="s">
        <v>132</v>
      </c>
      <c r="E66" s="358" t="s">
        <v>64</v>
      </c>
      <c r="F66" s="353" t="str">
        <f>C66</f>
        <v>Higher-Exposure Workers</v>
      </c>
      <c r="G66" s="353" t="s">
        <v>133</v>
      </c>
      <c r="H66" s="359" t="s">
        <v>89</v>
      </c>
      <c r="I66" s="345">
        <f>IFERROR(VLOOKUP(D66,$R$7:$T$7,2,FALSE)*IF(G66="8-hr",IF($H66="Central Tendency",SUMIFS('Inhalation Exposure'!$P$6:$P$24,'Inhalation Exposure'!$B$6:$B$24,B66,'Inhalation Exposure'!$D$6:$D$24,C66),SUMIFS('Inhalation Exposure'!$O$6:$O$24,'Inhalation Exposure'!$B$6:$B$24,B66,'Inhalation Exposure'!$D$6:$D$24,C66)), IF($H66="Central Tendency",SUMIFS('Inhalation Exposure'!$R$6:$R$24,'Inhalation Exposure'!$B$6:$B$24,B66,'Inhalation Exposure'!$D$6:$D$24,C66),SUMIFS('Inhalation Exposure'!$Q$6:$Q$24,'Inhalation Exposure'!$B$6:$B$24,B66,'Inhalation Exposure'!$D$6:$D$24,C66))),"--")</f>
        <v>8.7289129883307957E-6</v>
      </c>
      <c r="J66" s="345">
        <f>IFERROR(VLOOKUP(D66,$R$7:$T$7,3,FALSE)*IF(G66="8-hr",IF($H66="Central Tendency",SUMIFS('Inhalation Exposure'!$J$6:$J$24,'Inhalation Exposure'!$B$6:$B$24,B66,'Inhalation Exposure'!$D$6:$D$24,C66),SUMIFS('Inhalation Exposure'!$H$6:$H$24,'Inhalation Exposure'!$B$6:$B$24,B66,'Inhalation Exposure'!$D$6:$D$24,C66)), IF($H66="Central Tendency",SUMIFS('Inhalation Exposure'!$N$6:$N$24,'Inhalation Exposure'!$B$6:$B$24,B66,'Inhalation Exposure'!$D$6:$D$24,C66),SUMIFS('Inhalation Exposure'!$M$6:$M$24,'Inhalation Exposure'!$B$6:$B$24,B66,'Inhalation Exposure'!$D$6:$D$24,C66))),"--")</f>
        <v>1.176388888888889E-4</v>
      </c>
      <c r="K66" s="217">
        <f>I66/N66</f>
        <v>8.7289129883307959E-7</v>
      </c>
      <c r="L66" s="217">
        <f>J66/O66</f>
        <v>1.176388888888889E-5</v>
      </c>
      <c r="N66" s="263">
        <v>10</v>
      </c>
      <c r="O66" s="262">
        <v>10</v>
      </c>
    </row>
    <row r="67" spans="2:15" ht="15.75" thickBot="1">
      <c r="B67" s="215">
        <v>5</v>
      </c>
      <c r="C67" s="149" t="s">
        <v>85</v>
      </c>
      <c r="D67" s="149" t="s">
        <v>132</v>
      </c>
      <c r="E67" s="358"/>
      <c r="F67" s="353"/>
      <c r="G67" s="353"/>
      <c r="H67" s="356"/>
      <c r="I67" s="344"/>
      <c r="J67" s="344"/>
      <c r="K67" s="298" t="str">
        <f>CONCATENATE("(APF ",N66,")")</f>
        <v>(APF 10)</v>
      </c>
      <c r="L67" s="298" t="str">
        <f>CONCATENATE("(APF ",O66,")")</f>
        <v>(APF 10)</v>
      </c>
      <c r="N67" s="264" t="s">
        <v>134</v>
      </c>
      <c r="O67" s="261" t="s">
        <v>134</v>
      </c>
    </row>
    <row r="68" spans="2:15" ht="15.75" thickBot="1">
      <c r="B68" s="215">
        <v>5</v>
      </c>
      <c r="C68" s="149" t="s">
        <v>85</v>
      </c>
      <c r="D68" s="149" t="s">
        <v>132</v>
      </c>
      <c r="E68" s="358"/>
      <c r="F68" s="353"/>
      <c r="G68" s="353"/>
      <c r="H68" s="355" t="s">
        <v>135</v>
      </c>
      <c r="I68" s="343">
        <f>IFERROR(VLOOKUP(D68,$R$7:$T$7,2,FALSE)*IF(G66="8-hr",IF($H68="Central Tendency",SUMIFS('Inhalation Exposure'!$P$6:$P$24,'Inhalation Exposure'!$B$6:$B$24,B68,'Inhalation Exposure'!$D$6:$D$24,C68),SUMIFS('Inhalation Exposure'!$O$6:$O$24,'Inhalation Exposure'!$B$6:$B$24,B68,'Inhalation Exposure'!$D$6:$D$24,C68)), IF($H68="Central Tendency",SUMIFS('Inhalation Exposure'!$R$6:$R$24,'Inhalation Exposure'!$B$6:$B$24,B68,'Inhalation Exposure'!$D$6:$D$24,C68),SUMIFS('Inhalation Exposure'!$Q$6:$Q$24,'Inhalation Exposure'!$B$6:$B$24,B68,'Inhalation Exposure'!$D$6:$D$24,C68))),"--")</f>
        <v>1.8817351598173515E-4</v>
      </c>
      <c r="J68" s="343">
        <f>IFERROR(VLOOKUP(D68,$R$7:$T$7,3,FALSE)*IF(G66="8-hr",IF($H68="Central Tendency",SUMIFS('Inhalation Exposure'!$J$6:$J$24,'Inhalation Exposure'!$B$6:$B$24,B68,'Inhalation Exposure'!$D$6:$D$24,C68),SUMIFS('Inhalation Exposure'!$H$6:$H$24,'Inhalation Exposure'!$B$6:$B$24,B68,'Inhalation Exposure'!$D$6:$D$24,C68)), IF($H68="Central Tendency",SUMIFS('Inhalation Exposure'!$N$6:$N$24,'Inhalation Exposure'!$B$6:$B$24,B68,'Inhalation Exposure'!$D$6:$D$24,C68),SUMIFS('Inhalation Exposure'!$M$6:$M$24,'Inhalation Exposure'!$B$6:$B$24,B68,'Inhalation Exposure'!$D$6:$D$24,C68))),"--")</f>
        <v>1.8264840182648401E-2</v>
      </c>
      <c r="K68" s="217">
        <f>I68/N68</f>
        <v>3.763470319634703E-6</v>
      </c>
      <c r="L68" s="217">
        <f>J68/O68</f>
        <v>3.6529680365296799E-4</v>
      </c>
      <c r="N68" s="264">
        <v>50</v>
      </c>
      <c r="O68" s="261">
        <v>50</v>
      </c>
    </row>
    <row r="69" spans="2:15" ht="15.75" thickBot="1">
      <c r="B69" s="215">
        <v>5</v>
      </c>
      <c r="C69" s="149" t="s">
        <v>85</v>
      </c>
      <c r="D69" s="149" t="s">
        <v>132</v>
      </c>
      <c r="E69" s="360"/>
      <c r="F69" s="354"/>
      <c r="G69" s="354"/>
      <c r="H69" s="356"/>
      <c r="I69" s="344"/>
      <c r="J69" s="344"/>
      <c r="K69" s="298" t="str">
        <f>CONCATENATE("(APF ",N68,")")</f>
        <v>(APF 50)</v>
      </c>
      <c r="L69" s="298" t="str">
        <f>CONCATENATE("(APF ",O68,")")</f>
        <v>(APF 50)</v>
      </c>
      <c r="N69" s="265" t="s">
        <v>134</v>
      </c>
      <c r="O69" s="266" t="s">
        <v>134</v>
      </c>
    </row>
    <row r="70" spans="2:15">
      <c r="B70" s="154"/>
      <c r="C70" s="154"/>
      <c r="D70" s="154"/>
      <c r="O70" s="8"/>
    </row>
    <row r="71" spans="2:15">
      <c r="B71" s="154"/>
      <c r="C71" s="154"/>
      <c r="D71" s="154"/>
      <c r="O71" s="8"/>
    </row>
    <row r="72" spans="2:15">
      <c r="B72" s="154"/>
      <c r="C72" s="154"/>
      <c r="D72" s="154"/>
      <c r="O72" s="8"/>
    </row>
    <row r="73" spans="2:15">
      <c r="B73" s="154"/>
      <c r="C73" s="154"/>
      <c r="D73" s="154"/>
      <c r="O73" s="8"/>
    </row>
    <row r="74" spans="2:15">
      <c r="B74" s="154"/>
      <c r="C74" s="154"/>
      <c r="D74" s="154"/>
    </row>
    <row r="75" spans="2:15">
      <c r="B75" s="154"/>
      <c r="C75" s="154"/>
      <c r="D75" s="154"/>
    </row>
    <row r="76" spans="2:15">
      <c r="B76" s="154"/>
      <c r="C76" s="154"/>
      <c r="D76" s="154"/>
    </row>
    <row r="77" spans="2:15">
      <c r="B77" s="154"/>
      <c r="C77" s="154"/>
      <c r="D77" s="154"/>
    </row>
    <row r="78" spans="2:15">
      <c r="B78" s="154"/>
      <c r="C78" s="154"/>
      <c r="D78" s="154"/>
    </row>
    <row r="79" spans="2:15">
      <c r="B79" s="154"/>
      <c r="C79" s="154"/>
      <c r="D79" s="154"/>
    </row>
    <row r="80" spans="2:15">
      <c r="B80" s="154"/>
      <c r="C80" s="154"/>
      <c r="D80" s="154"/>
    </row>
    <row r="81" spans="2:4">
      <c r="B81" s="154"/>
      <c r="C81" s="154"/>
      <c r="D81" s="154"/>
    </row>
    <row r="82" spans="2:4">
      <c r="B82" s="154"/>
      <c r="C82" s="154"/>
      <c r="D82" s="154"/>
    </row>
    <row r="83" spans="2:4">
      <c r="B83" s="154"/>
      <c r="C83" s="154"/>
      <c r="D83" s="154"/>
    </row>
    <row r="84" spans="2:4">
      <c r="B84" s="154"/>
      <c r="C84" s="154"/>
      <c r="D84" s="154"/>
    </row>
    <row r="85" spans="2:4">
      <c r="B85" s="154"/>
      <c r="C85" s="154"/>
      <c r="D85" s="154"/>
    </row>
    <row r="86" spans="2:4">
      <c r="B86" s="154"/>
      <c r="C86" s="154"/>
      <c r="D86" s="154"/>
    </row>
  </sheetData>
  <mergeCells count="133">
    <mergeCell ref="G12:G15"/>
    <mergeCell ref="E8:E17"/>
    <mergeCell ref="F8:F11"/>
    <mergeCell ref="G8:G11"/>
    <mergeCell ref="H8:H9"/>
    <mergeCell ref="A1:L1"/>
    <mergeCell ref="B6:B7"/>
    <mergeCell ref="C6:C7"/>
    <mergeCell ref="D6:D7"/>
    <mergeCell ref="E6:E7"/>
    <mergeCell ref="F6:F7"/>
    <mergeCell ref="G6:G7"/>
    <mergeCell ref="J8:J9"/>
    <mergeCell ref="H10:H11"/>
    <mergeCell ref="J10:J11"/>
    <mergeCell ref="H6:H7"/>
    <mergeCell ref="H12:H13"/>
    <mergeCell ref="J12:J13"/>
    <mergeCell ref="H14:H15"/>
    <mergeCell ref="J14:J15"/>
    <mergeCell ref="F12:F15"/>
    <mergeCell ref="F16:F17"/>
    <mergeCell ref="G16:G17"/>
    <mergeCell ref="H48:H49"/>
    <mergeCell ref="H38:H39"/>
    <mergeCell ref="F32:F35"/>
    <mergeCell ref="G32:G35"/>
    <mergeCell ref="H32:H33"/>
    <mergeCell ref="H34:H35"/>
    <mergeCell ref="J36:J37"/>
    <mergeCell ref="J28:J29"/>
    <mergeCell ref="J30:J31"/>
    <mergeCell ref="J32:J33"/>
    <mergeCell ref="J34:J35"/>
    <mergeCell ref="J38:J39"/>
    <mergeCell ref="J46:J47"/>
    <mergeCell ref="J48:J49"/>
    <mergeCell ref="J40:J41"/>
    <mergeCell ref="J42:J43"/>
    <mergeCell ref="E36:E45"/>
    <mergeCell ref="F36:F39"/>
    <mergeCell ref="G36:G39"/>
    <mergeCell ref="F44:F45"/>
    <mergeCell ref="E28:E35"/>
    <mergeCell ref="F28:F31"/>
    <mergeCell ref="G28:G31"/>
    <mergeCell ref="H46:H47"/>
    <mergeCell ref="H36:H37"/>
    <mergeCell ref="G44:G45"/>
    <mergeCell ref="F40:F43"/>
    <mergeCell ref="G40:G43"/>
    <mergeCell ref="H40:H41"/>
    <mergeCell ref="H42:H43"/>
    <mergeCell ref="H30:H31"/>
    <mergeCell ref="H28:H29"/>
    <mergeCell ref="H68:H69"/>
    <mergeCell ref="J68:J69"/>
    <mergeCell ref="E66:E69"/>
    <mergeCell ref="F66:F69"/>
    <mergeCell ref="G66:G69"/>
    <mergeCell ref="H66:H67"/>
    <mergeCell ref="J66:J67"/>
    <mergeCell ref="F50:F53"/>
    <mergeCell ref="G50:G53"/>
    <mergeCell ref="E46:E55"/>
    <mergeCell ref="F46:F49"/>
    <mergeCell ref="G46:G49"/>
    <mergeCell ref="H50:H51"/>
    <mergeCell ref="F54:F55"/>
    <mergeCell ref="J50:J51"/>
    <mergeCell ref="H52:H53"/>
    <mergeCell ref="J52:J53"/>
    <mergeCell ref="G54:G55"/>
    <mergeCell ref="E56:E65"/>
    <mergeCell ref="F56:F59"/>
    <mergeCell ref="G56:G59"/>
    <mergeCell ref="H56:H57"/>
    <mergeCell ref="J56:J57"/>
    <mergeCell ref="H58:H59"/>
    <mergeCell ref="F60:F63"/>
    <mergeCell ref="G60:G63"/>
    <mergeCell ref="H60:H61"/>
    <mergeCell ref="J60:J61"/>
    <mergeCell ref="H62:H63"/>
    <mergeCell ref="J62:J63"/>
    <mergeCell ref="F64:F65"/>
    <mergeCell ref="G64:G65"/>
    <mergeCell ref="E18:E27"/>
    <mergeCell ref="F18:F21"/>
    <mergeCell ref="G18:G21"/>
    <mergeCell ref="H18:H19"/>
    <mergeCell ref="J18:J19"/>
    <mergeCell ref="H20:H21"/>
    <mergeCell ref="J20:J21"/>
    <mergeCell ref="F22:F25"/>
    <mergeCell ref="G22:G25"/>
    <mergeCell ref="H22:H23"/>
    <mergeCell ref="J22:J23"/>
    <mergeCell ref="H24:H25"/>
    <mergeCell ref="J24:J25"/>
    <mergeCell ref="F26:F27"/>
    <mergeCell ref="G26:G27"/>
    <mergeCell ref="I18:I19"/>
    <mergeCell ref="N6:O6"/>
    <mergeCell ref="I6:J6"/>
    <mergeCell ref="K6:L6"/>
    <mergeCell ref="I3:L3"/>
    <mergeCell ref="I8:I9"/>
    <mergeCell ref="I10:I11"/>
    <mergeCell ref="I12:I13"/>
    <mergeCell ref="I14:I15"/>
    <mergeCell ref="J58:J59"/>
    <mergeCell ref="I20:I21"/>
    <mergeCell ref="I22:I23"/>
    <mergeCell ref="I24:I25"/>
    <mergeCell ref="I48:I49"/>
    <mergeCell ref="I50:I51"/>
    <mergeCell ref="I52:I53"/>
    <mergeCell ref="I56:I57"/>
    <mergeCell ref="I58:I59"/>
    <mergeCell ref="I60:I61"/>
    <mergeCell ref="I62:I63"/>
    <mergeCell ref="I66:I67"/>
    <mergeCell ref="I68:I69"/>
    <mergeCell ref="I28:I29"/>
    <mergeCell ref="I30:I31"/>
    <mergeCell ref="I32:I33"/>
    <mergeCell ref="I34:I35"/>
    <mergeCell ref="I36:I37"/>
    <mergeCell ref="I38:I39"/>
    <mergeCell ref="I40:I41"/>
    <mergeCell ref="I42:I43"/>
    <mergeCell ref="I46:I47"/>
  </mergeCells>
  <phoneticPr fontId="32" type="noConversion"/>
  <conditionalFormatting sqref="I8:J15">
    <cfRule type="expression" dxfId="46" priority="177">
      <formula>I8&gt;$J$4</formula>
    </cfRule>
  </conditionalFormatting>
  <conditionalFormatting sqref="I18:J25">
    <cfRule type="expression" dxfId="45" priority="2">
      <formula>I18&gt;$J$4</formula>
    </cfRule>
  </conditionalFormatting>
  <conditionalFormatting sqref="I28:J43">
    <cfRule type="expression" dxfId="44" priority="32">
      <formula>I28&gt;$J$4</formula>
    </cfRule>
  </conditionalFormatting>
  <conditionalFormatting sqref="I46:J53">
    <cfRule type="expression" dxfId="43" priority="22">
      <formula>I46&gt;$J$4</formula>
    </cfRule>
  </conditionalFormatting>
  <conditionalFormatting sqref="I56:J63">
    <cfRule type="expression" dxfId="42" priority="1">
      <formula>I56&gt;$J$4</formula>
    </cfRule>
  </conditionalFormatting>
  <conditionalFormatting sqref="I66:J69">
    <cfRule type="expression" dxfId="41" priority="12">
      <formula>I66&gt;$J$4</formula>
    </cfRule>
  </conditionalFormatting>
  <conditionalFormatting sqref="I8:L69">
    <cfRule type="cellIs" dxfId="40" priority="3" operator="greaterThanOrEqual">
      <formula>10000</formula>
    </cfRule>
    <cfRule type="cellIs" dxfId="39" priority="4" operator="between">
      <formula>10</formula>
      <formula>9999.999</formula>
    </cfRule>
    <cfRule type="cellIs" dxfId="38" priority="5" operator="between">
      <formula>1</formula>
      <formula>9.999</formula>
    </cfRule>
    <cfRule type="cellIs" dxfId="37" priority="6" operator="between">
      <formula>0.1</formula>
      <formula>0.999</formula>
    </cfRule>
    <cfRule type="cellIs" dxfId="36" priority="7" operator="lessThan">
      <formula>0.1</formula>
    </cfRule>
  </conditionalFormatting>
  <conditionalFormatting sqref="K8:L8 K10:L10 K14:L14 K20:L20 K24:L24 K28:L28 K30:L30 K34:L34 K36:L36 K38:L38 K42:L42 K46:L46 K48:L48 K52:L52 K58:L58 K62:L62 K66:L66 K68:L68">
    <cfRule type="expression" dxfId="35" priority="180">
      <formula>K8&gt;$L$4</formula>
    </cfRule>
  </conditionalFormatting>
  <conditionalFormatting sqref="K12:L12">
    <cfRule type="expression" dxfId="34" priority="80">
      <formula>K12&gt;$L$4</formula>
    </cfRule>
  </conditionalFormatting>
  <conditionalFormatting sqref="K18:L18">
    <cfRule type="expression" dxfId="33" priority="68">
      <formula>K18&gt;$L$4</formula>
    </cfRule>
  </conditionalFormatting>
  <conditionalFormatting sqref="K22:L22">
    <cfRule type="expression" dxfId="32" priority="66">
      <formula>K22&gt;$L$4</formula>
    </cfRule>
  </conditionalFormatting>
  <conditionalFormatting sqref="K32:L32">
    <cfRule type="expression" dxfId="31" priority="77">
      <formula>K32&gt;$L$4</formula>
    </cfRule>
  </conditionalFormatting>
  <conditionalFormatting sqref="K40:L40">
    <cfRule type="expression" dxfId="30" priority="65">
      <formula>K40&gt;$L$4</formula>
    </cfRule>
  </conditionalFormatting>
  <conditionalFormatting sqref="K50:L50">
    <cfRule type="expression" dxfId="29" priority="74">
      <formula>K50&gt;$L$4</formula>
    </cfRule>
  </conditionalFormatting>
  <conditionalFormatting sqref="K56:L56">
    <cfRule type="expression" dxfId="28" priority="64">
      <formula>K56&gt;$L$4</formula>
    </cfRule>
  </conditionalFormatting>
  <conditionalFormatting sqref="K60:L60">
    <cfRule type="expression" dxfId="27" priority="62">
      <formula>K60&gt;$L$4</formula>
    </cfRule>
  </conditionalFormatting>
  <pageMargins left="0.7" right="0.7" top="0.75" bottom="0.75" header="0.3" footer="0.3"/>
  <pageSetup orientation="portrait" r:id="rId1"/>
  <ignoredErrors>
    <ignoredError sqref="L8:L47 L48:L69 I10 J9 I8:K8 I11:K59 I9 K9 J10:K10 I60:K69" 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53F590B-A07D-4623-BF0D-F103D0FBB70E}">
          <x14:formula1>
            <xm:f>'List Values'!$E$6:$E$8</xm:f>
          </x14:formula1>
          <xm:sqref>N8:O8 N62:O62 N60:O60 N58:O58 N56:O56 N42:O42 N40:O40 N24:O24 N22:O22 N20:O20 N18:O18 N52:O52 N50:O50 N48:O48 N46:O46 N14:O14 N12:O12 N68:O68 N66:O66 N34:O34 N32:O32 N38:O38 N36:O36 N30:O30 N28:O28 N10:O10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D8A6-1677-465E-88B2-1343E7284108}">
  <sheetPr>
    <tabColor rgb="FF92D050"/>
  </sheetPr>
  <dimension ref="A1:Z58"/>
  <sheetViews>
    <sheetView zoomScale="80" zoomScaleNormal="80" zoomScaleSheetLayoutView="40" workbookViewId="0"/>
  </sheetViews>
  <sheetFormatPr defaultColWidth="8.85546875" defaultRowHeight="12.75"/>
  <cols>
    <col min="1" max="1" width="2.42578125" style="85" customWidth="1"/>
    <col min="2" max="2" width="4.85546875" style="86" hidden="1" customWidth="1"/>
    <col min="3" max="3" width="11.5703125" style="58" customWidth="1"/>
    <col min="4" max="4" width="14.42578125" style="87" customWidth="1"/>
    <col min="5" max="5" width="22.140625" style="58" customWidth="1"/>
    <col min="6" max="6" width="18.5703125" style="58" customWidth="1"/>
    <col min="7" max="7" width="2.5703125" style="85" customWidth="1"/>
    <col min="8" max="8" width="21.5703125" style="85" customWidth="1"/>
    <col min="9" max="9" width="17.42578125" style="85" customWidth="1"/>
    <col min="10" max="10" width="16.5703125" style="85" customWidth="1"/>
    <col min="11" max="12" width="14" style="85" customWidth="1"/>
    <col min="13" max="13" width="20.140625" style="85" bestFit="1" customWidth="1"/>
    <col min="14" max="14" width="20.140625" style="85" customWidth="1"/>
    <col min="15" max="16" width="14" style="85" customWidth="1"/>
    <col min="17" max="17" width="12.85546875" style="85" customWidth="1"/>
    <col min="18" max="18" width="14.42578125" style="85" customWidth="1"/>
    <col min="19" max="19" width="14.140625" style="85" customWidth="1"/>
    <col min="20" max="20" width="11.140625" style="85" bestFit="1" customWidth="1"/>
    <col min="21" max="21" width="13.5703125" style="85" customWidth="1"/>
    <col min="22" max="23" width="8.85546875" style="85"/>
    <col min="24" max="24" width="9.5703125" style="85" customWidth="1"/>
    <col min="25" max="25" width="12.140625" style="85" customWidth="1"/>
    <col min="26" max="26" width="13.5703125" style="85" customWidth="1"/>
    <col min="27" max="16384" width="8.85546875" style="85"/>
  </cols>
  <sheetData>
    <row r="1" spans="1:19" ht="13.5" thickBot="1"/>
    <row r="2" spans="1:19" s="21" customFormat="1" ht="15.75" customHeight="1" thickBot="1">
      <c r="B2" s="23"/>
      <c r="C2" s="56"/>
      <c r="D2" s="56"/>
      <c r="E2" s="56"/>
      <c r="F2" s="56"/>
      <c r="H2" s="88" t="s">
        <v>140</v>
      </c>
      <c r="I2" s="400" t="s">
        <v>141</v>
      </c>
      <c r="J2" s="401"/>
      <c r="L2" s="89"/>
    </row>
    <row r="3" spans="1:19" s="21" customFormat="1" ht="25.5">
      <c r="B3" s="23"/>
      <c r="C3" s="56"/>
      <c r="D3" s="56"/>
      <c r="E3" s="56"/>
      <c r="F3" s="56"/>
      <c r="H3" s="90" t="s">
        <v>142</v>
      </c>
      <c r="I3" s="406" t="s">
        <v>143</v>
      </c>
      <c r="J3" s="407"/>
      <c r="N3" s="201"/>
    </row>
    <row r="4" spans="1:19" s="21" customFormat="1" ht="77.25" thickBot="1">
      <c r="B4" s="23"/>
      <c r="C4" s="56"/>
      <c r="D4" s="56"/>
      <c r="E4" s="56"/>
      <c r="F4" s="56"/>
      <c r="H4" s="157" t="s">
        <v>32</v>
      </c>
      <c r="I4" s="408" t="s">
        <v>95</v>
      </c>
      <c r="J4" s="409"/>
    </row>
    <row r="5" spans="1:19" s="21" customFormat="1" ht="23.25" customHeight="1">
      <c r="A5" s="91"/>
      <c r="B5" s="23"/>
      <c r="C5" s="56"/>
      <c r="D5" s="56"/>
      <c r="E5" s="56"/>
      <c r="F5" s="56"/>
      <c r="J5" s="56"/>
      <c r="K5" s="92"/>
      <c r="L5" s="92"/>
    </row>
    <row r="6" spans="1:19" s="21" customFormat="1">
      <c r="B6" s="23"/>
      <c r="C6" s="56"/>
      <c r="D6" s="56"/>
      <c r="E6" s="56"/>
      <c r="F6" s="56"/>
      <c r="H6" s="93" t="s">
        <v>69</v>
      </c>
      <c r="I6" s="23"/>
      <c r="J6" s="56"/>
      <c r="K6" s="56"/>
      <c r="L6" s="56"/>
      <c r="N6" s="93" t="s">
        <v>70</v>
      </c>
    </row>
    <row r="7" spans="1:19">
      <c r="H7" s="94" t="s">
        <v>71</v>
      </c>
      <c r="I7" s="86"/>
      <c r="K7" s="56"/>
      <c r="L7" s="56"/>
      <c r="N7" s="94" t="s">
        <v>71</v>
      </c>
    </row>
    <row r="8" spans="1:19" ht="38.25">
      <c r="H8" s="327" t="s">
        <v>28</v>
      </c>
      <c r="I8" s="327" t="s">
        <v>72</v>
      </c>
      <c r="J8" s="296" t="s">
        <v>73</v>
      </c>
      <c r="K8" s="296" t="s">
        <v>74</v>
      </c>
      <c r="L8" s="296" t="s">
        <v>75</v>
      </c>
      <c r="M8" s="76"/>
      <c r="N8" s="327" t="s">
        <v>28</v>
      </c>
      <c r="O8" s="327" t="s">
        <v>72</v>
      </c>
      <c r="P8" s="296" t="s">
        <v>76</v>
      </c>
      <c r="Q8" s="296" t="s">
        <v>77</v>
      </c>
      <c r="R8" s="296" t="s">
        <v>74</v>
      </c>
      <c r="S8" s="296" t="s">
        <v>75</v>
      </c>
    </row>
    <row r="9" spans="1:19" ht="40.5" customHeight="1">
      <c r="H9" s="327"/>
      <c r="I9" s="327"/>
      <c r="J9" s="296" t="s">
        <v>78</v>
      </c>
      <c r="K9" s="296" t="s">
        <v>79</v>
      </c>
      <c r="L9" s="296" t="s">
        <v>80</v>
      </c>
      <c r="M9" s="76"/>
      <c r="N9" s="327"/>
      <c r="O9" s="327"/>
      <c r="P9" s="296" t="s">
        <v>81</v>
      </c>
      <c r="Q9" s="296" t="s">
        <v>82</v>
      </c>
      <c r="R9" s="296" t="s">
        <v>83</v>
      </c>
      <c r="S9" s="296" t="s">
        <v>80</v>
      </c>
    </row>
    <row r="10" spans="1:19">
      <c r="H10" s="249" t="s">
        <v>85</v>
      </c>
      <c r="I10" s="330" t="s">
        <v>86</v>
      </c>
      <c r="J10" s="248">
        <f>SUMIFS('Inhalation Exposure'!$I$6:$I$24,'Inhalation Exposure'!$C$6:$C$24,$H$4,'Inhalation Exposure'!$D$6:$D$24,H10)</f>
        <v>0.42899999999999872</v>
      </c>
      <c r="K10" s="248">
        <f>SUMIFS('Inhalation Exposure'!$O$6:$O$24,'Inhalation Exposure'!$C$6:$C$24,$H$4,'Inhalation Exposure'!$D$6:$D$24,H10)</f>
        <v>1.9589041095890353E-2</v>
      </c>
      <c r="L10" s="248">
        <f>SUMIFS('Inhalation Exposure'!$S$6:$S$24,'Inhalation Exposure'!$C$6:$C$24,$H$4,'Inhalation Exposure'!$D$6:$D$24,H10)</f>
        <v>2.3506849315068422E-3</v>
      </c>
      <c r="M10" s="79"/>
      <c r="N10" s="249" t="s">
        <v>85</v>
      </c>
      <c r="O10" s="330" t="s">
        <v>86</v>
      </c>
      <c r="P10" s="248">
        <f>SUMIFS('Inhalation Exposure'!$K$6:$K$24,'Inhalation Exposure'!$C$6:$C$24,$H$4,'Inhalation Exposure'!$D$6:$D$24,N10)</f>
        <v>0.15579999999999966</v>
      </c>
      <c r="Q10" s="248">
        <f>SUMIFS('Inhalation Exposure'!$M$6:$M$24,'Inhalation Exposure'!$C$6:$C$24,$H$4,'Inhalation Exposure'!$D$6:$D$24,N10)</f>
        <v>0.41192499999999876</v>
      </c>
      <c r="R10" s="248">
        <f>SUMIFS('Inhalation Exposure'!$Q$6:$Q$24,'Inhalation Exposure'!$C$6:$C$24,$H$4,'Inhalation Exposure'!$D$6:$D$24,N10)</f>
        <v>1.8809360730593552E-2</v>
      </c>
      <c r="S10" s="248">
        <f>SUMIFS('Inhalation Exposure'!$U$6:$U$24,'Inhalation Exposure'!$C$6:$C$24,$H$4,'Inhalation Exposure'!$D$6:$D$24,N10)</f>
        <v>2.257123287671226E-3</v>
      </c>
    </row>
    <row r="11" spans="1:19">
      <c r="H11" s="249" t="s">
        <v>87</v>
      </c>
      <c r="I11" s="330"/>
      <c r="J11" s="248">
        <f>SUMIFS('Inhalation Exposure'!$I$6:$I$24,'Inhalation Exposure'!$C$6:$C$24,$H$4,'Inhalation Exposure'!$D$6:$D$24,H11)</f>
        <v>0.21921874999999999</v>
      </c>
      <c r="K11" s="248">
        <f>SUMIFS('Inhalation Exposure'!$O$6:$O$24,'Inhalation Exposure'!$C$6:$C$24,$H$4,'Inhalation Exposure'!$D$6:$D$24,H11)</f>
        <v>1.0009988584474886E-2</v>
      </c>
      <c r="L11" s="248">
        <f>SUMIFS('Inhalation Exposure'!$S$6:$S$24,'Inhalation Exposure'!$C$6:$C$24,$H$4,'Inhalation Exposure'!$D$6:$D$24,H11)</f>
        <v>1.2011986301369863E-3</v>
      </c>
      <c r="M11" s="79"/>
      <c r="N11" s="249" t="s">
        <v>87</v>
      </c>
      <c r="O11" s="330"/>
      <c r="P11" s="248">
        <f>SUMIFS('Inhalation Exposure'!$K$6:$K$24,'Inhalation Exposure'!$C$6:$C$24,$H$4,'Inhalation Exposure'!$D$6:$D$24,N11)</f>
        <v>2.5035153451726647E-2</v>
      </c>
      <c r="Q11" s="248">
        <f>SUMIFS('Inhalation Exposure'!$M$6:$M$24,'Inhalation Exposure'!$C$6:$C$24,$H$4,'Inhalation Exposure'!$D$6:$D$24,N11)</f>
        <v>0.20708227521573291</v>
      </c>
      <c r="R11" s="248">
        <f>SUMIFS('Inhalation Exposure'!$Q$6:$Q$24,'Inhalation Exposure'!$C$6:$C$24,$H$4,'Inhalation Exposure'!$D$6:$D$24,N11)</f>
        <v>9.4558116536864346E-3</v>
      </c>
      <c r="S11" s="248">
        <f>SUMIFS('Inhalation Exposure'!$U$6:$U$24,'Inhalation Exposure'!$C$6:$C$24,$H$4,'Inhalation Exposure'!$D$6:$D$24,N11)</f>
        <v>1.1346973984423722E-3</v>
      </c>
    </row>
    <row r="12" spans="1:19">
      <c r="H12" s="249" t="s">
        <v>88</v>
      </c>
      <c r="I12" s="330"/>
      <c r="J12" s="248">
        <f>SUMIFS('Inhalation Exposure'!$I$6:$I$24,'Inhalation Exposure'!$C$6:$C$24,$H$4,'Inhalation Exposure'!$D$6:$D$24,H12)</f>
        <v>4.5999999999999999E-2</v>
      </c>
      <c r="K12" s="248">
        <f>SUMIFS('Inhalation Exposure'!$O$6:$O$24,'Inhalation Exposure'!$C$6:$C$24,$H$4,'Inhalation Exposure'!$D$6:$D$24,H12)</f>
        <v>2.100456621004566E-3</v>
      </c>
      <c r="L12" s="248">
        <f>SUMIFS('Inhalation Exposure'!$S$6:$S$24,'Inhalation Exposure'!$C$6:$C$24,$H$4,'Inhalation Exposure'!$D$6:$D$24,H12)</f>
        <v>2.5205479452054791E-4</v>
      </c>
      <c r="M12" s="79"/>
      <c r="N12" s="249" t="s">
        <v>88</v>
      </c>
      <c r="O12" s="330"/>
      <c r="P12" s="248">
        <f>SUMIFS('Inhalation Exposure'!$K$6:$K$24,'Inhalation Exposure'!$C$6:$C$24,$H$4,'Inhalation Exposure'!$D$6:$D$24,N12)</f>
        <v>5.2999999999999999E-2</v>
      </c>
      <c r="Q12" s="248">
        <f>SUMIFS('Inhalation Exposure'!$M$6:$M$24,'Inhalation Exposure'!$C$6:$C$24,$H$4,'Inhalation Exposure'!$D$6:$D$24,N12)</f>
        <v>4.64375E-2</v>
      </c>
      <c r="R12" s="248">
        <f>SUMIFS('Inhalation Exposure'!$Q$6:$Q$24,'Inhalation Exposure'!$C$6:$C$24,$H$4,'Inhalation Exposure'!$D$6:$D$24,N12)</f>
        <v>2.1204337899543377E-3</v>
      </c>
      <c r="S12" s="248">
        <f>SUMIFS('Inhalation Exposure'!$U$6:$U$24,'Inhalation Exposure'!$C$6:$C$24,$H$4,'Inhalation Exposure'!$D$6:$D$24,N12)</f>
        <v>2.5445205479452055E-4</v>
      </c>
    </row>
    <row r="13" spans="1:19" ht="12.95" customHeight="1">
      <c r="H13" s="249" t="s">
        <v>85</v>
      </c>
      <c r="I13" s="330" t="s">
        <v>89</v>
      </c>
      <c r="J13" s="248">
        <f>SUMIFS('Inhalation Exposure'!$J$6:$J$24,'Inhalation Exposure'!$C$6:$C$24,$H$4,'Inhalation Exposure'!$D$6:$D$24,H13)</f>
        <v>1.1084066164154104E-3</v>
      </c>
      <c r="K13" s="248">
        <f>SUMIFS('Inhalation Exposure'!$P$6:$P$24,'Inhalation Exposure'!$C$6:$C$24,$H$4,'Inhalation Exposure'!$D$6:$D$24,H13)</f>
        <v>5.0612174265543845E-5</v>
      </c>
      <c r="L13" s="248">
        <f>SUMIFS('Inhalation Exposure'!$T$6:$T$24,'Inhalation Exposure'!$C$6:$C$24,$H$4,'Inhalation Exposure'!$D$6:$D$24,H13)</f>
        <v>6.0734609118652625E-6</v>
      </c>
      <c r="M13" s="79"/>
      <c r="N13" s="249" t="s">
        <v>85</v>
      </c>
      <c r="O13" s="330" t="s">
        <v>89</v>
      </c>
      <c r="P13" s="248">
        <f>SUMIFS('Inhalation Exposure'!$L$6:$L$24,'Inhalation Exposure'!$C$6:$C$24,$H$4,'Inhalation Exposure'!$D$6:$D$24,N13)</f>
        <v>2.4954976819375238E-2</v>
      </c>
      <c r="Q13" s="248">
        <f>SUMIFS('Inhalation Exposure'!$N$6:$N$24,'Inhalation Exposure'!$C$6:$C$24,$H$4,'Inhalation Exposure'!$D$6:$D$24,N13)</f>
        <v>2.5988172541003994E-3</v>
      </c>
      <c r="R13" s="248">
        <f>SUMIFS('Inhalation Exposure'!$R$6:$R$24,'Inhalation Exposure'!$C$6:$C$24,$H$4,'Inhalation Exposure'!$D$6:$D$24,N13)</f>
        <v>1.1866745452513241E-4</v>
      </c>
      <c r="S13" s="248">
        <f>SUMIFS('Inhalation Exposure'!$V$6:$V$24,'Inhalation Exposure'!$C$6:$C$24,$H$4,'Inhalation Exposure'!$D$6:$D$24,N13)</f>
        <v>1.4240094543015885E-5</v>
      </c>
    </row>
    <row r="14" spans="1:19">
      <c r="H14" s="249" t="s">
        <v>87</v>
      </c>
      <c r="I14" s="330"/>
      <c r="J14" s="248">
        <f>SUMIFS('Inhalation Exposure'!$J$6:$J$24,'Inhalation Exposure'!$C$6:$C$24,$H$4,'Inhalation Exposure'!$D$6:$D$24,H14)</f>
        <v>1.1182852982187835E-3</v>
      </c>
      <c r="K14" s="248">
        <f>SUMIFS('Inhalation Exposure'!$P$6:$P$24,'Inhalation Exposure'!$C$6:$C$24,$H$4,'Inhalation Exposure'!$D$6:$D$24,H14)</f>
        <v>5.1063255626428474E-5</v>
      </c>
      <c r="L14" s="248">
        <f>SUMIFS('Inhalation Exposure'!$T$6:$T$24,'Inhalation Exposure'!$C$6:$C$24,$H$4,'Inhalation Exposure'!$D$6:$D$24,H14)</f>
        <v>6.1275906751714172E-6</v>
      </c>
      <c r="M14" s="79"/>
      <c r="N14" s="249" t="s">
        <v>87</v>
      </c>
      <c r="O14" s="330"/>
      <c r="P14" s="248">
        <f>SUMIFS('Inhalation Exposure'!$L$6:$L$24,'Inhalation Exposure'!$C$6:$C$24,$H$4,'Inhalation Exposure'!$D$6:$D$24,N14)</f>
        <v>2.4954976819375238E-2</v>
      </c>
      <c r="Q14" s="248">
        <f>SUMIFS('Inhalation Exposure'!$N$6:$N$24,'Inhalation Exposure'!$C$6:$C$24,$H$4,'Inhalation Exposure'!$D$6:$D$24,N14)</f>
        <v>2.6080785182910618E-3</v>
      </c>
      <c r="R14" s="248">
        <f>SUMIFS('Inhalation Exposure'!$R$6:$R$24,'Inhalation Exposure'!$C$6:$C$24,$H$4,'Inhalation Exposure'!$D$6:$D$24,N14)</f>
        <v>1.1909034330096171E-4</v>
      </c>
      <c r="S14" s="248">
        <f>SUMIFS('Inhalation Exposure'!$V$6:$V$24,'Inhalation Exposure'!$C$6:$C$24,$H$4,'Inhalation Exposure'!$D$6:$D$24,N14)</f>
        <v>1.4290841196115404E-5</v>
      </c>
    </row>
    <row r="15" spans="1:19">
      <c r="D15" s="58"/>
      <c r="H15" s="249" t="s">
        <v>88</v>
      </c>
      <c r="I15" s="330"/>
      <c r="J15" s="248">
        <f>SUMIFS('Inhalation Exposure'!$J$6:$J$24,'Inhalation Exposure'!$C$6:$C$24,$H$4,'Inhalation Exposure'!$D$6:$D$24,H15)</f>
        <v>1.2266666666666669E-2</v>
      </c>
      <c r="K15" s="248">
        <f>SUMIFS('Inhalation Exposure'!$P$6:$P$24,'Inhalation Exposure'!$C$6:$C$24,$H$4,'Inhalation Exposure'!$D$6:$D$24,H15)</f>
        <v>5.6012176560121774E-4</v>
      </c>
      <c r="L15" s="248">
        <f>SUMIFS('Inhalation Exposure'!$T$6:$T$24,'Inhalation Exposure'!$C$6:$C$24,$H$4,'Inhalation Exposure'!$D$6:$D$24,H15)</f>
        <v>6.7214611872146141E-5</v>
      </c>
      <c r="M15" s="79"/>
      <c r="N15" s="249" t="s">
        <v>88</v>
      </c>
      <c r="O15" s="330"/>
      <c r="P15" s="248">
        <f>SUMIFS('Inhalation Exposure'!$L$6:$L$24,'Inhalation Exposure'!$C$6:$C$24,$H$4,'Inhalation Exposure'!$D$6:$D$24,N15)</f>
        <v>2.6499999999999999E-2</v>
      </c>
      <c r="Q15" s="248">
        <f>SUMIFS('Inhalation Exposure'!$N$6:$N$24,'Inhalation Exposure'!$C$6:$C$24,$H$4,'Inhalation Exposure'!$D$6:$D$24,N15)</f>
        <v>1.3156250000000001E-2</v>
      </c>
      <c r="R15" s="248">
        <f>SUMIFS('Inhalation Exposure'!$R$6:$R$24,'Inhalation Exposure'!$C$6:$C$24,$H$4,'Inhalation Exposure'!$D$6:$D$24,N15)</f>
        <v>6.0074200913242011E-4</v>
      </c>
      <c r="S15" s="248">
        <f>SUMIFS('Inhalation Exposure'!$V$6:$V$24,'Inhalation Exposure'!$C$6:$C$24,$H$4,'Inhalation Exposure'!$D$6:$D$24,N15)</f>
        <v>7.208904109589041E-5</v>
      </c>
    </row>
    <row r="16" spans="1:19" ht="15" customHeight="1">
      <c r="D16" s="58"/>
      <c r="H16" s="86"/>
    </row>
    <row r="17" spans="2:26">
      <c r="D17" s="58"/>
      <c r="H17" s="86"/>
    </row>
    <row r="18" spans="2:26" s="21" customFormat="1">
      <c r="B18" s="23"/>
      <c r="C18" s="76"/>
      <c r="D18" s="76"/>
      <c r="E18" s="76"/>
      <c r="F18" s="76"/>
      <c r="G18" s="76"/>
      <c r="H18" s="22"/>
      <c r="I18" s="56"/>
      <c r="K18" s="22"/>
      <c r="L18" s="22"/>
      <c r="M18" s="22"/>
      <c r="N18" s="22"/>
      <c r="O18" s="22"/>
    </row>
    <row r="19" spans="2:26" s="21" customFormat="1" ht="36" customHeight="1" thickBot="1">
      <c r="B19" s="23"/>
      <c r="C19" s="56"/>
      <c r="D19" s="57"/>
      <c r="E19" s="57"/>
      <c r="F19" s="57"/>
      <c r="G19" s="95"/>
      <c r="H19" s="95" t="s">
        <v>144</v>
      </c>
      <c r="I19" s="56"/>
      <c r="K19" s="22"/>
      <c r="L19" s="390"/>
      <c r="M19" s="390"/>
      <c r="N19" s="303"/>
      <c r="O19" s="303"/>
      <c r="Q19" s="95"/>
      <c r="R19" s="95" t="s">
        <v>145</v>
      </c>
      <c r="S19" s="56"/>
      <c r="U19" s="22"/>
      <c r="V19" s="390"/>
      <c r="W19" s="390"/>
      <c r="X19" s="303"/>
      <c r="Y19" s="303"/>
    </row>
    <row r="20" spans="2:26" s="21" customFormat="1">
      <c r="C20" s="410" t="s">
        <v>146</v>
      </c>
      <c r="D20" s="384" t="s">
        <v>147</v>
      </c>
      <c r="E20" s="385"/>
      <c r="F20" s="386"/>
      <c r="G20" s="81"/>
      <c r="H20" s="391" t="s">
        <v>148</v>
      </c>
      <c r="I20" s="393" t="s">
        <v>72</v>
      </c>
      <c r="J20" s="395" t="s">
        <v>149</v>
      </c>
      <c r="K20" s="397" t="str">
        <f>_xlfn.CONCAT("Exposure Estimates: ",$I$4)</f>
        <v>Exposure Estimates: Higher-Exposure Potential Worker</v>
      </c>
      <c r="L20" s="398"/>
      <c r="M20" s="398"/>
      <c r="N20" s="398"/>
      <c r="O20" s="398"/>
      <c r="P20" s="399"/>
      <c r="Q20" s="81"/>
      <c r="R20" s="391" t="s">
        <v>148</v>
      </c>
      <c r="S20" s="393" t="s">
        <v>72</v>
      </c>
      <c r="T20" s="395" t="s">
        <v>149</v>
      </c>
      <c r="U20" s="397" t="str">
        <f>_xlfn.CONCAT("Exposure Estimates: ",$I$4)</f>
        <v>Exposure Estimates: Higher-Exposure Potential Worker</v>
      </c>
      <c r="V20" s="398"/>
      <c r="W20" s="398"/>
      <c r="X20" s="398"/>
      <c r="Y20" s="398"/>
      <c r="Z20" s="399"/>
    </row>
    <row r="21" spans="2:26" s="21" customFormat="1" ht="12.75" customHeight="1" thickBot="1">
      <c r="C21" s="411"/>
      <c r="D21" s="387"/>
      <c r="E21" s="388"/>
      <c r="F21" s="389"/>
      <c r="G21" s="82"/>
      <c r="H21" s="392"/>
      <c r="I21" s="394"/>
      <c r="J21" s="396"/>
      <c r="K21" s="304" t="s">
        <v>150</v>
      </c>
      <c r="L21" s="156" t="s">
        <v>151</v>
      </c>
      <c r="M21" s="156" t="s">
        <v>152</v>
      </c>
      <c r="N21" s="156" t="s">
        <v>153</v>
      </c>
      <c r="O21" s="156" t="s">
        <v>154</v>
      </c>
      <c r="P21" s="305" t="s">
        <v>155</v>
      </c>
      <c r="Q21" s="82"/>
      <c r="R21" s="392"/>
      <c r="S21" s="394"/>
      <c r="T21" s="396"/>
      <c r="U21" s="304" t="s">
        <v>150</v>
      </c>
      <c r="V21" s="156" t="s">
        <v>151</v>
      </c>
      <c r="W21" s="156" t="s">
        <v>152</v>
      </c>
      <c r="X21" s="156" t="s">
        <v>153</v>
      </c>
      <c r="Y21" s="156" t="s">
        <v>154</v>
      </c>
      <c r="Z21" s="305" t="s">
        <v>155</v>
      </c>
    </row>
    <row r="22" spans="2:26" s="21" customFormat="1" ht="16.5" customHeight="1">
      <c r="B22" s="377" t="s">
        <v>98</v>
      </c>
      <c r="C22" s="378" t="s">
        <v>156</v>
      </c>
      <c r="D22" s="380" t="s">
        <v>157</v>
      </c>
      <c r="E22" s="382" t="s">
        <v>99</v>
      </c>
      <c r="F22" s="372"/>
      <c r="G22" s="96"/>
      <c r="H22" s="375">
        <f>VLOOKUP($B$22,'Health Data'!$F$7:$I$8,2,FALSE)</f>
        <v>2.5999999999999999E-2</v>
      </c>
      <c r="I22" s="159" t="s">
        <v>86</v>
      </c>
      <c r="J22" s="74">
        <v>300</v>
      </c>
      <c r="K22" s="80">
        <f>IFERROR($H22/IF($I$4='List Values'!$H$8, $K$10, IF($I$4='List Values'!$H$9,$K$11,$K$12)), "")</f>
        <v>1.3272727272727312</v>
      </c>
      <c r="L22" s="66">
        <f>IFERROR($K22*'List Values'!$E$6, "")</f>
        <v>13.272727272727312</v>
      </c>
      <c r="M22" s="66">
        <f>IFERROR($K22*'List Values'!$E$7, "")</f>
        <v>33.181818181818279</v>
      </c>
      <c r="N22" s="66">
        <f>IFERROR($K22*'List Values'!$E$8, "")</f>
        <v>66.363636363636559</v>
      </c>
      <c r="O22" s="193">
        <f>IFERROR($K22*'List Values'!$E$9, "")</f>
        <v>1327.2727272727311</v>
      </c>
      <c r="P22" s="194">
        <f>IFERROR($K22*'List Values'!$E$10, "")</f>
        <v>13272.727272727312</v>
      </c>
      <c r="Q22" s="96"/>
      <c r="R22" s="375">
        <f>VLOOKUP($B$22,'Health Data'!$F$7:$I$8,2,FALSE)</f>
        <v>2.5999999999999999E-2</v>
      </c>
      <c r="S22" s="159" t="s">
        <v>86</v>
      </c>
      <c r="T22" s="74">
        <v>300</v>
      </c>
      <c r="U22" s="80">
        <f>IFERROR($H22/IF($I$4='List Values'!$H$8, $R$10, IF($I$4='List Values'!$H$9,$R$11,$R$12)), "")</f>
        <v>1.382290465497364</v>
      </c>
      <c r="V22" s="66">
        <f>IFERROR($U22*'List Values'!$E$6, "")</f>
        <v>13.822904654973641</v>
      </c>
      <c r="W22" s="66">
        <f>IFERROR($U22*'List Values'!$E$7, "")</f>
        <v>34.557261637434102</v>
      </c>
      <c r="X22" s="66">
        <f>IFERROR($U22*'List Values'!$E$8, "")</f>
        <v>69.114523274868205</v>
      </c>
      <c r="Y22" s="193">
        <f>IFERROR($U22*'List Values'!$E$9, "")</f>
        <v>1382.290465497364</v>
      </c>
      <c r="Z22" s="194">
        <f>IFERROR($U22*'List Values'!$E$10, "")</f>
        <v>13822.904654973639</v>
      </c>
    </row>
    <row r="23" spans="2:26" s="21" customFormat="1" ht="16.5" customHeight="1" thickBot="1">
      <c r="B23" s="377"/>
      <c r="C23" s="379"/>
      <c r="D23" s="381"/>
      <c r="E23" s="383"/>
      <c r="F23" s="374"/>
      <c r="G23" s="191"/>
      <c r="H23" s="376"/>
      <c r="I23" s="55" t="s">
        <v>89</v>
      </c>
      <c r="J23" s="158">
        <v>300</v>
      </c>
      <c r="K23" s="192">
        <f>IFERROR($H22/IF($I$4='List Values'!$H$8, $K$13, IF($I$4='List Values'!$H$9,$K$14,$K$15)), "")</f>
        <v>513.71039433293981</v>
      </c>
      <c r="L23" s="78">
        <f>IFERROR($K23*'List Values'!$E$6, "")</f>
        <v>5137.1039433293981</v>
      </c>
      <c r="M23" s="78">
        <f>IFERROR($K23*'List Values'!$E$7, "")</f>
        <v>12842.759858323496</v>
      </c>
      <c r="N23" s="78">
        <f>IFERROR($K23*'List Values'!$E$8, "")</f>
        <v>25685.519716646992</v>
      </c>
      <c r="O23" s="195">
        <f>IFERROR($K23*'List Values'!$E$9, "")</f>
        <v>513710.39433293982</v>
      </c>
      <c r="P23" s="196">
        <f>IFERROR($K23*'List Values'!$E$10, "")</f>
        <v>5137103.9433293985</v>
      </c>
      <c r="Q23" s="191"/>
      <c r="R23" s="376"/>
      <c r="S23" s="55" t="s">
        <v>89</v>
      </c>
      <c r="T23" s="158">
        <v>300</v>
      </c>
      <c r="U23" s="192">
        <f>IFERROR($H22/IF($I$4='List Values'!$H$8, $R$13, IF($I$4='List Values'!$H$9,$R$14,$R$15)), "")</f>
        <v>219.09966893655326</v>
      </c>
      <c r="V23" s="66">
        <f>IFERROR($U23*'List Values'!$E$6, "")</f>
        <v>2190.9966893655328</v>
      </c>
      <c r="W23" s="66">
        <f>IFERROR($U23*'List Values'!$E$7, "")</f>
        <v>5477.4917234138311</v>
      </c>
      <c r="X23" s="66">
        <f>IFERROR($U23*'List Values'!$E$8, "")</f>
        <v>10954.983446827662</v>
      </c>
      <c r="Y23" s="193">
        <f>IFERROR($U23*'List Values'!$E$9, "")</f>
        <v>219099.66893655327</v>
      </c>
      <c r="Z23" s="194">
        <f>IFERROR($U23*'List Values'!$E$10, "")</f>
        <v>2190996.6893655327</v>
      </c>
    </row>
    <row r="24" spans="2:26" s="21" customFormat="1" ht="16.5" customHeight="1" thickBot="1">
      <c r="B24" s="377" t="s">
        <v>105</v>
      </c>
      <c r="C24" s="378" t="s">
        <v>158</v>
      </c>
      <c r="D24" s="404" t="s">
        <v>131</v>
      </c>
      <c r="E24" s="371" t="s">
        <v>106</v>
      </c>
      <c r="F24" s="372"/>
      <c r="G24" s="96"/>
      <c r="H24" s="402">
        <f>VLOOKUP($B24,'Health Data'!$F$7:$I$8,4,FALSE)</f>
        <v>0.08</v>
      </c>
      <c r="I24" s="159" t="s">
        <v>86</v>
      </c>
      <c r="J24" s="272" t="s">
        <v>107</v>
      </c>
      <c r="K24" s="80">
        <f>IFERROR($H24*IF($I$4='List Values'!$H$8, $L$10, IF($I$4='List Values'!$H$9,$L$11,$L$12)), "")</f>
        <v>1.8805479452054739E-4</v>
      </c>
      <c r="L24" s="66">
        <f>IFERROR($K24/'List Values'!$E$6, "")</f>
        <v>1.8805479452054739E-5</v>
      </c>
      <c r="M24" s="66">
        <f>IFERROR($K24/'List Values'!$E$7, "")</f>
        <v>7.5221917808218955E-6</v>
      </c>
      <c r="N24" s="66">
        <f>IFERROR($K24/'List Values'!$E$8, "")</f>
        <v>3.7610958904109478E-6</v>
      </c>
      <c r="O24" s="193">
        <f>IFERROR($K24/'List Values'!$E$9, "")</f>
        <v>1.880547945205474E-7</v>
      </c>
      <c r="P24" s="194">
        <f>IFERROR($K24/'List Values'!$E$10, "")</f>
        <v>1.880547945205474E-8</v>
      </c>
      <c r="Q24" s="96"/>
      <c r="R24" s="375">
        <f>VLOOKUP($B24,'Health Data'!$F$7:$I$8,4,FALSE)</f>
        <v>0.08</v>
      </c>
      <c r="S24" s="159" t="s">
        <v>86</v>
      </c>
      <c r="T24" s="272" t="s">
        <v>107</v>
      </c>
      <c r="U24" s="80">
        <f>IFERROR($H24*IF($I$4='List Values'!$H$8, $S$10, IF($I$4='List Values'!$H$9,$S$11,$S$12)), "")</f>
        <v>1.8056986301369807E-4</v>
      </c>
      <c r="V24" s="66">
        <f>IFERROR($U24/'List Values'!$E$6, "")</f>
        <v>1.8056986301369808E-5</v>
      </c>
      <c r="W24" s="66">
        <f>IFERROR($U24/'List Values'!$E$7, "")</f>
        <v>7.2227945205479229E-6</v>
      </c>
      <c r="X24" s="66">
        <f>IFERROR($U24/'List Values'!$E$8, "")</f>
        <v>3.6113972602739614E-6</v>
      </c>
      <c r="Y24" s="193">
        <f>IFERROR($U24/'List Values'!$E$9, "")</f>
        <v>1.8056986301369807E-7</v>
      </c>
      <c r="Z24" s="194">
        <f>IFERROR($U24/'List Values'!$E$10, "")</f>
        <v>1.8056986301369806E-8</v>
      </c>
    </row>
    <row r="25" spans="2:26" s="21" customFormat="1" ht="16.5" customHeight="1" thickBot="1">
      <c r="B25" s="377"/>
      <c r="C25" s="379"/>
      <c r="D25" s="405"/>
      <c r="E25" s="373"/>
      <c r="F25" s="374"/>
      <c r="G25" s="191"/>
      <c r="H25" s="403"/>
      <c r="I25" s="55" t="s">
        <v>89</v>
      </c>
      <c r="J25" s="272" t="s">
        <v>107</v>
      </c>
      <c r="K25" s="192">
        <f>IFERROR($H24*IF($I$4='List Values'!$H$8, $L$13, IF($I$4='List Values'!$H$9,$L$14,$L$15)), "")</f>
        <v>4.8587687294922106E-7</v>
      </c>
      <c r="L25" s="78">
        <f>IFERROR($K25/'List Values'!$E$6, "")</f>
        <v>4.8587687294922103E-8</v>
      </c>
      <c r="M25" s="78">
        <f>IFERROR($K25/'List Values'!$E$7, "")</f>
        <v>1.9435074917968842E-8</v>
      </c>
      <c r="N25" s="78">
        <f>IFERROR($K25/'List Values'!$E$8, "")</f>
        <v>9.7175374589844209E-9</v>
      </c>
      <c r="O25" s="195">
        <f>IFERROR($K25/'List Values'!$E$9, "")</f>
        <v>4.8587687294922107E-10</v>
      </c>
      <c r="P25" s="196">
        <f>IFERROR($K25/'List Values'!$E$10, "")</f>
        <v>4.8587687294922103E-11</v>
      </c>
      <c r="Q25" s="191"/>
      <c r="R25" s="376"/>
      <c r="S25" s="55" t="s">
        <v>89</v>
      </c>
      <c r="T25" s="272" t="s">
        <v>107</v>
      </c>
      <c r="U25" s="192">
        <f>IFERROR($H24*IF($I$4='List Values'!$H$8, $S$13, IF($I$4='List Values'!$H$9,$S$14,$S$15)), "")</f>
        <v>1.1392075634412708E-6</v>
      </c>
      <c r="V25" s="78">
        <f>IFERROR($U25/'List Values'!$E$6, "")</f>
        <v>1.1392075634412707E-7</v>
      </c>
      <c r="W25" s="78">
        <f>IFERROR($U25/'List Values'!$E$7, "")</f>
        <v>4.5568302537650833E-8</v>
      </c>
      <c r="X25" s="78">
        <f>IFERROR($U25/'List Values'!$E$8, "")</f>
        <v>2.2784151268825417E-8</v>
      </c>
      <c r="Y25" s="195">
        <f>IFERROR($U25/'List Values'!$E$9, "")</f>
        <v>1.1392075634412708E-9</v>
      </c>
      <c r="Z25" s="196">
        <f>IFERROR($U25/'List Values'!$E$10, "")</f>
        <v>1.1392075634412708E-10</v>
      </c>
    </row>
    <row r="26" spans="2:26" s="2" customFormat="1" ht="15"/>
    <row r="28" spans="2:26" s="21" customFormat="1">
      <c r="B28" s="86"/>
      <c r="C28" s="58"/>
      <c r="D28" s="87"/>
      <c r="E28" s="58"/>
      <c r="F28" s="58"/>
      <c r="G28" s="85"/>
      <c r="H28" s="85"/>
      <c r="I28" s="85"/>
      <c r="J28" s="85"/>
      <c r="K28" s="85"/>
      <c r="L28" s="85"/>
      <c r="M28" s="85"/>
      <c r="O28" s="85"/>
      <c r="P28" s="85"/>
    </row>
    <row r="36" spans="2:13">
      <c r="I36" s="21"/>
      <c r="J36" s="21"/>
      <c r="K36" s="21"/>
      <c r="L36" s="21"/>
      <c r="M36" s="21"/>
    </row>
    <row r="44" spans="2:13">
      <c r="B44" s="23"/>
    </row>
    <row r="49" spans="1:20">
      <c r="B49" s="97"/>
      <c r="I49" s="99"/>
      <c r="J49" s="99"/>
      <c r="K49" s="99"/>
      <c r="L49" s="99"/>
      <c r="M49" s="99"/>
    </row>
    <row r="50" spans="1:20">
      <c r="B50" s="97"/>
    </row>
    <row r="52" spans="1:20" ht="38.25">
      <c r="B52" s="97"/>
      <c r="E52" s="100"/>
      <c r="F52" s="98"/>
      <c r="G52" s="99"/>
      <c r="H52" s="106" t="s">
        <v>108</v>
      </c>
      <c r="I52" s="102" t="str">
        <f>I24</f>
        <v>High End</v>
      </c>
      <c r="J52" s="101" t="str">
        <f>I25</f>
        <v>Central Tendency</v>
      </c>
      <c r="R52" s="106" t="s">
        <v>108</v>
      </c>
      <c r="S52" s="102" t="str">
        <f>S24</f>
        <v>High End</v>
      </c>
      <c r="T52" s="101" t="str">
        <f>S25</f>
        <v>Central Tendency</v>
      </c>
    </row>
    <row r="53" spans="1:20">
      <c r="H53" s="296" t="s">
        <v>150</v>
      </c>
      <c r="I53" s="103">
        <f>K24</f>
        <v>1.8805479452054739E-4</v>
      </c>
      <c r="J53" s="103">
        <f>K25</f>
        <v>4.8587687294922106E-7</v>
      </c>
      <c r="R53" s="296" t="s">
        <v>150</v>
      </c>
      <c r="S53" s="103">
        <f>U24</f>
        <v>1.8056986301369807E-4</v>
      </c>
      <c r="T53" s="103">
        <f>U25</f>
        <v>1.1392075634412708E-6</v>
      </c>
    </row>
    <row r="54" spans="1:20">
      <c r="H54" s="296" t="s">
        <v>151</v>
      </c>
      <c r="I54" s="103">
        <f>L24</f>
        <v>1.8805479452054739E-5</v>
      </c>
      <c r="J54" s="103">
        <f>L25</f>
        <v>4.8587687294922103E-8</v>
      </c>
      <c r="R54" s="296" t="s">
        <v>151</v>
      </c>
      <c r="S54" s="103">
        <f>V24</f>
        <v>1.8056986301369808E-5</v>
      </c>
      <c r="T54" s="103">
        <f>V25</f>
        <v>1.1392075634412707E-7</v>
      </c>
    </row>
    <row r="55" spans="1:20">
      <c r="H55" s="296" t="s">
        <v>152</v>
      </c>
      <c r="I55" s="103">
        <f>M24</f>
        <v>7.5221917808218955E-6</v>
      </c>
      <c r="J55" s="103">
        <f>M25</f>
        <v>1.9435074917968842E-8</v>
      </c>
      <c r="R55" s="296" t="s">
        <v>152</v>
      </c>
      <c r="S55" s="103">
        <f>W24</f>
        <v>7.2227945205479229E-6</v>
      </c>
      <c r="T55" s="103">
        <f>W25</f>
        <v>4.5568302537650833E-8</v>
      </c>
    </row>
    <row r="56" spans="1:20">
      <c r="A56" s="85" t="s">
        <v>159</v>
      </c>
      <c r="H56" s="296" t="s">
        <v>153</v>
      </c>
      <c r="I56" s="103">
        <f>N24</f>
        <v>3.7610958904109478E-6</v>
      </c>
      <c r="J56" s="103">
        <f>N25</f>
        <v>9.7175374589844209E-9</v>
      </c>
      <c r="R56" s="296" t="s">
        <v>153</v>
      </c>
      <c r="S56" s="103">
        <f>X24</f>
        <v>3.6113972602739614E-6</v>
      </c>
      <c r="T56" s="103">
        <f>X25</f>
        <v>2.2784151268825417E-8</v>
      </c>
    </row>
    <row r="57" spans="1:20">
      <c r="H57" s="296" t="s">
        <v>154</v>
      </c>
      <c r="I57" s="103">
        <f>O24</f>
        <v>1.880547945205474E-7</v>
      </c>
      <c r="J57" s="103">
        <f>O25</f>
        <v>4.8587687294922107E-10</v>
      </c>
      <c r="R57" s="296" t="s">
        <v>154</v>
      </c>
      <c r="S57" s="103">
        <f>Y24</f>
        <v>1.8056986301369807E-7</v>
      </c>
      <c r="T57" s="103">
        <f>Y25</f>
        <v>1.1392075634412708E-9</v>
      </c>
    </row>
    <row r="58" spans="1:20">
      <c r="H58" s="296" t="s">
        <v>155</v>
      </c>
      <c r="I58" s="103">
        <f>P24</f>
        <v>1.880547945205474E-8</v>
      </c>
      <c r="J58" s="103">
        <f>P25</f>
        <v>4.8587687294922103E-11</v>
      </c>
      <c r="R58" s="296" t="s">
        <v>155</v>
      </c>
      <c r="S58" s="103">
        <f>Z24</f>
        <v>1.8056986301369806E-8</v>
      </c>
      <c r="T58" s="103">
        <f>Z25</f>
        <v>1.1392075634412708E-10</v>
      </c>
    </row>
  </sheetData>
  <dataConsolidate link="1"/>
  <mergeCells count="35">
    <mergeCell ref="I2:J2"/>
    <mergeCell ref="B24:B25"/>
    <mergeCell ref="L19:M19"/>
    <mergeCell ref="H20:H21"/>
    <mergeCell ref="I20:I21"/>
    <mergeCell ref="J20:J21"/>
    <mergeCell ref="K20:P20"/>
    <mergeCell ref="H24:H25"/>
    <mergeCell ref="C24:C25"/>
    <mergeCell ref="D24:D25"/>
    <mergeCell ref="I3:J3"/>
    <mergeCell ref="I4:J4"/>
    <mergeCell ref="C20:C21"/>
    <mergeCell ref="H8:H9"/>
    <mergeCell ref="I8:I9"/>
    <mergeCell ref="N8:N9"/>
    <mergeCell ref="O8:O9"/>
    <mergeCell ref="I10:I12"/>
    <mergeCell ref="O10:O12"/>
    <mergeCell ref="I13:I15"/>
    <mergeCell ref="O13:O15"/>
    <mergeCell ref="D20:F21"/>
    <mergeCell ref="V19:W19"/>
    <mergeCell ref="R20:R21"/>
    <mergeCell ref="S20:S21"/>
    <mergeCell ref="T20:T21"/>
    <mergeCell ref="U20:Z20"/>
    <mergeCell ref="E24:F25"/>
    <mergeCell ref="H22:H23"/>
    <mergeCell ref="R22:R23"/>
    <mergeCell ref="B22:B23"/>
    <mergeCell ref="C22:C23"/>
    <mergeCell ref="D22:D23"/>
    <mergeCell ref="E22:F23"/>
    <mergeCell ref="R24:R25"/>
  </mergeCells>
  <phoneticPr fontId="32" type="noConversion"/>
  <conditionalFormatting sqref="J10:L15 P10:S15 K22:P25 U22:Z25">
    <cfRule type="cellIs" dxfId="26" priority="2" operator="lessThan">
      <formula>0.1</formula>
    </cfRule>
    <cfRule type="cellIs" dxfId="25" priority="48" operator="between">
      <formula>0.1</formula>
      <formula>0.9999</formula>
    </cfRule>
    <cfRule type="cellIs" dxfId="24" priority="49" operator="between">
      <formula>1</formula>
      <formula>9.999</formula>
    </cfRule>
    <cfRule type="cellIs" dxfId="23" priority="50" operator="between">
      <formula>10</formula>
      <formula>9999.9999</formula>
    </cfRule>
    <cfRule type="cellIs" dxfId="22" priority="51" operator="greaterThanOrEqual">
      <formula>10000</formula>
    </cfRule>
  </conditionalFormatting>
  <conditionalFormatting sqref="J10:M15">
    <cfRule type="cellIs" dxfId="21" priority="6" operator="equal">
      <formula>0</formula>
    </cfRule>
    <cfRule type="cellIs" dxfId="20" priority="7" operator="lessThanOrEqual">
      <formula>0.01</formula>
    </cfRule>
    <cfRule type="cellIs" dxfId="19" priority="8" operator="greaterThan">
      <formula>0.01</formula>
    </cfRule>
  </conditionalFormatting>
  <conditionalFormatting sqref="K22:P23 U22:Z23">
    <cfRule type="cellIs" dxfId="18" priority="266" operator="greaterThanOrEqual">
      <formula>$J$22</formula>
    </cfRule>
    <cfRule type="cellIs" dxfId="17" priority="267" operator="lessThan">
      <formula>$J$22</formula>
    </cfRule>
  </conditionalFormatting>
  <conditionalFormatting sqref="K22:P25 U22:Z25">
    <cfRule type="containsBlanks" dxfId="16" priority="52" stopIfTrue="1">
      <formula>LEN(TRIM(K22))=0</formula>
    </cfRule>
  </conditionalFormatting>
  <conditionalFormatting sqref="K24:P25 U24:Z25">
    <cfRule type="cellIs" dxfId="15" priority="1" operator="greaterThanOrEqual">
      <formula>0.0001</formula>
    </cfRule>
  </conditionalFormatting>
  <conditionalFormatting sqref="P10:S15">
    <cfRule type="cellIs" dxfId="14" priority="3" operator="equal">
      <formula>0</formula>
    </cfRule>
    <cfRule type="cellIs" dxfId="13" priority="4" operator="lessThanOrEqual">
      <formula>0.01</formula>
    </cfRule>
    <cfRule type="cellIs" dxfId="12" priority="5" operator="greaterThan">
      <formula>0.01</formula>
    </cfRule>
  </conditionalFormatting>
  <dataValidations count="1">
    <dataValidation allowBlank="1" showErrorMessage="1" sqref="N13:N15 N8 H8 H13:H15 J8:J9 P8:Q9" xr:uid="{A512DE4F-186C-4612-A29E-EE461437763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EB43209-65D0-4ECD-98C8-2D730F6098A1}">
          <x14:formula1>
            <xm:f>'List Values'!$B$2:$B$6</xm:f>
          </x14:formula1>
          <xm:sqref>H4</xm:sqref>
        </x14:dataValidation>
        <x14:dataValidation type="list" allowBlank="1" showInputMessage="1" showErrorMessage="1" xr:uid="{7B888423-487C-4515-BD78-F21A071FAC4A}">
          <x14:formula1>
            <xm:f>'List Values'!$H$8:$H$10</xm:f>
          </x14:formula1>
          <xm:sqref>I4:J4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850F-DA4A-4D3D-97A6-3832AB231949}">
  <dimension ref="A1:Q15"/>
  <sheetViews>
    <sheetView zoomScale="130" zoomScaleNormal="130" workbookViewId="0">
      <selection activeCell="D9" sqref="D9"/>
    </sheetView>
  </sheetViews>
  <sheetFormatPr defaultColWidth="8.85546875" defaultRowHeight="15"/>
  <cols>
    <col min="1" max="1" width="3.5703125" style="2" customWidth="1"/>
    <col min="2" max="2" width="21.85546875" style="2" customWidth="1"/>
    <col min="3" max="3" width="20.140625" style="2" bestFit="1" customWidth="1"/>
    <col min="4" max="4" width="30" style="2" customWidth="1"/>
    <col min="5" max="5" width="27.5703125" style="2" customWidth="1"/>
    <col min="6" max="7" width="8.85546875" style="2"/>
    <col min="8" max="8" width="15.140625" style="2" bestFit="1" customWidth="1"/>
    <col min="9" max="9" width="16.85546875" style="2" customWidth="1"/>
    <col min="10" max="10" width="14.140625" style="2" customWidth="1"/>
    <col min="11" max="11" width="6.140625" style="2" customWidth="1"/>
    <col min="12" max="12" width="18.5703125" style="2" customWidth="1"/>
    <col min="13" max="13" width="18" style="2" customWidth="1"/>
    <col min="14" max="14" width="20.85546875" style="2" bestFit="1" customWidth="1"/>
    <col min="15" max="15" width="14.85546875" style="2" customWidth="1"/>
    <col min="16" max="16" width="6.5703125" style="2" customWidth="1"/>
    <col min="17" max="16384" width="8.85546875" style="2"/>
  </cols>
  <sheetData>
    <row r="1" spans="1:17">
      <c r="A1" s="366"/>
      <c r="B1" s="366"/>
      <c r="C1" s="366"/>
      <c r="D1" s="366"/>
      <c r="E1" s="366"/>
      <c r="F1" s="366"/>
      <c r="G1" s="366"/>
      <c r="H1" s="366"/>
      <c r="I1" s="366"/>
      <c r="J1" s="366"/>
      <c r="K1" s="366"/>
    </row>
    <row r="3" spans="1:17" ht="18.75">
      <c r="B3" s="1" t="s">
        <v>160</v>
      </c>
    </row>
    <row r="4" spans="1:17">
      <c r="B4" s="2" t="s">
        <v>161</v>
      </c>
      <c r="I4" s="42" t="s">
        <v>132</v>
      </c>
    </row>
    <row r="5" spans="1:17" ht="30">
      <c r="B5" s="3"/>
      <c r="C5" s="4"/>
      <c r="D5" s="5"/>
      <c r="E5" s="5"/>
      <c r="F5" s="306"/>
      <c r="G5" s="306"/>
      <c r="H5" s="421" t="s">
        <v>162</v>
      </c>
      <c r="I5" s="179" t="s">
        <v>163</v>
      </c>
      <c r="L5" s="412" t="s">
        <v>164</v>
      </c>
      <c r="M5" s="413"/>
      <c r="N5" s="414"/>
    </row>
    <row r="6" spans="1:17" ht="30">
      <c r="B6" s="53"/>
      <c r="C6" s="415" t="s">
        <v>147</v>
      </c>
      <c r="D6" s="415"/>
      <c r="E6" s="307"/>
      <c r="F6" s="307" t="s">
        <v>165</v>
      </c>
      <c r="G6" s="307" t="s">
        <v>166</v>
      </c>
      <c r="H6" s="422"/>
      <c r="I6" s="52" t="s">
        <v>103</v>
      </c>
      <c r="L6" s="184"/>
      <c r="M6" s="308" t="s">
        <v>167</v>
      </c>
      <c r="N6" s="185" t="s">
        <v>168</v>
      </c>
    </row>
    <row r="7" spans="1:17">
      <c r="B7" s="181" t="s">
        <v>169</v>
      </c>
      <c r="C7" s="276" t="s">
        <v>157</v>
      </c>
      <c r="D7" s="277" t="s">
        <v>170</v>
      </c>
      <c r="E7" s="278"/>
      <c r="F7" s="246" t="s">
        <v>98</v>
      </c>
      <c r="G7" s="246">
        <v>2.5999999999999999E-2</v>
      </c>
      <c r="H7" s="246">
        <v>300</v>
      </c>
      <c r="I7" s="245"/>
      <c r="L7" s="186"/>
      <c r="M7" s="2" t="s">
        <v>86</v>
      </c>
      <c r="N7" s="187">
        <f>0.0001</f>
        <v>1E-4</v>
      </c>
    </row>
    <row r="8" spans="1:17" ht="30">
      <c r="B8" s="181" t="s">
        <v>158</v>
      </c>
      <c r="C8" s="182" t="s">
        <v>131</v>
      </c>
      <c r="D8" s="208" t="s">
        <v>171</v>
      </c>
      <c r="E8" s="6"/>
      <c r="F8" s="6" t="s">
        <v>105</v>
      </c>
      <c r="G8" s="6"/>
      <c r="H8" s="6"/>
      <c r="I8" s="183">
        <v>0.08</v>
      </c>
      <c r="L8" s="186"/>
      <c r="M8" s="2" t="s">
        <v>172</v>
      </c>
      <c r="N8" s="187"/>
    </row>
    <row r="9" spans="1:17" ht="31.5" customHeight="1">
      <c r="L9" s="186"/>
      <c r="N9" s="273"/>
    </row>
    <row r="10" spans="1:17">
      <c r="J10" s="41"/>
      <c r="K10" s="188"/>
      <c r="L10" s="189"/>
      <c r="M10" s="6"/>
      <c r="N10" s="190"/>
    </row>
    <row r="11" spans="1:17">
      <c r="D11" s="9"/>
      <c r="J11" s="41"/>
    </row>
    <row r="12" spans="1:17" ht="48" customHeight="1">
      <c r="K12"/>
      <c r="L12" s="241" t="s">
        <v>173</v>
      </c>
      <c r="M12" s="242"/>
      <c r="N12" s="242" t="s">
        <v>86</v>
      </c>
      <c r="O12" t="s">
        <v>172</v>
      </c>
      <c r="P12"/>
      <c r="Q12"/>
    </row>
    <row r="13" spans="1:17">
      <c r="K13"/>
      <c r="L13" s="419" t="s">
        <v>174</v>
      </c>
      <c r="M13" s="420"/>
      <c r="N13" s="243">
        <v>1.3193188710426619E-3</v>
      </c>
      <c r="O13" s="243">
        <v>1.7541188791086573E-4</v>
      </c>
      <c r="P13"/>
      <c r="Q13"/>
    </row>
    <row r="14" spans="1:17" ht="30">
      <c r="K14"/>
      <c r="L14" s="417" t="s">
        <v>175</v>
      </c>
      <c r="M14" s="418"/>
      <c r="N14" s="244" t="s">
        <v>86</v>
      </c>
      <c r="O14" s="244" t="s">
        <v>89</v>
      </c>
      <c r="P14"/>
      <c r="Q14"/>
    </row>
    <row r="15" spans="1:17">
      <c r="L15" s="416" t="s">
        <v>176</v>
      </c>
      <c r="M15" s="416"/>
      <c r="N15" s="416"/>
    </row>
  </sheetData>
  <mergeCells count="7">
    <mergeCell ref="A1:K1"/>
    <mergeCell ref="L5:N5"/>
    <mergeCell ref="C6:D6"/>
    <mergeCell ref="L15:N15"/>
    <mergeCell ref="L14:M14"/>
    <mergeCell ref="L13:M13"/>
    <mergeCell ref="H5:H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535C-1640-4B2E-A42B-0EE0AA10FC18}">
  <dimension ref="A1:AL37"/>
  <sheetViews>
    <sheetView zoomScaleNormal="100" workbookViewId="0">
      <pane xSplit="5" ySplit="5" topLeftCell="O6" activePane="bottomRight" state="frozen"/>
      <selection pane="bottomRight"/>
      <selection pane="bottomLeft" activeCell="A6" sqref="A6"/>
      <selection pane="topRight" activeCell="F1" sqref="F1"/>
    </sheetView>
  </sheetViews>
  <sheetFormatPr defaultColWidth="9.140625" defaultRowHeight="12.75"/>
  <cols>
    <col min="1" max="1" width="2.5703125" style="15" customWidth="1"/>
    <col min="2" max="2" width="15.140625" style="15" customWidth="1"/>
    <col min="3" max="3" width="56.140625" style="239" customWidth="1"/>
    <col min="4" max="4" width="12.85546875" style="15" customWidth="1"/>
    <col min="5" max="5" width="13.5703125" style="15" bestFit="1" customWidth="1"/>
    <col min="6" max="8" width="13.5703125" style="15" customWidth="1"/>
    <col min="9" max="9" width="13.42578125" style="15" bestFit="1" customWidth="1"/>
    <col min="10" max="10" width="14.140625" style="15" bestFit="1" customWidth="1"/>
    <col min="11" max="18" width="14.140625" style="15" customWidth="1"/>
    <col min="19" max="19" width="13.42578125" style="15" bestFit="1" customWidth="1"/>
    <col min="20" max="20" width="14.140625" style="15" bestFit="1" customWidth="1"/>
    <col min="21" max="22" width="14.140625" style="15" customWidth="1"/>
    <col min="23" max="23" width="13.42578125" style="15" customWidth="1"/>
    <col min="24" max="24" width="14.140625" style="15" customWidth="1"/>
    <col min="25" max="25" width="11.5703125" style="12" customWidth="1"/>
    <col min="26" max="26" width="13.42578125" style="12" bestFit="1" customWidth="1"/>
    <col min="27" max="27" width="24.42578125" style="15" customWidth="1"/>
    <col min="28" max="28" width="19.140625" style="15" customWidth="1"/>
    <col min="29" max="29" width="21" style="15" customWidth="1"/>
    <col min="30" max="30" width="27.42578125" style="15" bestFit="1" customWidth="1"/>
    <col min="31" max="31" width="16.5703125" style="15" customWidth="1"/>
    <col min="32" max="32" width="56.140625" style="15" customWidth="1"/>
    <col min="33" max="33" width="19.42578125" style="15" customWidth="1"/>
    <col min="34" max="34" width="10" style="15" bestFit="1" customWidth="1"/>
    <col min="35" max="35" width="19.42578125" style="15" customWidth="1"/>
    <col min="36" max="36" width="17.42578125" style="15" customWidth="1"/>
    <col min="37" max="37" width="9.140625" style="15"/>
    <col min="38" max="38" width="72.5703125" style="15" customWidth="1"/>
    <col min="39" max="39" width="23.5703125" style="15" customWidth="1"/>
    <col min="40" max="42" width="9.140625" style="15"/>
    <col min="43" max="43" width="52.42578125" style="15" bestFit="1" customWidth="1"/>
    <col min="44" max="44" width="10.5703125" style="15" customWidth="1"/>
    <col min="45" max="50" width="9.140625" style="15"/>
    <col min="51" max="51" width="72.5703125" style="15" bestFit="1" customWidth="1"/>
    <col min="52" max="52" width="14.42578125" style="15" bestFit="1" customWidth="1"/>
    <col min="53" max="16384" width="9.140625" style="15"/>
  </cols>
  <sheetData>
    <row r="1" spans="2:38" ht="6.6" customHeight="1"/>
    <row r="2" spans="2:38" ht="1.5" customHeight="1" thickBot="1"/>
    <row r="3" spans="2:38" ht="27.95" customHeight="1">
      <c r="B3" s="433" t="s">
        <v>118</v>
      </c>
      <c r="C3" s="430" t="s">
        <v>26</v>
      </c>
      <c r="D3" s="430" t="s">
        <v>28</v>
      </c>
      <c r="E3" s="430" t="s">
        <v>121</v>
      </c>
      <c r="F3" s="425" t="s">
        <v>177</v>
      </c>
      <c r="G3" s="426"/>
      <c r="H3" s="430" t="s">
        <v>178</v>
      </c>
      <c r="I3" s="429" t="s">
        <v>69</v>
      </c>
      <c r="J3" s="429"/>
      <c r="K3" s="429" t="s">
        <v>179</v>
      </c>
      <c r="L3" s="429"/>
      <c r="M3" s="429" t="s">
        <v>180</v>
      </c>
      <c r="N3" s="429"/>
      <c r="O3" s="429" t="s">
        <v>181</v>
      </c>
      <c r="P3" s="429"/>
      <c r="Q3" s="429" t="s">
        <v>182</v>
      </c>
      <c r="R3" s="429"/>
      <c r="S3" s="429" t="s">
        <v>183</v>
      </c>
      <c r="T3" s="429"/>
      <c r="U3" s="429" t="s">
        <v>184</v>
      </c>
      <c r="V3" s="429"/>
      <c r="W3" s="68"/>
      <c r="X3" s="68"/>
      <c r="Y3" s="67"/>
      <c r="Z3" s="69"/>
      <c r="AA3" s="45"/>
    </row>
    <row r="4" spans="2:38" ht="19.5" customHeight="1">
      <c r="B4" s="434"/>
      <c r="C4" s="431"/>
      <c r="D4" s="431"/>
      <c r="E4" s="431"/>
      <c r="F4" s="427" t="s">
        <v>185</v>
      </c>
      <c r="G4" s="428"/>
      <c r="H4" s="431"/>
      <c r="I4" s="332" t="s">
        <v>186</v>
      </c>
      <c r="J4" s="332"/>
      <c r="K4" s="332" t="s">
        <v>187</v>
      </c>
      <c r="L4" s="332"/>
      <c r="M4" s="332" t="s">
        <v>188</v>
      </c>
      <c r="N4" s="332"/>
      <c r="O4" s="332" t="s">
        <v>189</v>
      </c>
      <c r="P4" s="332"/>
      <c r="Q4" s="332" t="s">
        <v>190</v>
      </c>
      <c r="R4" s="332"/>
      <c r="S4" s="332" t="s">
        <v>191</v>
      </c>
      <c r="T4" s="332"/>
      <c r="U4" s="332" t="s">
        <v>192</v>
      </c>
      <c r="V4" s="332"/>
      <c r="W4" s="71"/>
      <c r="X4" s="71"/>
      <c r="Y4" s="70"/>
      <c r="Z4" s="72"/>
      <c r="AB4" s="34"/>
      <c r="AC4" s="34"/>
      <c r="AD4" s="34"/>
      <c r="AE4" s="34"/>
      <c r="AF4" s="46"/>
      <c r="AG4" s="33"/>
      <c r="AI4" s="33"/>
      <c r="AJ4" s="424"/>
      <c r="AK4" s="424"/>
      <c r="AL4" s="423"/>
    </row>
    <row r="5" spans="2:38" ht="25.5">
      <c r="B5" s="435"/>
      <c r="C5" s="432"/>
      <c r="D5" s="432"/>
      <c r="E5" s="432"/>
      <c r="F5" s="128" t="s">
        <v>86</v>
      </c>
      <c r="G5" s="128" t="s">
        <v>89</v>
      </c>
      <c r="H5" s="432"/>
      <c r="I5" s="178" t="s">
        <v>86</v>
      </c>
      <c r="J5" s="178" t="s">
        <v>89</v>
      </c>
      <c r="K5" s="178" t="s">
        <v>86</v>
      </c>
      <c r="L5" s="178" t="s">
        <v>89</v>
      </c>
      <c r="M5" s="178" t="s">
        <v>86</v>
      </c>
      <c r="N5" s="178" t="s">
        <v>89</v>
      </c>
      <c r="O5" s="178" t="s">
        <v>86</v>
      </c>
      <c r="P5" s="178" t="s">
        <v>89</v>
      </c>
      <c r="Q5" s="178" t="s">
        <v>86</v>
      </c>
      <c r="R5" s="178" t="s">
        <v>89</v>
      </c>
      <c r="S5" s="178" t="s">
        <v>86</v>
      </c>
      <c r="T5" s="178" t="s">
        <v>89</v>
      </c>
      <c r="U5" s="178" t="s">
        <v>86</v>
      </c>
      <c r="V5" s="178" t="s">
        <v>89</v>
      </c>
      <c r="W5" s="115" t="s">
        <v>193</v>
      </c>
      <c r="X5" s="115" t="s">
        <v>194</v>
      </c>
      <c r="Y5" s="309" t="s">
        <v>195</v>
      </c>
      <c r="Z5" s="116" t="s">
        <v>196</v>
      </c>
      <c r="AB5" s="34"/>
      <c r="AC5" s="34"/>
      <c r="AD5" s="34"/>
      <c r="AE5" s="34"/>
      <c r="AF5" s="46"/>
      <c r="AG5" s="34"/>
      <c r="AI5" s="34"/>
      <c r="AJ5" s="424"/>
      <c r="AK5" s="424"/>
      <c r="AL5" s="423"/>
    </row>
    <row r="6" spans="2:38" ht="38.25">
      <c r="B6" s="123">
        <v>1</v>
      </c>
      <c r="C6" s="59" t="s">
        <v>32</v>
      </c>
      <c r="D6" s="49" t="s">
        <v>85</v>
      </c>
      <c r="E6" s="127" t="s">
        <v>133</v>
      </c>
      <c r="F6" s="127">
        <v>50</v>
      </c>
      <c r="G6" s="127">
        <v>50</v>
      </c>
      <c r="H6" s="213">
        <f>IFERROR((8/24)*(G6/365),"N/A")</f>
        <v>4.5662100456621002E-2</v>
      </c>
      <c r="I6" s="16">
        <v>0.42899999999999872</v>
      </c>
      <c r="J6" s="16">
        <v>1.1084066164154104E-3</v>
      </c>
      <c r="K6" s="16" t="s">
        <v>136</v>
      </c>
      <c r="L6" s="16" t="s">
        <v>136</v>
      </c>
      <c r="M6" s="16" t="s">
        <v>136</v>
      </c>
      <c r="N6" s="16" t="s">
        <v>136</v>
      </c>
      <c r="O6" s="258">
        <f>I6*'List Values'!$J$31*'List Values'!$J$36/'List Values'!$J$39</f>
        <v>1.9589041095890353E-2</v>
      </c>
      <c r="P6" s="258">
        <f>J6*'List Values'!$J$31*'List Values'!$J$36/'List Values'!$J$39</f>
        <v>5.0612174265543845E-5</v>
      </c>
      <c r="Q6" s="16" t="s">
        <v>136</v>
      </c>
      <c r="R6" s="16" t="s">
        <v>136</v>
      </c>
      <c r="S6" s="16">
        <f>IF(I6&gt;0, I6*$H6*'List Values'!$E$25*'Health Data'!$I$8, "N/A")</f>
        <v>2.3506849315068422E-3</v>
      </c>
      <c r="T6" s="16">
        <f>IF(J6&gt;0, J6*$H6*'List Values'!$E$25*'Health Data'!$I$8, "N/A")</f>
        <v>6.0734609118652625E-6</v>
      </c>
      <c r="U6" s="16" t="s">
        <v>136</v>
      </c>
      <c r="V6" s="16" t="s">
        <v>136</v>
      </c>
      <c r="W6" s="35">
        <v>847</v>
      </c>
      <c r="X6" s="125" t="s">
        <v>136</v>
      </c>
      <c r="Y6" s="59"/>
      <c r="Z6" s="126" t="s">
        <v>197</v>
      </c>
      <c r="AB6" s="34"/>
      <c r="AC6" s="34"/>
      <c r="AD6" s="34"/>
      <c r="AE6" s="34"/>
      <c r="AF6" s="46"/>
      <c r="AG6" s="28"/>
      <c r="AI6" s="34"/>
      <c r="AJ6" s="424"/>
      <c r="AK6" s="424"/>
      <c r="AL6" s="423"/>
    </row>
    <row r="7" spans="2:38" ht="38.25">
      <c r="B7" s="123">
        <v>1</v>
      </c>
      <c r="C7" s="59" t="s">
        <v>32</v>
      </c>
      <c r="D7" s="49" t="s">
        <v>87</v>
      </c>
      <c r="E7" s="127" t="s">
        <v>133</v>
      </c>
      <c r="F7" s="127">
        <v>50</v>
      </c>
      <c r="G7" s="127">
        <v>50</v>
      </c>
      <c r="H7" s="213">
        <f t="shared" ref="H7:H24" si="0">IFERROR((8/24)*(G7/365),"N/A")</f>
        <v>4.5662100456621002E-2</v>
      </c>
      <c r="I7" s="16">
        <v>0.21921874999999999</v>
      </c>
      <c r="J7" s="16">
        <v>1.1182852982187835E-3</v>
      </c>
      <c r="K7" s="16" t="s">
        <v>136</v>
      </c>
      <c r="L7" s="16" t="s">
        <v>136</v>
      </c>
      <c r="M7" s="16" t="s">
        <v>136</v>
      </c>
      <c r="N7" s="16" t="s">
        <v>136</v>
      </c>
      <c r="O7" s="258">
        <f>I7*'List Values'!$J$31*'List Values'!$J$36/'List Values'!$J$39</f>
        <v>1.0009988584474886E-2</v>
      </c>
      <c r="P7" s="258">
        <f>J7*'List Values'!$J$31*'List Values'!$J$36/'List Values'!$J$39</f>
        <v>5.1063255626428474E-5</v>
      </c>
      <c r="Q7" s="16" t="s">
        <v>136</v>
      </c>
      <c r="R7" s="16" t="s">
        <v>136</v>
      </c>
      <c r="S7" s="16">
        <f>IF(I7&gt;0, I7*$H7*'List Values'!$E$25*'Health Data'!$I$8, "N/A")</f>
        <v>1.2011986301369863E-3</v>
      </c>
      <c r="T7" s="16">
        <f>IF(J7&gt;0, J7*$H7*'List Values'!$E$25*'Health Data'!$I$8, "N/A")</f>
        <v>6.1275906751714172E-6</v>
      </c>
      <c r="U7" s="16" t="s">
        <v>136</v>
      </c>
      <c r="V7" s="16" t="s">
        <v>136</v>
      </c>
      <c r="W7" s="35">
        <v>31</v>
      </c>
      <c r="X7" s="125" t="s">
        <v>136</v>
      </c>
      <c r="Y7" s="129"/>
      <c r="Z7" s="126" t="s">
        <v>197</v>
      </c>
      <c r="AA7" s="48"/>
      <c r="AB7" s="47"/>
      <c r="AC7" s="47"/>
      <c r="AD7" s="47"/>
      <c r="AE7" s="27"/>
      <c r="AF7" s="29"/>
      <c r="AG7" s="30"/>
      <c r="AI7" s="30"/>
      <c r="AJ7" s="29"/>
      <c r="AK7" s="31"/>
      <c r="AL7" s="29"/>
    </row>
    <row r="8" spans="2:38" ht="25.5">
      <c r="B8" s="123">
        <v>1</v>
      </c>
      <c r="C8" s="59" t="s">
        <v>32</v>
      </c>
      <c r="D8" s="49" t="s">
        <v>88</v>
      </c>
      <c r="E8" s="127" t="s">
        <v>133</v>
      </c>
      <c r="F8" s="127">
        <v>50</v>
      </c>
      <c r="G8" s="127">
        <v>50</v>
      </c>
      <c r="H8" s="213">
        <f t="shared" si="0"/>
        <v>4.5662100456621002E-2</v>
      </c>
      <c r="I8" s="16">
        <v>4.5999999999999999E-2</v>
      </c>
      <c r="J8" s="16">
        <v>1.2266666666666669E-2</v>
      </c>
      <c r="K8" s="16" t="s">
        <v>136</v>
      </c>
      <c r="L8" s="16" t="s">
        <v>136</v>
      </c>
      <c r="M8" s="16" t="s">
        <v>136</v>
      </c>
      <c r="N8" s="16" t="s">
        <v>136</v>
      </c>
      <c r="O8" s="258">
        <f>I8*'List Values'!$J$31*'List Values'!$J$36/'List Values'!$J$39</f>
        <v>2.100456621004566E-3</v>
      </c>
      <c r="P8" s="258">
        <f>J8*'List Values'!$J$31*'List Values'!$J$36/'List Values'!$J$39</f>
        <v>5.6012176560121774E-4</v>
      </c>
      <c r="Q8" s="16" t="s">
        <v>136</v>
      </c>
      <c r="R8" s="16" t="s">
        <v>136</v>
      </c>
      <c r="S8" s="16">
        <f>IF(I8&gt;0, I8*$H8*'List Values'!$E$25*'Health Data'!$I$8, "N/A")</f>
        <v>2.5205479452054791E-4</v>
      </c>
      <c r="T8" s="16">
        <f>IF(J8&gt;0, J8*$H8*'List Values'!$E$25*'Health Data'!$I$8, "N/A")</f>
        <v>6.7214611872146141E-5</v>
      </c>
      <c r="U8" s="16" t="s">
        <v>136</v>
      </c>
      <c r="V8" s="16" t="s">
        <v>136</v>
      </c>
      <c r="W8" s="35">
        <v>103</v>
      </c>
      <c r="X8" s="125" t="s">
        <v>136</v>
      </c>
      <c r="Y8" s="129"/>
      <c r="Z8" s="126" t="s">
        <v>197</v>
      </c>
      <c r="AA8" s="48"/>
      <c r="AB8" s="47"/>
      <c r="AC8" s="47"/>
      <c r="AD8" s="47"/>
      <c r="AE8" s="27"/>
      <c r="AF8" s="29"/>
      <c r="AG8" s="30"/>
      <c r="AI8" s="30"/>
      <c r="AJ8" s="29"/>
      <c r="AK8" s="31"/>
      <c r="AL8" s="29"/>
    </row>
    <row r="9" spans="2:38" ht="38.25">
      <c r="B9" s="123">
        <v>1</v>
      </c>
      <c r="C9" s="59" t="s">
        <v>32</v>
      </c>
      <c r="D9" s="49" t="s">
        <v>85</v>
      </c>
      <c r="E9" s="127" t="s">
        <v>137</v>
      </c>
      <c r="F9" s="127">
        <v>50</v>
      </c>
      <c r="G9" s="127">
        <v>50</v>
      </c>
      <c r="H9" s="213">
        <f t="shared" si="0"/>
        <v>4.5662100456621002E-2</v>
      </c>
      <c r="I9" s="16" t="s">
        <v>136</v>
      </c>
      <c r="J9" s="16" t="s">
        <v>136</v>
      </c>
      <c r="K9" s="16">
        <v>0.15579999999999966</v>
      </c>
      <c r="L9" s="16">
        <v>2.4954976819375238E-2</v>
      </c>
      <c r="M9" s="16">
        <f>IF(K9&gt;0,(0.5*K9+7.5*I6)/8,"N/A")</f>
        <v>0.41192499999999876</v>
      </c>
      <c r="N9" s="16">
        <f>IF(L9&gt;0,(0.5*L9+7.5*J6)/8,"N/A")</f>
        <v>2.5988172541003994E-3</v>
      </c>
      <c r="O9" s="16" t="s">
        <v>136</v>
      </c>
      <c r="P9" s="16" t="s">
        <v>136</v>
      </c>
      <c r="Q9" s="258">
        <f>M9*'List Values'!$J$31*'List Values'!$J$36/'List Values'!$J$39</f>
        <v>1.8809360730593552E-2</v>
      </c>
      <c r="R9" s="258">
        <f>N9*'List Values'!$J$31*'List Values'!$J$36/'List Values'!$J$39</f>
        <v>1.1866745452513241E-4</v>
      </c>
      <c r="S9" s="125" t="s">
        <v>136</v>
      </c>
      <c r="T9" s="125" t="s">
        <v>136</v>
      </c>
      <c r="U9" s="16">
        <f>IF(K9&gt;0, M9*$H9*'List Values'!$E$25*'Health Data'!$I$8, "N/A")</f>
        <v>2.257123287671226E-3</v>
      </c>
      <c r="V9" s="16">
        <f>IF(L9&gt;0, N9*$H9*'List Values'!$E$25*'Health Data'!$I$8, "N/A")</f>
        <v>1.4240094543015885E-5</v>
      </c>
      <c r="W9" s="125" t="s">
        <v>136</v>
      </c>
      <c r="X9" s="35">
        <v>145</v>
      </c>
      <c r="Y9" s="129"/>
      <c r="Z9" s="126" t="s">
        <v>197</v>
      </c>
      <c r="AA9" s="48"/>
      <c r="AB9" s="47"/>
      <c r="AC9" s="47"/>
      <c r="AD9" s="47"/>
      <c r="AE9" s="27"/>
      <c r="AF9" s="29"/>
      <c r="AG9" s="30"/>
      <c r="AI9" s="30"/>
      <c r="AJ9" s="29"/>
      <c r="AK9" s="31"/>
      <c r="AL9" s="29"/>
    </row>
    <row r="10" spans="2:38" ht="38.25">
      <c r="B10" s="123">
        <v>1</v>
      </c>
      <c r="C10" s="59" t="s">
        <v>32</v>
      </c>
      <c r="D10" s="49" t="s">
        <v>87</v>
      </c>
      <c r="E10" s="127" t="s">
        <v>137</v>
      </c>
      <c r="F10" s="127">
        <v>50</v>
      </c>
      <c r="G10" s="127">
        <v>50</v>
      </c>
      <c r="H10" s="213">
        <f t="shared" si="0"/>
        <v>4.5662100456621002E-2</v>
      </c>
      <c r="I10" s="16" t="s">
        <v>136</v>
      </c>
      <c r="J10" s="16" t="s">
        <v>136</v>
      </c>
      <c r="K10" s="16">
        <v>2.5035153451726647E-2</v>
      </c>
      <c r="L10" s="16">
        <v>2.4954976819375238E-2</v>
      </c>
      <c r="M10" s="16">
        <f t="shared" ref="M10:N10" si="1">IF(K10&gt;0,(0.5*K10+7.5*I7)/8,"N/A")</f>
        <v>0.20708227521573291</v>
      </c>
      <c r="N10" s="16">
        <f t="shared" si="1"/>
        <v>2.6080785182910618E-3</v>
      </c>
      <c r="O10" s="16" t="s">
        <v>136</v>
      </c>
      <c r="P10" s="16" t="s">
        <v>136</v>
      </c>
      <c r="Q10" s="258">
        <f>M10*'List Values'!$J$31*'List Values'!$J$36/'List Values'!$J$39</f>
        <v>9.4558116536864346E-3</v>
      </c>
      <c r="R10" s="258">
        <f>N10*'List Values'!$J$31*'List Values'!$J$36/'List Values'!$J$39</f>
        <v>1.1909034330096171E-4</v>
      </c>
      <c r="S10" s="125" t="s">
        <v>136</v>
      </c>
      <c r="T10" s="125" t="s">
        <v>136</v>
      </c>
      <c r="U10" s="16">
        <f>IF(K10&gt;0, M10*$H10*'List Values'!$E$25*'Health Data'!$I$8, "N/A")</f>
        <v>1.1346973984423722E-3</v>
      </c>
      <c r="V10" s="16">
        <f>IF(L10&gt;0, N10*$H10*'List Values'!$E$25*'Health Data'!$I$8, "N/A")</f>
        <v>1.4290841196115404E-5</v>
      </c>
      <c r="W10" s="125" t="s">
        <v>136</v>
      </c>
      <c r="X10" s="180">
        <v>5</v>
      </c>
      <c r="Y10" s="129"/>
      <c r="Z10" s="126" t="s">
        <v>197</v>
      </c>
      <c r="AA10" s="48"/>
      <c r="AB10" s="47"/>
      <c r="AC10" s="47"/>
      <c r="AD10" s="47"/>
      <c r="AE10" s="27"/>
      <c r="AF10" s="29"/>
      <c r="AG10" s="30"/>
      <c r="AI10" s="30"/>
      <c r="AJ10" s="29"/>
      <c r="AK10" s="31"/>
      <c r="AL10" s="29"/>
    </row>
    <row r="11" spans="2:38" ht="25.5">
      <c r="B11" s="123">
        <v>1</v>
      </c>
      <c r="C11" s="59" t="s">
        <v>32</v>
      </c>
      <c r="D11" s="49" t="s">
        <v>88</v>
      </c>
      <c r="E11" s="127" t="s">
        <v>137</v>
      </c>
      <c r="F11" s="127">
        <v>50</v>
      </c>
      <c r="G11" s="127">
        <v>50</v>
      </c>
      <c r="H11" s="213">
        <f t="shared" si="0"/>
        <v>4.5662100456621002E-2</v>
      </c>
      <c r="I11" s="16" t="s">
        <v>136</v>
      </c>
      <c r="J11" s="16" t="s">
        <v>136</v>
      </c>
      <c r="K11" s="16">
        <v>5.2999999999999999E-2</v>
      </c>
      <c r="L11" s="16">
        <v>2.6499999999999999E-2</v>
      </c>
      <c r="M11" s="16">
        <f t="shared" ref="M11:N11" si="2">IF(K11&gt;0,(0.5*K11+7.5*I8)/8,"N/A")</f>
        <v>4.64375E-2</v>
      </c>
      <c r="N11" s="16">
        <f t="shared" si="2"/>
        <v>1.3156250000000001E-2</v>
      </c>
      <c r="O11" s="16" t="s">
        <v>136</v>
      </c>
      <c r="P11" s="16" t="s">
        <v>136</v>
      </c>
      <c r="Q11" s="258">
        <f>M11*'List Values'!$J$31*'List Values'!$J$36/'List Values'!$J$39</f>
        <v>2.1204337899543377E-3</v>
      </c>
      <c r="R11" s="258">
        <f>N11*'List Values'!$J$31*'List Values'!$J$36/'List Values'!$J$39</f>
        <v>6.0074200913242011E-4</v>
      </c>
      <c r="S11" s="125" t="s">
        <v>136</v>
      </c>
      <c r="T11" s="125" t="s">
        <v>136</v>
      </c>
      <c r="U11" s="16">
        <f>IF(K11&gt;0, M11*$H11*'List Values'!$E$25*'Health Data'!$I$8, "N/A")</f>
        <v>2.5445205479452055E-4</v>
      </c>
      <c r="V11" s="16">
        <f>IF(L11&gt;0, N11*$H11*'List Values'!$E$25*'Health Data'!$I$8, "N/A")</f>
        <v>7.208904109589041E-5</v>
      </c>
      <c r="W11" s="125" t="s">
        <v>136</v>
      </c>
      <c r="X11" s="180">
        <v>1</v>
      </c>
      <c r="Y11" s="129"/>
      <c r="Z11" s="126" t="s">
        <v>197</v>
      </c>
      <c r="AA11" s="48"/>
      <c r="AB11" s="47"/>
      <c r="AC11" s="47"/>
      <c r="AD11" s="47"/>
      <c r="AE11" s="27"/>
      <c r="AF11" s="29"/>
      <c r="AG11" s="30"/>
      <c r="AI11" s="30"/>
      <c r="AJ11" s="29"/>
      <c r="AK11" s="31"/>
      <c r="AL11" s="29"/>
    </row>
    <row r="12" spans="2:38" ht="102">
      <c r="B12" s="123">
        <v>2</v>
      </c>
      <c r="C12" s="59" t="s">
        <v>138</v>
      </c>
      <c r="D12" s="49" t="s">
        <v>85</v>
      </c>
      <c r="E12" s="127" t="s">
        <v>133</v>
      </c>
      <c r="F12" s="127">
        <v>3</v>
      </c>
      <c r="G12" s="127">
        <v>3</v>
      </c>
      <c r="H12" s="213">
        <f t="shared" si="0"/>
        <v>2.7397260273972599E-3</v>
      </c>
      <c r="I12" s="16">
        <v>0.38549999999999979</v>
      </c>
      <c r="J12" s="16">
        <v>0.02</v>
      </c>
      <c r="K12" s="16" t="s">
        <v>136</v>
      </c>
      <c r="L12" s="16" t="s">
        <v>136</v>
      </c>
      <c r="M12" s="16" t="s">
        <v>136</v>
      </c>
      <c r="N12" s="16" t="s">
        <v>136</v>
      </c>
      <c r="O12" s="258">
        <f>I12*'List Values'!$J$25*'List Values'!$J$34*'List Values'!$J$36/'List Values'!$J$39</f>
        <v>1.0561643835616432E-3</v>
      </c>
      <c r="P12" s="258">
        <f>J12*'List Values'!$J$25*'List Values'!$J$34*'List Values'!$J$36/'List Values'!$J$39</f>
        <v>5.47945205479452E-5</v>
      </c>
      <c r="Q12" s="16" t="s">
        <v>136</v>
      </c>
      <c r="R12" s="16" t="s">
        <v>136</v>
      </c>
      <c r="S12" s="16">
        <f>IF(I12&gt;0, I12*$H12*'List Values'!$E$25*'Health Data'!$I$8, "N/A")</f>
        <v>1.2673972602739717E-4</v>
      </c>
      <c r="T12" s="16">
        <f>IF(J12&gt;0, J12*$H12*'List Values'!$E$25*'Health Data'!$I$8, "N/A")</f>
        <v>6.5753424657534237E-6</v>
      </c>
      <c r="U12" s="16" t="s">
        <v>136</v>
      </c>
      <c r="V12" s="16" t="s">
        <v>136</v>
      </c>
      <c r="W12" s="35">
        <v>62</v>
      </c>
      <c r="X12" s="125" t="s">
        <v>136</v>
      </c>
      <c r="Y12" s="59" t="s">
        <v>198</v>
      </c>
      <c r="Z12" s="126" t="s">
        <v>197</v>
      </c>
      <c r="AB12" s="29"/>
      <c r="AC12" s="29"/>
      <c r="AD12" s="29"/>
      <c r="AE12" s="27"/>
      <c r="AF12" s="29"/>
      <c r="AG12" s="32"/>
      <c r="AI12" s="32"/>
      <c r="AJ12" s="29"/>
      <c r="AK12" s="31"/>
      <c r="AL12" s="29"/>
    </row>
    <row r="13" spans="2:38" ht="102">
      <c r="B13" s="123">
        <v>2</v>
      </c>
      <c r="C13" s="59" t="s">
        <v>138</v>
      </c>
      <c r="D13" s="49" t="s">
        <v>87</v>
      </c>
      <c r="E13" s="127" t="s">
        <v>133</v>
      </c>
      <c r="F13" s="127">
        <v>1</v>
      </c>
      <c r="G13" s="127">
        <v>1</v>
      </c>
      <c r="H13" s="213">
        <f t="shared" si="0"/>
        <v>9.1324200913242006E-4</v>
      </c>
      <c r="I13" s="16">
        <v>0.38549999999999979</v>
      </c>
      <c r="J13" s="16">
        <v>0.02</v>
      </c>
      <c r="K13" s="16" t="s">
        <v>136</v>
      </c>
      <c r="L13" s="16" t="s">
        <v>136</v>
      </c>
      <c r="M13" s="16" t="s">
        <v>136</v>
      </c>
      <c r="N13" s="16" t="s">
        <v>136</v>
      </c>
      <c r="O13" s="258">
        <f>I13*'List Values'!$J$25*'List Values'!$J$32*'List Values'!$J$36/'List Values'!$J$39</f>
        <v>3.5205479452054774E-4</v>
      </c>
      <c r="P13" s="258">
        <f>J13*'List Values'!$J$25*'List Values'!$J$32*'List Values'!$J$36/'List Values'!$J$39</f>
        <v>1.8264840182648402E-5</v>
      </c>
      <c r="Q13" s="16" t="s">
        <v>136</v>
      </c>
      <c r="R13" s="16" t="s">
        <v>136</v>
      </c>
      <c r="S13" s="16">
        <f>IF(I13&gt;0, I13*$H13*'List Values'!$E$25*'Health Data'!$I$8, "N/A")</f>
        <v>4.2246575342465729E-5</v>
      </c>
      <c r="T13" s="16">
        <f>IF(J13&gt;0, J13*$H13*'List Values'!$E$25*'Health Data'!$I$8, "N/A")</f>
        <v>2.1917808219178082E-6</v>
      </c>
      <c r="U13" s="16" t="s">
        <v>136</v>
      </c>
      <c r="V13" s="16" t="s">
        <v>136</v>
      </c>
      <c r="W13" s="35">
        <v>62</v>
      </c>
      <c r="X13" s="125" t="s">
        <v>136</v>
      </c>
      <c r="Y13" s="129" t="s">
        <v>199</v>
      </c>
      <c r="Z13" s="126" t="s">
        <v>197</v>
      </c>
      <c r="AB13" s="29"/>
      <c r="AC13" s="29"/>
      <c r="AD13" s="29"/>
      <c r="AE13" s="27"/>
      <c r="AF13" s="29"/>
    </row>
    <row r="14" spans="2:38" ht="63.75">
      <c r="B14" s="123">
        <v>3</v>
      </c>
      <c r="C14" s="59" t="s">
        <v>39</v>
      </c>
      <c r="D14" s="49" t="s">
        <v>85</v>
      </c>
      <c r="E14" s="127" t="s">
        <v>133</v>
      </c>
      <c r="F14" s="127">
        <v>250</v>
      </c>
      <c r="G14" s="127">
        <v>250</v>
      </c>
      <c r="H14" s="213">
        <f t="shared" si="0"/>
        <v>0.22831050228310501</v>
      </c>
      <c r="I14" s="16">
        <v>0.157</v>
      </c>
      <c r="J14" s="16">
        <v>8.4466666666666683E-3</v>
      </c>
      <c r="K14" s="16" t="s">
        <v>136</v>
      </c>
      <c r="L14" s="16" t="s">
        <v>136</v>
      </c>
      <c r="M14" s="16" t="s">
        <v>136</v>
      </c>
      <c r="N14" s="16" t="s">
        <v>136</v>
      </c>
      <c r="O14" s="258">
        <f>I14*'List Values'!$J$25*'List Values'!$J$26*'List Values'!$J$36/'List Values'!$J$39</f>
        <v>3.5844748858447489E-2</v>
      </c>
      <c r="P14" s="258">
        <f>J14*'List Values'!$J$25*'List Values'!$J$26*'List Values'!$J$36/'List Values'!$J$39</f>
        <v>1.9284627092846277E-3</v>
      </c>
      <c r="Q14" s="16" t="s">
        <v>136</v>
      </c>
      <c r="R14" s="16" t="s">
        <v>136</v>
      </c>
      <c r="S14" s="16">
        <f>IF(I14&gt;0, I14*$H14*'List Values'!$E$25*'Health Data'!$I$8, "N/A")</f>
        <v>4.3013698630136989E-3</v>
      </c>
      <c r="T14" s="16">
        <f>IF(J14&gt;0, J14*$H14*'List Values'!$E$25*'Health Data'!$I$8, "N/A")</f>
        <v>2.3141552511415529E-4</v>
      </c>
      <c r="U14" s="16" t="s">
        <v>136</v>
      </c>
      <c r="V14" s="16" t="s">
        <v>136</v>
      </c>
      <c r="W14" s="35">
        <v>216</v>
      </c>
      <c r="X14" s="125" t="s">
        <v>136</v>
      </c>
      <c r="Y14" s="59" t="s">
        <v>200</v>
      </c>
      <c r="Z14" s="126" t="s">
        <v>197</v>
      </c>
      <c r="AB14" s="29"/>
      <c r="AC14" s="29"/>
      <c r="AD14" s="29"/>
      <c r="AE14" s="27"/>
      <c r="AF14" s="29"/>
    </row>
    <row r="15" spans="2:38" ht="25.5">
      <c r="B15" s="123">
        <v>3</v>
      </c>
      <c r="C15" s="59" t="s">
        <v>39</v>
      </c>
      <c r="D15" s="49" t="s">
        <v>88</v>
      </c>
      <c r="E15" s="127" t="s">
        <v>133</v>
      </c>
      <c r="F15" s="127">
        <v>250</v>
      </c>
      <c r="G15" s="127">
        <v>250</v>
      </c>
      <c r="H15" s="213">
        <f t="shared" si="0"/>
        <v>0.22831050228310501</v>
      </c>
      <c r="I15" s="155">
        <v>4.8599999999999997E-2</v>
      </c>
      <c r="J15" s="16">
        <v>2.785E-2</v>
      </c>
      <c r="K15" s="16" t="s">
        <v>136</v>
      </c>
      <c r="L15" s="16" t="s">
        <v>136</v>
      </c>
      <c r="M15" s="16" t="s">
        <v>136</v>
      </c>
      <c r="N15" s="16" t="s">
        <v>136</v>
      </c>
      <c r="O15" s="258">
        <f>I15*'List Values'!$J$25*'List Values'!$J$26*'List Values'!$J$36/'List Values'!$J$39</f>
        <v>1.1095890410958903E-2</v>
      </c>
      <c r="P15" s="258">
        <f>J15*'List Values'!$J$25*'List Values'!$J$26*'List Values'!$J$36/'List Values'!$J$39</f>
        <v>6.3584474885844747E-3</v>
      </c>
      <c r="Q15" s="16" t="s">
        <v>136</v>
      </c>
      <c r="R15" s="16" t="s">
        <v>136</v>
      </c>
      <c r="S15" s="16">
        <f>IF(I15&gt;0, I15*$H15*'List Values'!$E$25*'Health Data'!$I$8, "N/A")</f>
        <v>1.3315068493150685E-3</v>
      </c>
      <c r="T15" s="16">
        <f>IF(J15&gt;0, J15*$H15*'List Values'!$E$25*'Health Data'!$I$8, "N/A")</f>
        <v>7.6301369863013703E-4</v>
      </c>
      <c r="U15" s="16" t="s">
        <v>136</v>
      </c>
      <c r="V15" s="16" t="s">
        <v>136</v>
      </c>
      <c r="W15" s="35">
        <v>20</v>
      </c>
      <c r="X15" s="125" t="s">
        <v>136</v>
      </c>
      <c r="Y15" s="129"/>
      <c r="Z15" s="126" t="s">
        <v>197</v>
      </c>
      <c r="AB15" s="29"/>
      <c r="AC15" s="29"/>
      <c r="AD15" s="29"/>
      <c r="AE15" s="27"/>
      <c r="AF15" s="29"/>
    </row>
    <row r="16" spans="2:38" ht="63.75">
      <c r="B16" s="123">
        <v>3</v>
      </c>
      <c r="C16" s="59" t="s">
        <v>39</v>
      </c>
      <c r="D16" s="49" t="s">
        <v>85</v>
      </c>
      <c r="E16" s="127" t="s">
        <v>137</v>
      </c>
      <c r="F16" s="127">
        <v>250</v>
      </c>
      <c r="G16" s="127">
        <v>250</v>
      </c>
      <c r="H16" s="213">
        <f t="shared" si="0"/>
        <v>0.22831050228310501</v>
      </c>
      <c r="I16" s="16" t="s">
        <v>136</v>
      </c>
      <c r="J16" s="16" t="s">
        <v>136</v>
      </c>
      <c r="K16" s="155">
        <v>0.16699999999999993</v>
      </c>
      <c r="L16" s="16">
        <v>1.9E-2</v>
      </c>
      <c r="M16" s="16">
        <f>IF(K16&gt;0,(0.5*K16+7.5*I14)/8,"N/A")</f>
        <v>0.15762499999999999</v>
      </c>
      <c r="N16" s="16">
        <f>IF(L16&gt;0,(0.5*L16+7.5*J14)/8,"N/A")</f>
        <v>9.1062500000000015E-3</v>
      </c>
      <c r="O16" s="16" t="s">
        <v>136</v>
      </c>
      <c r="P16" s="16" t="s">
        <v>136</v>
      </c>
      <c r="Q16" s="258">
        <f>M16*'List Values'!$J$25*'List Values'!$J$26*'List Values'!$J$36/'List Values'!$J$39</f>
        <v>3.5987442922374428E-2</v>
      </c>
      <c r="R16" s="258">
        <f>N16*'List Values'!$J$25*'List Values'!$J$26*'List Values'!$J$36/'List Values'!$J$39</f>
        <v>2.0790525114155254E-3</v>
      </c>
      <c r="S16" s="16" t="s">
        <v>136</v>
      </c>
      <c r="T16" s="16" t="s">
        <v>136</v>
      </c>
      <c r="U16" s="16">
        <f>IF(K16&gt;0, M16*$H16*'List Values'!$E$25*'Health Data'!$I$8, "N/A")</f>
        <v>4.3184931506849303E-3</v>
      </c>
      <c r="V16" s="16">
        <f>IF(L16&gt;0, N16*$H16*'List Values'!$E$25*'Health Data'!$I$8, "N/A")</f>
        <v>2.4948630136986303E-4</v>
      </c>
      <c r="W16" s="125" t="s">
        <v>136</v>
      </c>
      <c r="X16" s="180">
        <v>37</v>
      </c>
      <c r="Y16" s="129" t="s">
        <v>200</v>
      </c>
      <c r="Z16" s="126" t="s">
        <v>197</v>
      </c>
      <c r="AB16" s="29"/>
      <c r="AC16" s="29"/>
      <c r="AD16" s="29"/>
      <c r="AE16" s="27"/>
      <c r="AF16" s="29"/>
    </row>
    <row r="17" spans="1:38" ht="38.25">
      <c r="B17" s="123">
        <v>4</v>
      </c>
      <c r="C17" s="59" t="s">
        <v>201</v>
      </c>
      <c r="D17" s="109" t="s">
        <v>85</v>
      </c>
      <c r="E17" s="125" t="s">
        <v>133</v>
      </c>
      <c r="F17" s="125">
        <v>250</v>
      </c>
      <c r="G17" s="125">
        <v>250</v>
      </c>
      <c r="H17" s="213">
        <f t="shared" si="0"/>
        <v>0.22831050228310501</v>
      </c>
      <c r="I17" s="275">
        <v>3.3</v>
      </c>
      <c r="J17" s="275">
        <v>0.14000000000000001</v>
      </c>
      <c r="K17" s="16" t="s">
        <v>136</v>
      </c>
      <c r="L17" s="16" t="s">
        <v>136</v>
      </c>
      <c r="M17" s="16" t="s">
        <v>136</v>
      </c>
      <c r="N17" s="16" t="s">
        <v>136</v>
      </c>
      <c r="O17" s="259">
        <f>I17*'List Values'!$J$25*'List Values'!$J$26*'List Values'!$J$36/'List Values'!$J$39</f>
        <v>0.75342465753424659</v>
      </c>
      <c r="P17" s="259">
        <f>J17*'List Values'!$J$25*'List Values'!$J$26*'List Values'!$J$36/'List Values'!$J$39</f>
        <v>3.1963470319634701E-2</v>
      </c>
      <c r="Q17" s="16" t="s">
        <v>136</v>
      </c>
      <c r="R17" s="16" t="s">
        <v>136</v>
      </c>
      <c r="S17" s="35">
        <f>IF(I17&gt;0, I17*$H17*'List Values'!$E$25*'Health Data'!$I$8, "N/A")</f>
        <v>9.0410958904109578E-2</v>
      </c>
      <c r="T17" s="35">
        <f>IF(J17&gt;0, J17*$H17*'List Values'!$E$25*'Health Data'!$I$8, "N/A")</f>
        <v>3.8356164383561643E-3</v>
      </c>
      <c r="U17" s="16" t="s">
        <v>136</v>
      </c>
      <c r="V17" s="16" t="s">
        <v>136</v>
      </c>
      <c r="W17" s="35">
        <v>46</v>
      </c>
      <c r="X17" s="125" t="s">
        <v>136</v>
      </c>
      <c r="Y17" s="59"/>
      <c r="Z17" s="126" t="s">
        <v>197</v>
      </c>
      <c r="AB17" s="29"/>
      <c r="AC17" s="29"/>
      <c r="AD17" s="29"/>
      <c r="AE17" s="27"/>
      <c r="AF17" s="29"/>
    </row>
    <row r="18" spans="1:38" ht="38.25">
      <c r="B18" s="123">
        <v>4</v>
      </c>
      <c r="C18" s="59" t="s">
        <v>201</v>
      </c>
      <c r="D18" s="49" t="s">
        <v>87</v>
      </c>
      <c r="E18" s="127" t="s">
        <v>133</v>
      </c>
      <c r="F18" s="127">
        <v>250</v>
      </c>
      <c r="G18" s="127">
        <v>250</v>
      </c>
      <c r="H18" s="213">
        <f t="shared" si="0"/>
        <v>0.22831050228310501</v>
      </c>
      <c r="I18" s="275">
        <v>1.1099999999999999E-2</v>
      </c>
      <c r="J18" s="275">
        <v>8.2500000000000004E-3</v>
      </c>
      <c r="K18" s="16" t="s">
        <v>136</v>
      </c>
      <c r="L18" s="16" t="s">
        <v>136</v>
      </c>
      <c r="M18" s="16" t="s">
        <v>136</v>
      </c>
      <c r="N18" s="16" t="s">
        <v>136</v>
      </c>
      <c r="O18" s="258">
        <f>I18*'List Values'!$J$25*'List Values'!$J$26*'List Values'!$J$36/'List Values'!$J$39</f>
        <v>2.5342465753424651E-3</v>
      </c>
      <c r="P18" s="258">
        <f>J18*'List Values'!$J$25*'List Values'!$J$26*'List Values'!$J$36/'List Values'!$J$39</f>
        <v>1.8835616438356165E-3</v>
      </c>
      <c r="Q18" s="16" t="s">
        <v>136</v>
      </c>
      <c r="R18" s="16" t="s">
        <v>136</v>
      </c>
      <c r="S18" s="16">
        <f>IF(I18&gt;0, I18*$H18*'List Values'!$E$25*'Health Data'!$I$8, "N/A")</f>
        <v>3.041095890410959E-4</v>
      </c>
      <c r="T18" s="16">
        <f>IF(J18&gt;0, J18*$H18*'List Values'!$E$25*'Health Data'!$I$8, "N/A")</f>
        <v>2.2602739726027398E-4</v>
      </c>
      <c r="U18" s="16" t="s">
        <v>136</v>
      </c>
      <c r="V18" s="16" t="s">
        <v>136</v>
      </c>
      <c r="W18" s="35">
        <v>7</v>
      </c>
      <c r="X18" s="125" t="s">
        <v>136</v>
      </c>
      <c r="Y18" s="59"/>
      <c r="Z18" s="126" t="s">
        <v>197</v>
      </c>
      <c r="AB18" s="29"/>
      <c r="AC18" s="29"/>
      <c r="AD18" s="29"/>
      <c r="AE18" s="27"/>
      <c r="AF18" s="29"/>
      <c r="AG18" s="33"/>
      <c r="AI18" s="33"/>
      <c r="AJ18" s="424"/>
      <c r="AK18" s="424"/>
      <c r="AL18" s="423"/>
    </row>
    <row r="19" spans="1:38">
      <c r="B19" s="123">
        <v>4</v>
      </c>
      <c r="C19" s="59" t="s">
        <v>201</v>
      </c>
      <c r="D19" s="49" t="s">
        <v>88</v>
      </c>
      <c r="E19" s="127" t="s">
        <v>133</v>
      </c>
      <c r="F19" s="127">
        <v>250</v>
      </c>
      <c r="G19" s="127">
        <v>250</v>
      </c>
      <c r="H19" s="213">
        <f t="shared" si="0"/>
        <v>0.22831050228310501</v>
      </c>
      <c r="I19" s="275">
        <v>0.84</v>
      </c>
      <c r="J19" s="275">
        <v>1.1000000000000001E-3</v>
      </c>
      <c r="K19" s="16" t="s">
        <v>136</v>
      </c>
      <c r="L19" s="16" t="s">
        <v>136</v>
      </c>
      <c r="M19" s="16" t="s">
        <v>136</v>
      </c>
      <c r="N19" s="16" t="s">
        <v>136</v>
      </c>
      <c r="O19" s="258">
        <f>I19*'List Values'!$J$25*'List Values'!$J$26*'List Values'!$J$36/'List Values'!$J$39</f>
        <v>0.19178082191780821</v>
      </c>
      <c r="P19" s="258">
        <f>J19*'List Values'!$J$25*'List Values'!$J$26*'List Values'!$J$36/'List Values'!$J$39</f>
        <v>2.511415525114155E-4</v>
      </c>
      <c r="Q19" s="16" t="s">
        <v>136</v>
      </c>
      <c r="R19" s="16" t="s">
        <v>136</v>
      </c>
      <c r="S19" s="16">
        <f>IF(I19&gt;0, I19*$H19*'List Values'!$E$25*'Health Data'!$I$8, "N/A")</f>
        <v>2.3013698630136987E-2</v>
      </c>
      <c r="T19" s="16">
        <f>IF(J19&gt;0, J19*$H19*'List Values'!$E$25*'Health Data'!$I$8, "N/A")</f>
        <v>3.0136986301369865E-5</v>
      </c>
      <c r="U19" s="16" t="s">
        <v>136</v>
      </c>
      <c r="V19" s="16" t="s">
        <v>136</v>
      </c>
      <c r="W19" s="35">
        <v>7</v>
      </c>
      <c r="X19" s="125" t="s">
        <v>136</v>
      </c>
      <c r="Y19" s="59"/>
      <c r="Z19" s="126" t="s">
        <v>197</v>
      </c>
      <c r="AB19" s="29"/>
      <c r="AC19" s="47"/>
      <c r="AD19" s="47"/>
      <c r="AE19" s="27"/>
      <c r="AF19" s="29"/>
      <c r="AG19" s="34"/>
      <c r="AI19" s="34"/>
      <c r="AJ19" s="424"/>
      <c r="AK19" s="424"/>
      <c r="AL19" s="423"/>
    </row>
    <row r="20" spans="1:38" ht="38.25">
      <c r="B20" s="123">
        <v>4</v>
      </c>
      <c r="C20" s="59" t="s">
        <v>201</v>
      </c>
      <c r="D20" s="109" t="s">
        <v>85</v>
      </c>
      <c r="E20" s="127" t="s">
        <v>137</v>
      </c>
      <c r="F20" s="127">
        <v>250</v>
      </c>
      <c r="G20" s="127">
        <v>250</v>
      </c>
      <c r="H20" s="213">
        <f t="shared" si="0"/>
        <v>0.22831050228310501</v>
      </c>
      <c r="I20" s="16" t="s">
        <v>136</v>
      </c>
      <c r="J20" s="16" t="s">
        <v>136</v>
      </c>
      <c r="K20" s="16">
        <v>8.8328427124746187E-2</v>
      </c>
      <c r="L20" s="16">
        <v>7.3284271247461896E-2</v>
      </c>
      <c r="M20" s="16">
        <f>IF(K20&gt;0,(0.5*K20+7.5*I17)/8,"N/A")</f>
        <v>3.0992705266952965</v>
      </c>
      <c r="N20" s="16">
        <f t="shared" ref="N20:N22" si="3">IF(L20&gt;0,(0.5*L20+7.5*J17)/8,"N/A")</f>
        <v>0.13583026695296638</v>
      </c>
      <c r="O20" s="16" t="s">
        <v>136</v>
      </c>
      <c r="P20" s="16" t="s">
        <v>136</v>
      </c>
      <c r="Q20" s="258">
        <f>M20*'List Values'!$J$25*'List Values'!$J$26*'List Values'!$J$36/'List Values'!$J$39</f>
        <v>0.70759601066102662</v>
      </c>
      <c r="R20" s="258">
        <f>N20*'List Values'!$J$25*'List Values'!$J$26*'List Values'!$J$36/'List Values'!$J$39</f>
        <v>3.1011476473279998E-2</v>
      </c>
      <c r="S20" s="16" t="s">
        <v>136</v>
      </c>
      <c r="T20" s="16" t="s">
        <v>136</v>
      </c>
      <c r="U20" s="16">
        <f>IF(K20&gt;0, M20*$H20*'List Values'!$E$25*'Health Data'!$I$8, "N/A")</f>
        <v>8.4911521279323193E-2</v>
      </c>
      <c r="V20" s="16">
        <f>IF(L20&gt;0, N20*$H20*'List Values'!$E$25*'Health Data'!$I$8, "N/A")</f>
        <v>3.7213771767935994E-3</v>
      </c>
      <c r="W20" s="125" t="s">
        <v>136</v>
      </c>
      <c r="X20" s="35">
        <v>16</v>
      </c>
      <c r="Y20" s="59"/>
      <c r="Z20" s="126" t="s">
        <v>197</v>
      </c>
      <c r="AB20" s="29"/>
      <c r="AC20" s="47"/>
      <c r="AD20" s="47"/>
      <c r="AE20" s="27"/>
      <c r="AF20" s="29"/>
      <c r="AG20" s="34"/>
      <c r="AI20" s="34"/>
      <c r="AJ20" s="424"/>
      <c r="AK20" s="424"/>
      <c r="AL20" s="423"/>
    </row>
    <row r="21" spans="1:38" ht="38.25">
      <c r="B21" s="123">
        <v>4</v>
      </c>
      <c r="C21" s="59" t="s">
        <v>201</v>
      </c>
      <c r="D21" s="49" t="s">
        <v>87</v>
      </c>
      <c r="E21" s="127" t="s">
        <v>137</v>
      </c>
      <c r="F21" s="127">
        <v>250</v>
      </c>
      <c r="G21" s="127">
        <v>250</v>
      </c>
      <c r="H21" s="213">
        <f t="shared" si="0"/>
        <v>0.22831050228310501</v>
      </c>
      <c r="I21" s="16" t="s">
        <v>136</v>
      </c>
      <c r="J21" s="16" t="s">
        <v>136</v>
      </c>
      <c r="K21" s="16">
        <v>4.227713382904344E-2</v>
      </c>
      <c r="L21" s="16">
        <v>2.0506096654409878E-2</v>
      </c>
      <c r="M21" s="16">
        <f t="shared" ref="M21:M22" si="4">IF(K21&gt;0,(0.5*K21+7.5*I18)/8,"N/A")</f>
        <v>1.3048570864315214E-2</v>
      </c>
      <c r="N21" s="16">
        <f t="shared" si="3"/>
        <v>9.016006040900618E-3</v>
      </c>
      <c r="O21" s="16" t="s">
        <v>136</v>
      </c>
      <c r="P21" s="16" t="s">
        <v>136</v>
      </c>
      <c r="Q21" s="258">
        <f>M21*'List Values'!$J$25*'List Values'!$J$26*'List Values'!$J$36/'List Values'!$J$39</f>
        <v>2.9791257681084961E-3</v>
      </c>
      <c r="R21" s="258">
        <f>N21*'List Values'!$J$25*'List Values'!$J$26*'List Values'!$J$36/'List Values'!$J$39</f>
        <v>2.0584488677855297E-3</v>
      </c>
      <c r="S21" s="16" t="s">
        <v>136</v>
      </c>
      <c r="T21" s="16" t="s">
        <v>136</v>
      </c>
      <c r="U21" s="16">
        <f>IF(K21&gt;0, M21*$H21*'List Values'!$E$25*'Health Data'!$I$8, "N/A")</f>
        <v>3.5749509217301953E-4</v>
      </c>
      <c r="V21" s="16">
        <f>IF(L21&gt;0, N21*$H21*'List Values'!$E$25*'Health Data'!$I$8, "N/A")</f>
        <v>2.4701386413426352E-4</v>
      </c>
      <c r="W21" s="125" t="s">
        <v>136</v>
      </c>
      <c r="X21" s="35">
        <v>8</v>
      </c>
      <c r="Y21" s="59"/>
      <c r="Z21" s="126" t="s">
        <v>197</v>
      </c>
      <c r="AB21" s="29"/>
      <c r="AC21" s="47"/>
      <c r="AD21" s="47"/>
      <c r="AE21" s="27"/>
      <c r="AF21" s="29"/>
      <c r="AG21" s="34"/>
      <c r="AI21" s="34"/>
      <c r="AJ21" s="424"/>
      <c r="AK21" s="424"/>
      <c r="AL21" s="423"/>
    </row>
    <row r="22" spans="1:38">
      <c r="B22" s="123">
        <v>4</v>
      </c>
      <c r="C22" s="59" t="s">
        <v>201</v>
      </c>
      <c r="D22" s="49" t="s">
        <v>88</v>
      </c>
      <c r="E22" s="127" t="s">
        <v>137</v>
      </c>
      <c r="F22" s="127">
        <v>250</v>
      </c>
      <c r="G22" s="127">
        <v>250</v>
      </c>
      <c r="H22" s="213">
        <f t="shared" si="0"/>
        <v>0.22831050228310501</v>
      </c>
      <c r="I22" s="16" t="s">
        <v>136</v>
      </c>
      <c r="J22" s="16" t="s">
        <v>136</v>
      </c>
      <c r="K22" s="16">
        <v>1.5366365036561106E-3</v>
      </c>
      <c r="L22" s="16">
        <v>7.683182518280553E-4</v>
      </c>
      <c r="M22" s="16">
        <f t="shared" si="4"/>
        <v>0.78759603978147852</v>
      </c>
      <c r="N22" s="16">
        <f t="shared" si="3"/>
        <v>1.0792698907392535E-3</v>
      </c>
      <c r="O22" s="16" t="s">
        <v>136</v>
      </c>
      <c r="P22" s="16" t="s">
        <v>136</v>
      </c>
      <c r="Q22" s="258">
        <f>M22*'List Values'!$J$25*'List Values'!$J$26*'List Values'!$J$36/'List Values'!$J$39</f>
        <v>0.17981644743869374</v>
      </c>
      <c r="R22" s="258">
        <f>N22*'List Values'!$J$25*'List Values'!$J$26*'List Values'!$J$36/'List Values'!$J$39</f>
        <v>2.4640865085371081E-4</v>
      </c>
      <c r="S22" s="16" t="s">
        <v>136</v>
      </c>
      <c r="T22" s="16" t="s">
        <v>136</v>
      </c>
      <c r="U22" s="16">
        <f>IF(K22&gt;0, M22*$H22*'List Values'!$E$25*'Health Data'!$I$8, "N/A")</f>
        <v>2.1577973692643245E-2</v>
      </c>
      <c r="V22" s="16">
        <f>IF(L22&gt;0, N22*$H22*'List Values'!$E$25*'Health Data'!$I$8, "N/A")</f>
        <v>2.9569038102445299E-5</v>
      </c>
      <c r="W22" s="125" t="s">
        <v>136</v>
      </c>
      <c r="X22" s="35">
        <v>1</v>
      </c>
      <c r="Y22" s="59"/>
      <c r="Z22" s="126" t="s">
        <v>197</v>
      </c>
      <c r="AB22" s="29"/>
      <c r="AC22" s="47"/>
      <c r="AD22" s="47"/>
      <c r="AE22" s="27"/>
      <c r="AF22" s="29"/>
      <c r="AG22" s="34"/>
      <c r="AI22" s="34"/>
      <c r="AJ22" s="424"/>
      <c r="AK22" s="424"/>
      <c r="AL22" s="423"/>
    </row>
    <row r="23" spans="1:38" ht="63.75">
      <c r="B23" s="123">
        <v>5</v>
      </c>
      <c r="C23" s="59" t="s">
        <v>64</v>
      </c>
      <c r="D23" s="109" t="s">
        <v>85</v>
      </c>
      <c r="E23" s="125" t="s">
        <v>133</v>
      </c>
      <c r="F23" s="125">
        <v>250</v>
      </c>
      <c r="G23" s="125">
        <v>250</v>
      </c>
      <c r="H23" s="213">
        <f t="shared" si="0"/>
        <v>0.22831050228310501</v>
      </c>
      <c r="I23" s="16">
        <v>3.1699999999999999E-2</v>
      </c>
      <c r="J23" s="16">
        <v>1.4704861111111112E-3</v>
      </c>
      <c r="K23" s="16" t="s">
        <v>136</v>
      </c>
      <c r="L23" s="16" t="s">
        <v>136</v>
      </c>
      <c r="M23" s="16" t="s">
        <v>136</v>
      </c>
      <c r="N23" s="16" t="s">
        <v>136</v>
      </c>
      <c r="O23" s="259">
        <f>I23*'List Values'!$J$25*'List Values'!$J$26*'List Values'!$J$36/'List Values'!$J$39</f>
        <v>7.2374429223744296E-3</v>
      </c>
      <c r="P23" s="259">
        <f>J23*'List Values'!$J$25*'List Values'!$J$26*'List Values'!$J$36/'List Values'!$J$39</f>
        <v>3.3572742262810755E-4</v>
      </c>
      <c r="Q23" s="16" t="s">
        <v>136</v>
      </c>
      <c r="R23" s="16" t="s">
        <v>136</v>
      </c>
      <c r="S23" s="35">
        <f>IF(I23&gt;0, I23*$H23*'List Values'!$E$25*'Health Data'!$I$8, "N/A")</f>
        <v>8.6849315068493135E-4</v>
      </c>
      <c r="T23" s="35">
        <f>IF(J23&gt;0, J23*$H23*'List Values'!$E$25*'Health Data'!$I$8, "N/A")</f>
        <v>4.0287290715372906E-5</v>
      </c>
      <c r="U23" s="16" t="s">
        <v>136</v>
      </c>
      <c r="V23" s="16" t="s">
        <v>136</v>
      </c>
      <c r="W23" s="35">
        <v>95</v>
      </c>
      <c r="X23" s="125" t="s">
        <v>136</v>
      </c>
      <c r="Y23" s="59" t="s">
        <v>200</v>
      </c>
      <c r="Z23" s="126" t="s">
        <v>197</v>
      </c>
      <c r="AB23" s="29"/>
      <c r="AC23" s="47"/>
      <c r="AD23" s="47"/>
      <c r="AE23" s="27"/>
      <c r="AF23" s="29"/>
      <c r="AG23" s="34"/>
      <c r="AI23" s="34"/>
      <c r="AJ23" s="424"/>
      <c r="AK23" s="424"/>
      <c r="AL23" s="423"/>
    </row>
    <row r="24" spans="1:38" ht="13.5" thickBot="1">
      <c r="B24" s="172">
        <v>5</v>
      </c>
      <c r="C24" s="176" t="s">
        <v>64</v>
      </c>
      <c r="D24" s="173" t="s">
        <v>88</v>
      </c>
      <c r="E24" s="240" t="s">
        <v>133</v>
      </c>
      <c r="F24" s="174" t="s">
        <v>202</v>
      </c>
      <c r="G24" s="174" t="s">
        <v>202</v>
      </c>
      <c r="H24" s="214" t="str">
        <f t="shared" si="0"/>
        <v>N/A</v>
      </c>
      <c r="I24" s="174" t="s">
        <v>202</v>
      </c>
      <c r="J24" s="174" t="s">
        <v>202</v>
      </c>
      <c r="K24" s="174" t="s">
        <v>202</v>
      </c>
      <c r="L24" s="174" t="s">
        <v>202</v>
      </c>
      <c r="M24" s="174" t="s">
        <v>136</v>
      </c>
      <c r="N24" s="174" t="s">
        <v>136</v>
      </c>
      <c r="O24" s="174" t="s">
        <v>136</v>
      </c>
      <c r="P24" s="174" t="s">
        <v>136</v>
      </c>
      <c r="Q24" s="174" t="s">
        <v>136</v>
      </c>
      <c r="R24" s="174" t="s">
        <v>136</v>
      </c>
      <c r="S24" s="174" t="s">
        <v>136</v>
      </c>
      <c r="T24" s="174" t="s">
        <v>136</v>
      </c>
      <c r="U24" s="174" t="s">
        <v>136</v>
      </c>
      <c r="V24" s="174" t="s">
        <v>136</v>
      </c>
      <c r="W24" s="175" t="s">
        <v>202</v>
      </c>
      <c r="X24" s="175" t="s">
        <v>202</v>
      </c>
      <c r="Y24" s="176"/>
      <c r="Z24" s="177" t="s">
        <v>197</v>
      </c>
      <c r="AB24" s="29"/>
      <c r="AC24" s="47"/>
      <c r="AD24" s="47"/>
      <c r="AE24" s="27"/>
      <c r="AF24" s="29"/>
      <c r="AG24" s="28"/>
      <c r="AI24" s="34"/>
      <c r="AJ24" s="424"/>
      <c r="AK24" s="424"/>
      <c r="AL24" s="423"/>
    </row>
    <row r="25" spans="1:38" ht="15">
      <c r="A25" s="73"/>
      <c r="S25" s="12"/>
      <c r="Y25" s="15"/>
      <c r="Z25" s="13"/>
      <c r="AA25" s="13"/>
      <c r="AB25" s="13"/>
    </row>
    <row r="26" spans="1:38" ht="15">
      <c r="A26" s="73"/>
      <c r="S26" s="12"/>
      <c r="Y26" s="15"/>
      <c r="Z26" s="13"/>
      <c r="AA26" s="13"/>
      <c r="AB26" s="13"/>
    </row>
    <row r="27" spans="1:38">
      <c r="C27" s="14"/>
      <c r="S27" s="12"/>
      <c r="Y27" s="15"/>
      <c r="Z27" s="15"/>
    </row>
    <row r="28" spans="1:38">
      <c r="C28" s="14"/>
    </row>
    <row r="29" spans="1:38">
      <c r="C29" s="14"/>
    </row>
    <row r="31" spans="1:38">
      <c r="Y31" s="15"/>
      <c r="Z31" s="15"/>
    </row>
    <row r="32" spans="1:38">
      <c r="Y32" s="15"/>
      <c r="Z32" s="15"/>
    </row>
    <row r="33" spans="25:26">
      <c r="Y33" s="15"/>
      <c r="Z33" s="15"/>
    </row>
    <row r="34" spans="25:26">
      <c r="Y34" s="15"/>
      <c r="Z34" s="15"/>
    </row>
    <row r="35" spans="25:26">
      <c r="Y35" s="15"/>
      <c r="Z35" s="15"/>
    </row>
    <row r="36" spans="25:26">
      <c r="Y36" s="15"/>
      <c r="Z36" s="15"/>
    </row>
    <row r="37" spans="25:26">
      <c r="Y37" s="15"/>
      <c r="Z37" s="15"/>
    </row>
  </sheetData>
  <autoFilter ref="B5:AB24" xr:uid="{DF55C41C-CB75-4CC6-8CF8-B72C31F8B4B7}">
    <sortState xmlns:xlrd2="http://schemas.microsoft.com/office/spreadsheetml/2017/richdata2" ref="B8:AF24">
      <sortCondition descending="1" ref="AF5:AF24"/>
    </sortState>
  </autoFilter>
  <mergeCells count="27">
    <mergeCell ref="D3:D5"/>
    <mergeCell ref="E3:E5"/>
    <mergeCell ref="C3:C5"/>
    <mergeCell ref="B3:B5"/>
    <mergeCell ref="AL4:AL6"/>
    <mergeCell ref="AJ4:AJ6"/>
    <mergeCell ref="S4:T4"/>
    <mergeCell ref="O3:P3"/>
    <mergeCell ref="O4:P4"/>
    <mergeCell ref="Q3:R3"/>
    <mergeCell ref="Q4:R4"/>
    <mergeCell ref="AL18:AL24"/>
    <mergeCell ref="AJ18:AJ24"/>
    <mergeCell ref="AK18:AK24"/>
    <mergeCell ref="AK4:AK6"/>
    <mergeCell ref="F3:G3"/>
    <mergeCell ref="F4:G4"/>
    <mergeCell ref="I3:J3"/>
    <mergeCell ref="M3:N3"/>
    <mergeCell ref="H3:H5"/>
    <mergeCell ref="S3:T3"/>
    <mergeCell ref="K3:L3"/>
    <mergeCell ref="K4:L4"/>
    <mergeCell ref="U3:V3"/>
    <mergeCell ref="U4:V4"/>
    <mergeCell ref="I4:J4"/>
    <mergeCell ref="M4:N4"/>
  </mergeCells>
  <conditionalFormatting sqref="I9:J23">
    <cfRule type="cellIs" dxfId="11" priority="40" operator="lessThan">
      <formula>0.01</formula>
    </cfRule>
    <cfRule type="cellIs" dxfId="10" priority="41" operator="between">
      <formula>0.01</formula>
      <formula>1</formula>
    </cfRule>
    <cfRule type="cellIs" dxfId="9" priority="42" operator="greaterThanOrEqual">
      <formula>1</formula>
    </cfRule>
  </conditionalFormatting>
  <conditionalFormatting sqref="I6:V8 K9:R11 U9:V11 F24:G24">
    <cfRule type="cellIs" dxfId="8" priority="64" operator="lessThan">
      <formula>0.01</formula>
    </cfRule>
    <cfRule type="cellIs" dxfId="7" priority="65" operator="between">
      <formula>0.01</formula>
      <formula>1</formula>
    </cfRule>
    <cfRule type="cellIs" dxfId="6" priority="66" operator="greaterThanOrEqual">
      <formula>1</formula>
    </cfRule>
  </conditionalFormatting>
  <conditionalFormatting sqref="I24:V24">
    <cfRule type="cellIs" dxfId="5" priority="58" operator="lessThan">
      <formula>0.01</formula>
    </cfRule>
    <cfRule type="cellIs" dxfId="4" priority="59" operator="between">
      <formula>0.01</formula>
      <formula>1</formula>
    </cfRule>
    <cfRule type="cellIs" dxfId="3" priority="60" operator="greaterThanOrEqual">
      <formula>1</formula>
    </cfRule>
  </conditionalFormatting>
  <conditionalFormatting sqref="K12:V23">
    <cfRule type="cellIs" dxfId="2" priority="4" operator="lessThan">
      <formula>0.01</formula>
    </cfRule>
    <cfRule type="cellIs" dxfId="1" priority="5" operator="between">
      <formula>0.01</formula>
      <formula>1</formula>
    </cfRule>
    <cfRule type="cellIs" dxfId="0" priority="6" operator="greaterThanOrEqual">
      <formula>1</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E2DC-4EE0-4CF0-B381-0DF510B873A9}">
  <dimension ref="A1:M41"/>
  <sheetViews>
    <sheetView workbookViewId="0"/>
  </sheetViews>
  <sheetFormatPr defaultRowHeight="15"/>
  <cols>
    <col min="2" max="2" width="57.140625" style="107" customWidth="1"/>
    <col min="5" max="5" width="43.140625" bestFit="1" customWidth="1"/>
    <col min="8" max="8" width="37.140625" customWidth="1"/>
    <col min="9" max="9" width="11.42578125" customWidth="1"/>
    <col min="12" max="12" width="48.42578125" customWidth="1"/>
  </cols>
  <sheetData>
    <row r="1" spans="1:13" ht="15.75" thickBot="1">
      <c r="B1" s="160" t="s">
        <v>203</v>
      </c>
      <c r="E1" s="61" t="s">
        <v>204</v>
      </c>
    </row>
    <row r="2" spans="1:13" ht="25.5">
      <c r="A2" s="26"/>
      <c r="B2" s="161" t="s">
        <v>32</v>
      </c>
      <c r="E2" s="64" t="s">
        <v>197</v>
      </c>
    </row>
    <row r="3" spans="1:13" ht="26.25" thickBot="1">
      <c r="A3" s="26"/>
      <c r="B3" s="162" t="s">
        <v>138</v>
      </c>
      <c r="E3" s="65" t="s">
        <v>205</v>
      </c>
    </row>
    <row r="4" spans="1:13" ht="26.25" thickBot="1">
      <c r="A4" s="26"/>
      <c r="B4" s="162" t="s">
        <v>39</v>
      </c>
    </row>
    <row r="5" spans="1:13">
      <c r="A5" s="26"/>
      <c r="B5" s="162" t="s">
        <v>201</v>
      </c>
      <c r="E5" s="60" t="s">
        <v>206</v>
      </c>
    </row>
    <row r="6" spans="1:13" ht="15.75" thickBot="1">
      <c r="A6" s="26"/>
      <c r="B6" s="163" t="s">
        <v>64</v>
      </c>
      <c r="E6" s="64">
        <v>10</v>
      </c>
      <c r="H6" s="104"/>
    </row>
    <row r="7" spans="1:13">
      <c r="A7" s="26"/>
      <c r="B7" s="27"/>
      <c r="E7" s="64">
        <v>25</v>
      </c>
      <c r="H7" s="61" t="s">
        <v>207</v>
      </c>
    </row>
    <row r="8" spans="1:13">
      <c r="A8" s="26"/>
      <c r="B8" s="27"/>
      <c r="E8" s="64">
        <v>50</v>
      </c>
      <c r="H8" s="62" t="s">
        <v>95</v>
      </c>
    </row>
    <row r="9" spans="1:13">
      <c r="A9" s="26"/>
      <c r="B9" s="27"/>
      <c r="E9" s="64">
        <v>1000</v>
      </c>
      <c r="H9" s="62" t="s">
        <v>97</v>
      </c>
    </row>
    <row r="10" spans="1:13" ht="15.75" thickBot="1">
      <c r="A10" s="26"/>
      <c r="B10" s="27"/>
      <c r="E10" s="65">
        <v>10000</v>
      </c>
      <c r="H10" s="63" t="s">
        <v>88</v>
      </c>
      <c r="L10" s="14"/>
    </row>
    <row r="11" spans="1:13" ht="15.75" thickBot="1">
      <c r="A11" s="26"/>
      <c r="B11" s="27"/>
    </row>
    <row r="12" spans="1:13">
      <c r="A12" s="26"/>
      <c r="B12" s="27"/>
      <c r="E12" s="61" t="s">
        <v>208</v>
      </c>
    </row>
    <row r="13" spans="1:13">
      <c r="A13" s="26"/>
      <c r="B13" s="27"/>
      <c r="E13" s="64" t="s">
        <v>133</v>
      </c>
      <c r="I13" s="105"/>
      <c r="J13" s="105"/>
      <c r="K13" s="105"/>
      <c r="M13" s="27"/>
    </row>
    <row r="14" spans="1:13" ht="15.75" thickBot="1">
      <c r="B14" s="27"/>
      <c r="E14" s="65" t="s">
        <v>137</v>
      </c>
      <c r="H14" s="105" t="s">
        <v>4</v>
      </c>
      <c r="I14" s="105"/>
      <c r="J14" s="105"/>
      <c r="K14" s="105"/>
    </row>
    <row r="15" spans="1:13" ht="15.75" thickBot="1">
      <c r="A15" s="26"/>
      <c r="B15" s="27"/>
      <c r="H15" s="105"/>
      <c r="I15" s="105"/>
      <c r="J15" s="105"/>
    </row>
    <row r="16" spans="1:13" ht="15.75" thickBot="1">
      <c r="A16" s="26"/>
      <c r="B16" s="27"/>
      <c r="E16" s="60" t="s">
        <v>209</v>
      </c>
      <c r="H16" s="226" t="s">
        <v>210</v>
      </c>
      <c r="I16" s="207">
        <v>0.1</v>
      </c>
      <c r="J16" s="164" t="s">
        <v>211</v>
      </c>
      <c r="K16" s="105"/>
    </row>
    <row r="17" spans="1:12">
      <c r="A17" s="26"/>
      <c r="B17" s="27"/>
      <c r="E17" s="197" t="s">
        <v>212</v>
      </c>
      <c r="J17" s="105"/>
    </row>
    <row r="18" spans="1:12">
      <c r="A18" s="26"/>
      <c r="B18" s="27"/>
      <c r="E18" s="64" t="s">
        <v>213</v>
      </c>
      <c r="H18" s="124"/>
      <c r="I18" s="124"/>
      <c r="J18" s="105"/>
    </row>
    <row r="19" spans="1:12">
      <c r="A19" s="26"/>
      <c r="B19" s="27"/>
      <c r="E19" s="64" t="s">
        <v>214</v>
      </c>
      <c r="H19" s="105"/>
    </row>
    <row r="20" spans="1:12">
      <c r="A20" s="26"/>
      <c r="B20" s="27"/>
      <c r="E20" s="64" t="s">
        <v>215</v>
      </c>
      <c r="H20" s="105"/>
    </row>
    <row r="21" spans="1:12" ht="15.75" thickBot="1">
      <c r="A21" s="26"/>
      <c r="B21" s="27"/>
      <c r="E21" s="64" t="s">
        <v>216</v>
      </c>
      <c r="H21" s="105"/>
      <c r="I21" s="105"/>
      <c r="J21" s="105"/>
      <c r="K21" s="105"/>
    </row>
    <row r="22" spans="1:12" ht="15.75" thickBot="1">
      <c r="B22" s="27"/>
      <c r="E22" s="65" t="s">
        <v>217</v>
      </c>
      <c r="H22" s="227" t="s">
        <v>218</v>
      </c>
      <c r="I22" s="228" t="s">
        <v>219</v>
      </c>
      <c r="J22" s="228" t="s">
        <v>220</v>
      </c>
      <c r="K22" s="229" t="s">
        <v>221</v>
      </c>
      <c r="L22" s="14"/>
    </row>
    <row r="23" spans="1:12" ht="15.75" thickBot="1">
      <c r="B23" s="27"/>
      <c r="H23" s="230" t="s">
        <v>222</v>
      </c>
      <c r="I23" s="224" t="s">
        <v>223</v>
      </c>
      <c r="J23" s="224">
        <v>8</v>
      </c>
      <c r="K23" s="231" t="s">
        <v>224</v>
      </c>
      <c r="L23" s="14"/>
    </row>
    <row r="24" spans="1:12">
      <c r="B24" s="27"/>
      <c r="E24" s="61" t="s">
        <v>225</v>
      </c>
      <c r="H24" s="230" t="s">
        <v>226</v>
      </c>
      <c r="I24" s="224" t="s">
        <v>227</v>
      </c>
      <c r="J24" s="224">
        <v>8</v>
      </c>
      <c r="K24" s="231" t="s">
        <v>224</v>
      </c>
    </row>
    <row r="25" spans="1:12" ht="15.75" thickBot="1">
      <c r="B25" s="27"/>
      <c r="E25" s="65">
        <v>1.5</v>
      </c>
      <c r="H25" s="230" t="s">
        <v>222</v>
      </c>
      <c r="I25" s="224" t="s">
        <v>223</v>
      </c>
      <c r="J25" s="224">
        <v>8</v>
      </c>
      <c r="K25" s="231" t="s">
        <v>224</v>
      </c>
    </row>
    <row r="26" spans="1:12">
      <c r="B26" s="27"/>
      <c r="H26" s="230" t="s">
        <v>228</v>
      </c>
      <c r="I26" s="224" t="s">
        <v>229</v>
      </c>
      <c r="J26" s="224">
        <v>250</v>
      </c>
      <c r="K26" s="231" t="s">
        <v>230</v>
      </c>
    </row>
    <row r="27" spans="1:12">
      <c r="B27" s="27"/>
      <c r="H27" s="230" t="s">
        <v>231</v>
      </c>
      <c r="I27" s="224" t="s">
        <v>232</v>
      </c>
      <c r="J27" s="224">
        <v>1.5</v>
      </c>
      <c r="K27" s="231" t="s">
        <v>233</v>
      </c>
    </row>
    <row r="28" spans="1:12">
      <c r="H28" s="230" t="s">
        <v>234</v>
      </c>
      <c r="I28" s="224" t="s">
        <v>235</v>
      </c>
      <c r="J28" s="274">
        <f>'Health Data'!$I$8</f>
        <v>0.08</v>
      </c>
      <c r="K28" s="231" t="s">
        <v>211</v>
      </c>
    </row>
    <row r="29" spans="1:12">
      <c r="H29" s="230" t="s">
        <v>236</v>
      </c>
      <c r="I29" s="224" t="s">
        <v>237</v>
      </c>
      <c r="J29" s="224">
        <v>2000</v>
      </c>
      <c r="K29" s="231" t="s">
        <v>238</v>
      </c>
    </row>
    <row r="30" spans="1:12">
      <c r="H30" s="230" t="s">
        <v>239</v>
      </c>
      <c r="I30" s="224" t="s">
        <v>240</v>
      </c>
      <c r="J30" s="224">
        <v>50</v>
      </c>
      <c r="K30" s="231" t="s">
        <v>230</v>
      </c>
    </row>
    <row r="31" spans="1:12">
      <c r="H31" s="230" t="s">
        <v>241</v>
      </c>
      <c r="I31" s="224" t="s">
        <v>242</v>
      </c>
      <c r="J31" s="224">
        <v>400</v>
      </c>
      <c r="K31" s="231" t="s">
        <v>238</v>
      </c>
    </row>
    <row r="32" spans="1:12">
      <c r="H32" s="230" t="s">
        <v>243</v>
      </c>
      <c r="I32" s="224" t="s">
        <v>244</v>
      </c>
      <c r="J32" s="224">
        <v>1</v>
      </c>
      <c r="K32" s="231" t="s">
        <v>230</v>
      </c>
    </row>
    <row r="33" spans="8:11">
      <c r="H33" s="230" t="s">
        <v>245</v>
      </c>
      <c r="I33" s="224" t="s">
        <v>246</v>
      </c>
      <c r="J33" s="224">
        <v>8</v>
      </c>
      <c r="K33" s="231" t="s">
        <v>238</v>
      </c>
    </row>
    <row r="34" spans="8:11">
      <c r="H34" s="230" t="s">
        <v>247</v>
      </c>
      <c r="I34" s="224" t="s">
        <v>248</v>
      </c>
      <c r="J34" s="224">
        <v>3</v>
      </c>
      <c r="K34" s="231" t="s">
        <v>230</v>
      </c>
    </row>
    <row r="35" spans="8:11">
      <c r="H35" s="230" t="s">
        <v>249</v>
      </c>
      <c r="I35" s="224" t="s">
        <v>250</v>
      </c>
      <c r="J35" s="224">
        <v>24</v>
      </c>
      <c r="K35" s="231" t="s">
        <v>238</v>
      </c>
    </row>
    <row r="36" spans="8:11">
      <c r="H36" s="230" t="s">
        <v>251</v>
      </c>
      <c r="I36" s="224" t="s">
        <v>252</v>
      </c>
      <c r="J36" s="224">
        <v>40</v>
      </c>
      <c r="K36" s="231" t="s">
        <v>253</v>
      </c>
    </row>
    <row r="37" spans="8:11">
      <c r="H37" s="230" t="s">
        <v>254</v>
      </c>
      <c r="I37" s="224" t="s">
        <v>255</v>
      </c>
      <c r="J37" s="224">
        <v>31</v>
      </c>
      <c r="K37" s="231" t="s">
        <v>253</v>
      </c>
    </row>
    <row r="38" spans="8:11">
      <c r="H38" s="230" t="s">
        <v>256</v>
      </c>
      <c r="I38" s="224" t="s">
        <v>257</v>
      </c>
      <c r="J38" s="224">
        <v>78</v>
      </c>
      <c r="K38" s="231" t="s">
        <v>253</v>
      </c>
    </row>
    <row r="39" spans="8:11">
      <c r="H39" s="230" t="s">
        <v>258</v>
      </c>
      <c r="I39" s="224" t="s">
        <v>259</v>
      </c>
      <c r="J39" s="225">
        <f>24*365*J36</f>
        <v>350400</v>
      </c>
      <c r="K39" s="231" t="s">
        <v>260</v>
      </c>
    </row>
    <row r="40" spans="8:11">
      <c r="H40" s="230" t="s">
        <v>261</v>
      </c>
      <c r="I40" s="224" t="s">
        <v>262</v>
      </c>
      <c r="J40" s="225">
        <f>24*365*J37</f>
        <v>271560</v>
      </c>
      <c r="K40" s="231" t="s">
        <v>260</v>
      </c>
    </row>
    <row r="41" spans="8:11" ht="15.75" thickBot="1">
      <c r="H41" s="232" t="s">
        <v>263</v>
      </c>
      <c r="I41" s="233" t="s">
        <v>264</v>
      </c>
      <c r="J41" s="234">
        <f>J38*365*24</f>
        <v>683280</v>
      </c>
      <c r="K41" s="235" t="s">
        <v>260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2022-11-30T14:57:24+00:00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ad8da0f-3542-4e50-96c8-f1f698624e86">
      <Terms xmlns="http://schemas.microsoft.com/office/infopath/2007/PartnerControls"/>
    </lcf76f155ced4ddcb4097134ff3c332f>
    <_ip_UnifiedCompliancePolicyUIAction xmlns="http://schemas.microsoft.com/sharepoint/v3" xsi:nil="true"/>
    <e3f09c3df709400db2417a7161762d62 xmlns="4ffa91fb-a0ff-4ac5-b2db-65c790d184a4">
      <Terms xmlns="http://schemas.microsoft.com/office/infopath/2007/PartnerControls"/>
    </e3f09c3df709400db2417a7161762d62>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75238BE-2D64-4853-987D-6B9B7E56CF1A}"/>
</file>

<file path=customXml/itemProps2.xml><?xml version="1.0" encoding="utf-8"?>
<ds:datastoreItem xmlns:ds="http://schemas.openxmlformats.org/officeDocument/2006/customXml" ds:itemID="{D88A6322-431B-42B3-8890-681F3056E384}"/>
</file>

<file path=customXml/itemProps3.xml><?xml version="1.0" encoding="utf-8"?>
<ds:datastoreItem xmlns:ds="http://schemas.openxmlformats.org/officeDocument/2006/customXml" ds:itemID="{8DD58CC9-9329-4A02-A3C0-BAA3EB3880C2}"/>
</file>

<file path=customXml/itemProps4.xml><?xml version="1.0" encoding="utf-8"?>
<ds:datastoreItem xmlns:ds="http://schemas.openxmlformats.org/officeDocument/2006/customXml" ds:itemID="{F9E2C1A4-A7BD-44AE-8C65-5ED9D33B9BFD}"/>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Iris Camacho</dc:creator>
  <cp:keywords/>
  <dc:description/>
  <cp:lastModifiedBy>Sullivan, Ryan</cp:lastModifiedBy>
  <cp:revision/>
  <dcterms:created xsi:type="dcterms:W3CDTF">2014-03-17T14:32:48Z</dcterms:created>
  <dcterms:modified xsi:type="dcterms:W3CDTF">2024-11-21T15:13:22Z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