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usepa-my.sharepoint.com/personal/griffiths_charles_epa_gov/Documents/Documents/Climate Change/SC-GHG Spreadsheet/"/>
    </mc:Choice>
  </mc:AlternateContent>
  <xr:revisionPtr revIDLastSave="0" documentId="8_{1BFCEC8E-D477-462A-9C6A-347242A271D2}" xr6:coauthVersionLast="47" xr6:coauthVersionMax="47" xr10:uidLastSave="{00000000-0000-0000-0000-000000000000}"/>
  <bookViews>
    <workbookView xWindow="-96" yWindow="-96" windowWidth="23232" windowHeight="13872" xr2:uid="{6FB07AF0-6616-441E-8D92-019FC6266AB6}"/>
  </bookViews>
  <sheets>
    <sheet name="Read Me" sheetId="14" r:id="rId1"/>
    <sheet name="Technical Background" sheetId="17" r:id="rId2"/>
    <sheet name="Instructions" sheetId="1" r:id="rId3"/>
    <sheet name="Data" sheetId="2" r:id="rId4"/>
    <sheet name="Results - Constant Rate" sheetId="3" r:id="rId5"/>
    <sheet name="Example" sheetId="13" r:id="rId6"/>
    <sheet name="FAQs" sheetId="15" r:id="rId7"/>
    <sheet name="Release Notes" sheetId="16" r:id="rId8"/>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 l="1"/>
  <c r="B28" i="3"/>
  <c r="B26" i="3"/>
  <c r="B25" i="3"/>
  <c r="B24" i="3"/>
  <c r="B23" i="3"/>
  <c r="B5" i="3"/>
  <c r="C5" i="3"/>
  <c r="D5" i="3"/>
  <c r="C6" i="3"/>
  <c r="D6" i="3"/>
  <c r="B7" i="3"/>
  <c r="C7" i="3"/>
  <c r="D7" i="3"/>
  <c r="B8" i="3"/>
  <c r="C8" i="3"/>
  <c r="D8" i="3"/>
  <c r="B9" i="3"/>
  <c r="C9" i="3"/>
  <c r="D9" i="3"/>
  <c r="B10" i="3"/>
  <c r="C10" i="3"/>
  <c r="D10" i="3"/>
  <c r="B11" i="3"/>
  <c r="C11" i="3"/>
  <c r="D11" i="3"/>
  <c r="B12" i="3"/>
  <c r="C12" i="3"/>
  <c r="D12" i="3"/>
  <c r="B13" i="3"/>
  <c r="C13" i="3"/>
  <c r="D13" i="3"/>
  <c r="B14" i="3"/>
  <c r="C14" i="3"/>
  <c r="D14" i="3"/>
  <c r="B15" i="3"/>
  <c r="C15" i="3"/>
  <c r="D15" i="3"/>
  <c r="B16" i="3"/>
  <c r="C16" i="3"/>
  <c r="D16" i="3"/>
  <c r="B17" i="3"/>
  <c r="C17" i="3"/>
  <c r="D17" i="3"/>
  <c r="B18" i="3"/>
  <c r="C18" i="3"/>
  <c r="D18" i="3"/>
  <c r="B19" i="3"/>
  <c r="C19" i="3"/>
  <c r="D19" i="3"/>
  <c r="B20" i="3"/>
  <c r="C20" i="3"/>
  <c r="D20" i="3"/>
  <c r="B21" i="3"/>
  <c r="C21" i="3"/>
  <c r="D21" i="3"/>
  <c r="B22" i="3"/>
  <c r="C22" i="3"/>
  <c r="D22" i="3"/>
  <c r="C23" i="3"/>
  <c r="D23" i="3"/>
  <c r="C24" i="3"/>
  <c r="D24" i="3"/>
  <c r="C25" i="3"/>
  <c r="D25" i="3"/>
  <c r="C26" i="3"/>
  <c r="D26" i="3"/>
  <c r="B27" i="3"/>
  <c r="C27" i="3"/>
  <c r="D27" i="3"/>
  <c r="C28" i="3"/>
  <c r="D28" i="3"/>
  <c r="B29" i="3"/>
  <c r="C29" i="3"/>
  <c r="D29" i="3"/>
  <c r="B30" i="3"/>
  <c r="C30" i="3"/>
  <c r="D30" i="3"/>
  <c r="B31" i="3"/>
  <c r="C31" i="3"/>
  <c r="D31" i="3"/>
  <c r="B32" i="3"/>
  <c r="C32" i="3"/>
  <c r="D32" i="3"/>
  <c r="B33" i="3"/>
  <c r="C33" i="3"/>
  <c r="D33" i="3"/>
  <c r="B34" i="3"/>
  <c r="C34" i="3"/>
  <c r="D34" i="3"/>
  <c r="B35" i="3"/>
  <c r="C35" i="3"/>
  <c r="D35" i="3"/>
  <c r="B36" i="3"/>
  <c r="C36" i="3"/>
  <c r="D36" i="3"/>
  <c r="B37" i="3"/>
  <c r="C37" i="3"/>
  <c r="D37" i="3"/>
  <c r="B38" i="3"/>
  <c r="C38" i="3"/>
  <c r="D38" i="3"/>
  <c r="B39" i="3"/>
  <c r="C39" i="3"/>
  <c r="D39" i="3"/>
  <c r="B40" i="3"/>
  <c r="C40" i="3"/>
  <c r="D40" i="3"/>
  <c r="B41" i="3"/>
  <c r="C41" i="3"/>
  <c r="D41" i="3"/>
  <c r="B42" i="3"/>
  <c r="C42" i="3"/>
  <c r="D42" i="3"/>
  <c r="B43" i="3"/>
  <c r="C43" i="3"/>
  <c r="D43" i="3"/>
  <c r="B44" i="3"/>
  <c r="C44" i="3"/>
  <c r="D44" i="3"/>
  <c r="B45" i="3"/>
  <c r="C45" i="3"/>
  <c r="D45" i="3"/>
  <c r="B46" i="3"/>
  <c r="C46" i="3"/>
  <c r="D46" i="3"/>
  <c r="B47" i="3"/>
  <c r="C47" i="3"/>
  <c r="D47" i="3"/>
  <c r="B48" i="3"/>
  <c r="C48" i="3"/>
  <c r="D48" i="3"/>
  <c r="B49" i="3"/>
  <c r="C49" i="3"/>
  <c r="D49" i="3"/>
  <c r="B50" i="3"/>
  <c r="C50" i="3"/>
  <c r="D50" i="3"/>
  <c r="B51" i="3"/>
  <c r="C51" i="3"/>
  <c r="D51" i="3"/>
  <c r="B52" i="3"/>
  <c r="C52" i="3"/>
  <c r="D52" i="3"/>
  <c r="B53" i="3"/>
  <c r="C53" i="3"/>
  <c r="D53" i="3"/>
  <c r="B54" i="3"/>
  <c r="C54" i="3"/>
  <c r="D54" i="3"/>
  <c r="B55" i="3"/>
  <c r="C55" i="3"/>
  <c r="D55" i="3"/>
  <c r="B56" i="3"/>
  <c r="C56" i="3"/>
  <c r="D56" i="3"/>
  <c r="B57" i="3"/>
  <c r="C57" i="3"/>
  <c r="D57" i="3"/>
  <c r="B58" i="3"/>
  <c r="C58" i="3"/>
  <c r="D58" i="3"/>
  <c r="B59" i="3"/>
  <c r="C59" i="3"/>
  <c r="D59" i="3"/>
  <c r="B60" i="3"/>
  <c r="C60" i="3"/>
  <c r="D60" i="3"/>
  <c r="B61" i="3"/>
  <c r="C61" i="3"/>
  <c r="D61" i="3"/>
  <c r="B62" i="3"/>
  <c r="C62" i="3"/>
  <c r="D62" i="3"/>
  <c r="B63" i="3"/>
  <c r="C63" i="3"/>
  <c r="D63" i="3"/>
  <c r="B64" i="3"/>
  <c r="C64" i="3"/>
  <c r="D64" i="3"/>
  <c r="B65" i="3"/>
  <c r="C65" i="3"/>
  <c r="D65" i="3"/>
  <c r="E10" i="2"/>
  <c r="E11" i="2"/>
  <c r="E12" i="2"/>
  <c r="E13" i="2"/>
  <c r="E14" i="2"/>
  <c r="E15" i="2"/>
  <c r="E16" i="2"/>
  <c r="E17" i="2"/>
  <c r="E18" i="2"/>
  <c r="E19" i="2"/>
  <c r="E20" i="2"/>
  <c r="E21" i="2"/>
  <c r="E22" i="2"/>
  <c r="E23" i="2"/>
  <c r="E24" i="2"/>
  <c r="E25" i="2"/>
  <c r="E26" i="2"/>
  <c r="E27" i="2"/>
  <c r="E29" i="2"/>
  <c r="E30" i="2"/>
  <c r="E31" i="2"/>
  <c r="E32" i="2"/>
  <c r="E33" i="2"/>
  <c r="E34" i="2"/>
  <c r="E35" i="2"/>
  <c r="E36" i="2"/>
  <c r="E37" i="2"/>
  <c r="E38" i="2"/>
  <c r="E39" i="2"/>
  <c r="E40" i="2"/>
  <c r="E41" i="2"/>
  <c r="E42" i="2"/>
  <c r="E43" i="2"/>
  <c r="E44" i="2"/>
  <c r="E45" i="2"/>
  <c r="E46" i="2"/>
  <c r="E47" i="2"/>
  <c r="E48" i="2"/>
  <c r="E49" i="2"/>
  <c r="E50" i="2"/>
  <c r="E51" i="2"/>
  <c r="E52" i="2"/>
  <c r="E53" i="2"/>
  <c r="E54" i="2"/>
  <c r="E55" i="2"/>
  <c r="E56" i="2"/>
  <c r="E57" i="2"/>
  <c r="E58" i="2"/>
  <c r="E59" i="2"/>
  <c r="E60" i="2"/>
  <c r="E61" i="2"/>
  <c r="E62" i="2"/>
  <c r="E63" i="2"/>
  <c r="E64" i="2"/>
  <c r="E65" i="2"/>
  <c r="E66" i="2"/>
  <c r="E67" i="2"/>
  <c r="E68" i="2"/>
  <c r="E69" i="2"/>
  <c r="E9" i="2"/>
  <c r="E28" i="2" l="1"/>
  <c r="J13" i="2"/>
  <c r="J14" i="2"/>
  <c r="J15" i="2"/>
  <c r="J16" i="2"/>
  <c r="J17" i="2"/>
  <c r="J18" i="2"/>
  <c r="J19" i="2"/>
  <c r="J20" i="2"/>
  <c r="J21" i="2"/>
  <c r="J22" i="2"/>
  <c r="J23" i="2"/>
  <c r="J24" i="2"/>
  <c r="J25" i="2"/>
  <c r="J26" i="2"/>
  <c r="J27" i="2"/>
  <c r="G9" i="2"/>
  <c r="L7" i="3" s="1"/>
  <c r="G10" i="2"/>
  <c r="L8" i="3" s="1"/>
  <c r="G11" i="2"/>
  <c r="L9" i="3" s="1"/>
  <c r="G12" i="2"/>
  <c r="L10" i="3" s="1"/>
  <c r="G13" i="2"/>
  <c r="L11" i="3" s="1"/>
  <c r="G14" i="2"/>
  <c r="L12" i="3" s="1"/>
  <c r="G15" i="2"/>
  <c r="L13" i="3" s="1"/>
  <c r="G16" i="2"/>
  <c r="L14" i="3" s="1"/>
  <c r="G17" i="2"/>
  <c r="L15" i="3" s="1"/>
  <c r="G18" i="2"/>
  <c r="L16" i="3" s="1"/>
  <c r="G19" i="2"/>
  <c r="L17" i="3" s="1"/>
  <c r="G20" i="2"/>
  <c r="L18" i="3" s="1"/>
  <c r="G21" i="2"/>
  <c r="L19" i="3" s="1"/>
  <c r="G22" i="2"/>
  <c r="L20" i="3" s="1"/>
  <c r="G4" i="2"/>
  <c r="O69" i="2" l="1"/>
  <c r="N69" i="2"/>
  <c r="M69" i="2"/>
  <c r="L69" i="2"/>
  <c r="K69" i="2"/>
  <c r="J69" i="2"/>
  <c r="I69" i="2"/>
  <c r="H69" i="2"/>
  <c r="G69" i="2"/>
  <c r="O68" i="2"/>
  <c r="N68" i="2"/>
  <c r="M68" i="2"/>
  <c r="L68" i="2"/>
  <c r="K68" i="2"/>
  <c r="J68" i="2"/>
  <c r="I68" i="2"/>
  <c r="H68" i="2"/>
  <c r="G68" i="2"/>
  <c r="O67" i="2"/>
  <c r="N67" i="2"/>
  <c r="M67" i="2"/>
  <c r="L67" i="2"/>
  <c r="K67" i="2"/>
  <c r="J67" i="2"/>
  <c r="I67" i="2"/>
  <c r="H67" i="2"/>
  <c r="G67" i="2"/>
  <c r="O66" i="2"/>
  <c r="N66" i="2"/>
  <c r="M66" i="2"/>
  <c r="L66" i="2"/>
  <c r="K66" i="2"/>
  <c r="J66" i="2"/>
  <c r="I66" i="2"/>
  <c r="H66" i="2"/>
  <c r="G66" i="2"/>
  <c r="O65" i="2"/>
  <c r="N65" i="2"/>
  <c r="M65" i="2"/>
  <c r="L65" i="2"/>
  <c r="K65" i="2"/>
  <c r="J65" i="2"/>
  <c r="I65" i="2"/>
  <c r="H65" i="2"/>
  <c r="G65" i="2"/>
  <c r="O64" i="2"/>
  <c r="N64" i="2"/>
  <c r="M64" i="2"/>
  <c r="L64" i="2"/>
  <c r="K64" i="2"/>
  <c r="J64" i="2"/>
  <c r="I64" i="2"/>
  <c r="H64" i="2"/>
  <c r="G64" i="2"/>
  <c r="O63" i="2"/>
  <c r="N63" i="2"/>
  <c r="M63" i="2"/>
  <c r="L63" i="2"/>
  <c r="K63" i="2"/>
  <c r="J63" i="2"/>
  <c r="I63" i="2"/>
  <c r="H63" i="2"/>
  <c r="G63" i="2"/>
  <c r="O62" i="2"/>
  <c r="N62" i="2"/>
  <c r="M62" i="2"/>
  <c r="L62" i="2"/>
  <c r="K62" i="2"/>
  <c r="J62" i="2"/>
  <c r="I62" i="2"/>
  <c r="H62" i="2"/>
  <c r="G62" i="2"/>
  <c r="O61" i="2"/>
  <c r="N61" i="2"/>
  <c r="M61" i="2"/>
  <c r="L61" i="2"/>
  <c r="K61" i="2"/>
  <c r="J61" i="2"/>
  <c r="I61" i="2"/>
  <c r="H61" i="2"/>
  <c r="G61" i="2"/>
  <c r="O60" i="2"/>
  <c r="N60" i="2"/>
  <c r="M60" i="2"/>
  <c r="L60" i="2"/>
  <c r="K60" i="2"/>
  <c r="J60" i="2"/>
  <c r="I60" i="2"/>
  <c r="H60" i="2"/>
  <c r="G60" i="2"/>
  <c r="O59" i="2"/>
  <c r="N59" i="2"/>
  <c r="M59" i="2"/>
  <c r="L59" i="2"/>
  <c r="K59" i="2"/>
  <c r="J59" i="2"/>
  <c r="I59" i="2"/>
  <c r="H59" i="2"/>
  <c r="G59" i="2"/>
  <c r="O58" i="2"/>
  <c r="N58" i="2"/>
  <c r="M58" i="2"/>
  <c r="L58" i="2"/>
  <c r="K58" i="2"/>
  <c r="J58" i="2"/>
  <c r="I58" i="2"/>
  <c r="H58" i="2"/>
  <c r="G58" i="2"/>
  <c r="O57" i="2"/>
  <c r="N57" i="2"/>
  <c r="M57" i="2"/>
  <c r="L57" i="2"/>
  <c r="K57" i="2"/>
  <c r="J57" i="2"/>
  <c r="I57" i="2"/>
  <c r="H57" i="2"/>
  <c r="G57" i="2"/>
  <c r="O56" i="2"/>
  <c r="N56" i="2"/>
  <c r="M56" i="2"/>
  <c r="L56" i="2"/>
  <c r="K56" i="2"/>
  <c r="J56" i="2"/>
  <c r="I56" i="2"/>
  <c r="H56" i="2"/>
  <c r="G56" i="2"/>
  <c r="O55" i="2"/>
  <c r="N55" i="2"/>
  <c r="M55" i="2"/>
  <c r="L55" i="2"/>
  <c r="K55" i="2"/>
  <c r="J55" i="2"/>
  <c r="I55" i="2"/>
  <c r="H55" i="2"/>
  <c r="G55" i="2"/>
  <c r="O54" i="2"/>
  <c r="N54" i="2"/>
  <c r="M54" i="2"/>
  <c r="L54" i="2"/>
  <c r="K54" i="2"/>
  <c r="J54" i="2"/>
  <c r="I54" i="2"/>
  <c r="H54" i="2"/>
  <c r="G54" i="2"/>
  <c r="O53" i="2"/>
  <c r="N53" i="2"/>
  <c r="M53" i="2"/>
  <c r="L53" i="2"/>
  <c r="K53" i="2"/>
  <c r="J53" i="2"/>
  <c r="I53" i="2"/>
  <c r="H53" i="2"/>
  <c r="G53" i="2"/>
  <c r="O52" i="2"/>
  <c r="N52" i="2"/>
  <c r="M52" i="2"/>
  <c r="L52" i="2"/>
  <c r="K52" i="2"/>
  <c r="J52" i="2"/>
  <c r="I52" i="2"/>
  <c r="H52" i="2"/>
  <c r="G52" i="2"/>
  <c r="O51" i="2"/>
  <c r="N51" i="2"/>
  <c r="M51" i="2"/>
  <c r="L51" i="2"/>
  <c r="K51" i="2"/>
  <c r="J51" i="2"/>
  <c r="I51" i="2"/>
  <c r="H51" i="2"/>
  <c r="G51" i="2"/>
  <c r="O50" i="2"/>
  <c r="N50" i="2"/>
  <c r="M50" i="2"/>
  <c r="L50" i="2"/>
  <c r="K50" i="2"/>
  <c r="J50" i="2"/>
  <c r="I50" i="2"/>
  <c r="H50" i="2"/>
  <c r="G50" i="2"/>
  <c r="O49" i="2"/>
  <c r="N49" i="2"/>
  <c r="M49" i="2"/>
  <c r="L49" i="2"/>
  <c r="K49" i="2"/>
  <c r="J49" i="2"/>
  <c r="I49" i="2"/>
  <c r="H49" i="2"/>
  <c r="G49" i="2"/>
  <c r="O48" i="2"/>
  <c r="N48" i="2"/>
  <c r="M48" i="2"/>
  <c r="L48" i="2"/>
  <c r="K48" i="2"/>
  <c r="J48" i="2"/>
  <c r="I48" i="2"/>
  <c r="H48" i="2"/>
  <c r="G48" i="2"/>
  <c r="O47" i="2"/>
  <c r="N47" i="2"/>
  <c r="M47" i="2"/>
  <c r="L47" i="2"/>
  <c r="K47" i="2"/>
  <c r="J47" i="2"/>
  <c r="I47" i="2"/>
  <c r="H47" i="2"/>
  <c r="G47" i="2"/>
  <c r="O46" i="2"/>
  <c r="N46" i="2"/>
  <c r="M46" i="2"/>
  <c r="L46" i="2"/>
  <c r="K46" i="2"/>
  <c r="J46" i="2"/>
  <c r="I46" i="2"/>
  <c r="H46" i="2"/>
  <c r="G46" i="2"/>
  <c r="O45" i="2"/>
  <c r="N45" i="2"/>
  <c r="M45" i="2"/>
  <c r="L45" i="2"/>
  <c r="K45" i="2"/>
  <c r="J45" i="2"/>
  <c r="I45" i="2"/>
  <c r="H45" i="2"/>
  <c r="G45" i="2"/>
  <c r="O44" i="2"/>
  <c r="N44" i="2"/>
  <c r="M44" i="2"/>
  <c r="L44" i="2"/>
  <c r="K44" i="2"/>
  <c r="J44" i="2"/>
  <c r="I44" i="2"/>
  <c r="H44" i="2"/>
  <c r="G44" i="2"/>
  <c r="O43" i="2"/>
  <c r="N43" i="2"/>
  <c r="M43" i="2"/>
  <c r="L43" i="2"/>
  <c r="K43" i="2"/>
  <c r="J43" i="2"/>
  <c r="I43" i="2"/>
  <c r="H43" i="2"/>
  <c r="G43" i="2"/>
  <c r="O42" i="2"/>
  <c r="N42" i="2"/>
  <c r="M42" i="2"/>
  <c r="L42" i="2"/>
  <c r="K42" i="2"/>
  <c r="J42" i="2"/>
  <c r="I42" i="2"/>
  <c r="H42" i="2"/>
  <c r="G42" i="2"/>
  <c r="O41" i="2"/>
  <c r="N41" i="2"/>
  <c r="M41" i="2"/>
  <c r="L41" i="2"/>
  <c r="K41" i="2"/>
  <c r="J41" i="2"/>
  <c r="I41" i="2"/>
  <c r="H41" i="2"/>
  <c r="G41" i="2"/>
  <c r="O40" i="2"/>
  <c r="N40" i="2"/>
  <c r="M40" i="2"/>
  <c r="L40" i="2"/>
  <c r="K40" i="2"/>
  <c r="J40" i="2"/>
  <c r="I40" i="2"/>
  <c r="H40" i="2"/>
  <c r="G40" i="2"/>
  <c r="O39" i="2"/>
  <c r="N39" i="2"/>
  <c r="M39" i="2"/>
  <c r="L39" i="2"/>
  <c r="K39" i="2"/>
  <c r="J39" i="2"/>
  <c r="I39" i="2"/>
  <c r="H39" i="2"/>
  <c r="G39" i="2"/>
  <c r="O38" i="2"/>
  <c r="N38" i="2"/>
  <c r="M38" i="2"/>
  <c r="L38" i="2"/>
  <c r="K38" i="2"/>
  <c r="J38" i="2"/>
  <c r="I38" i="2"/>
  <c r="H38" i="2"/>
  <c r="G38" i="2"/>
  <c r="O37" i="2"/>
  <c r="N37" i="2"/>
  <c r="M37" i="2"/>
  <c r="L37" i="2"/>
  <c r="K37" i="2"/>
  <c r="J37" i="2"/>
  <c r="I37" i="2"/>
  <c r="H37" i="2"/>
  <c r="G37" i="2"/>
  <c r="O36" i="2"/>
  <c r="N36" i="2"/>
  <c r="M36" i="2"/>
  <c r="L36" i="2"/>
  <c r="K36" i="2"/>
  <c r="J36" i="2"/>
  <c r="I36" i="2"/>
  <c r="H36" i="2"/>
  <c r="G36" i="2"/>
  <c r="O35" i="2"/>
  <c r="N35" i="2"/>
  <c r="M35" i="2"/>
  <c r="L35" i="2"/>
  <c r="K35" i="2"/>
  <c r="J35" i="2"/>
  <c r="I35" i="2"/>
  <c r="H35" i="2"/>
  <c r="G35" i="2"/>
  <c r="O34" i="2"/>
  <c r="N34" i="2"/>
  <c r="M34" i="2"/>
  <c r="L34" i="2"/>
  <c r="K34" i="2"/>
  <c r="J34" i="2"/>
  <c r="I34" i="2"/>
  <c r="H34" i="2"/>
  <c r="G34" i="2"/>
  <c r="O33" i="2"/>
  <c r="N33" i="2"/>
  <c r="M33" i="2"/>
  <c r="L33" i="2"/>
  <c r="K33" i="2"/>
  <c r="J33" i="2"/>
  <c r="I33" i="2"/>
  <c r="H33" i="2"/>
  <c r="G33" i="2"/>
  <c r="O32" i="2"/>
  <c r="N32" i="2"/>
  <c r="M32" i="2"/>
  <c r="L32" i="2"/>
  <c r="K32" i="2"/>
  <c r="J32" i="2"/>
  <c r="I32" i="2"/>
  <c r="H32" i="2"/>
  <c r="G32" i="2"/>
  <c r="O31" i="2"/>
  <c r="N31" i="2"/>
  <c r="M31" i="2"/>
  <c r="L31" i="2"/>
  <c r="K31" i="2"/>
  <c r="J31" i="2"/>
  <c r="I31" i="2"/>
  <c r="H31" i="2"/>
  <c r="G31" i="2"/>
  <c r="O30" i="2"/>
  <c r="N30" i="2"/>
  <c r="M30" i="2"/>
  <c r="L30" i="2"/>
  <c r="K30" i="2"/>
  <c r="J30" i="2"/>
  <c r="I30" i="2"/>
  <c r="H30" i="2"/>
  <c r="G30" i="2"/>
  <c r="O29" i="2"/>
  <c r="N29" i="2"/>
  <c r="M29" i="2"/>
  <c r="L29" i="2"/>
  <c r="K29" i="2"/>
  <c r="J29" i="2"/>
  <c r="I29" i="2"/>
  <c r="H29" i="2"/>
  <c r="G29" i="2"/>
  <c r="O28" i="2"/>
  <c r="N28" i="2"/>
  <c r="M28" i="2"/>
  <c r="L28" i="2"/>
  <c r="K28" i="2"/>
  <c r="J28" i="2"/>
  <c r="I28" i="2"/>
  <c r="H28" i="2"/>
  <c r="G28" i="2"/>
  <c r="O27" i="2"/>
  <c r="N27" i="2"/>
  <c r="M27" i="2"/>
  <c r="L27" i="2"/>
  <c r="K27" i="2"/>
  <c r="I27" i="2"/>
  <c r="H27" i="2"/>
  <c r="G27" i="2"/>
  <c r="O26" i="2"/>
  <c r="N26" i="2"/>
  <c r="M26" i="2"/>
  <c r="L26" i="2"/>
  <c r="K26" i="2"/>
  <c r="I26" i="2"/>
  <c r="H26" i="2"/>
  <c r="G26" i="2"/>
  <c r="O25" i="2"/>
  <c r="N25" i="2"/>
  <c r="M25" i="2"/>
  <c r="L25" i="2"/>
  <c r="K25" i="2"/>
  <c r="I25" i="2"/>
  <c r="H25" i="2"/>
  <c r="G25" i="2"/>
  <c r="O24" i="2"/>
  <c r="N24" i="2"/>
  <c r="M24" i="2"/>
  <c r="L24" i="2"/>
  <c r="K24" i="2"/>
  <c r="I24" i="2"/>
  <c r="H24" i="2"/>
  <c r="G24" i="2"/>
  <c r="O23" i="2"/>
  <c r="N23" i="2"/>
  <c r="M23" i="2"/>
  <c r="L23" i="2"/>
  <c r="K23" i="2"/>
  <c r="I23" i="2"/>
  <c r="H23" i="2"/>
  <c r="G23" i="2"/>
  <c r="O22" i="2"/>
  <c r="N22" i="2"/>
  <c r="M22" i="2"/>
  <c r="L22" i="2"/>
  <c r="K22" i="2"/>
  <c r="I22" i="2"/>
  <c r="H22" i="2"/>
  <c r="O21" i="2"/>
  <c r="N21" i="2"/>
  <c r="M21" i="2"/>
  <c r="L21" i="2"/>
  <c r="K21" i="2"/>
  <c r="I21" i="2"/>
  <c r="H21" i="2"/>
  <c r="O20" i="2"/>
  <c r="N20" i="2"/>
  <c r="M20" i="2"/>
  <c r="L20" i="2"/>
  <c r="K20" i="2"/>
  <c r="I20" i="2"/>
  <c r="H20" i="2"/>
  <c r="O19" i="2"/>
  <c r="N19" i="2"/>
  <c r="M19" i="2"/>
  <c r="L19" i="2"/>
  <c r="K19" i="2"/>
  <c r="I19" i="2"/>
  <c r="H19" i="2"/>
  <c r="O18" i="2"/>
  <c r="N18" i="2"/>
  <c r="M18" i="2"/>
  <c r="L18" i="2"/>
  <c r="K18" i="2"/>
  <c r="I18" i="2"/>
  <c r="H18" i="2"/>
  <c r="O17" i="2"/>
  <c r="N17" i="2"/>
  <c r="M17" i="2"/>
  <c r="L17" i="2"/>
  <c r="K17" i="2"/>
  <c r="I17" i="2"/>
  <c r="H17" i="2"/>
  <c r="O16" i="2"/>
  <c r="N16" i="2"/>
  <c r="M16" i="2"/>
  <c r="L16" i="2"/>
  <c r="K16" i="2"/>
  <c r="I16" i="2"/>
  <c r="H16" i="2"/>
  <c r="O15" i="2"/>
  <c r="N15" i="2"/>
  <c r="M15" i="2"/>
  <c r="L15" i="2"/>
  <c r="K15" i="2"/>
  <c r="I15" i="2"/>
  <c r="H15" i="2"/>
  <c r="O14" i="2"/>
  <c r="N14" i="2"/>
  <c r="M14" i="2"/>
  <c r="L14" i="2"/>
  <c r="K14" i="2"/>
  <c r="I14" i="2"/>
  <c r="H14" i="2"/>
  <c r="O13" i="2"/>
  <c r="N13" i="2"/>
  <c r="M13" i="2"/>
  <c r="L13" i="2"/>
  <c r="K13" i="2"/>
  <c r="I13" i="2"/>
  <c r="H13" i="2"/>
  <c r="O12" i="2"/>
  <c r="N12" i="2"/>
  <c r="M12" i="2"/>
  <c r="L12" i="2"/>
  <c r="K12" i="2"/>
  <c r="J12" i="2"/>
  <c r="I12" i="2"/>
  <c r="H12" i="2"/>
  <c r="O11" i="2"/>
  <c r="N11" i="2"/>
  <c r="M11" i="2"/>
  <c r="L11" i="2"/>
  <c r="K11" i="2"/>
  <c r="J11" i="2"/>
  <c r="I11" i="2"/>
  <c r="H11" i="2"/>
  <c r="O10" i="2"/>
  <c r="N10" i="2"/>
  <c r="M10" i="2"/>
  <c r="L10" i="2"/>
  <c r="K10" i="2"/>
  <c r="J10" i="2"/>
  <c r="I10" i="2"/>
  <c r="H10" i="2"/>
  <c r="O9" i="2"/>
  <c r="N9" i="2"/>
  <c r="M9" i="2"/>
  <c r="L9" i="2"/>
  <c r="K9" i="2"/>
  <c r="J9" i="2"/>
  <c r="I9" i="2"/>
  <c r="H9" i="2"/>
  <c r="M7" i="3" s="1"/>
  <c r="L2" i="3"/>
  <c r="N22" i="13"/>
  <c r="M22" i="13"/>
  <c r="L22" i="13"/>
  <c r="N21" i="13"/>
  <c r="M21" i="13"/>
  <c r="L21" i="13"/>
  <c r="N20" i="13"/>
  <c r="M20" i="13"/>
  <c r="L20" i="13"/>
  <c r="N19" i="13"/>
  <c r="M19" i="13"/>
  <c r="L19" i="13"/>
  <c r="R3" i="3"/>
  <c r="O3" i="3"/>
  <c r="L3" i="3"/>
  <c r="O4" i="3"/>
  <c r="M5" i="2"/>
  <c r="J5" i="2"/>
  <c r="G5" i="2"/>
  <c r="F25" i="3"/>
  <c r="E6" i="2"/>
  <c r="F19" i="3"/>
  <c r="N39" i="13" l="1"/>
  <c r="M39" i="13"/>
  <c r="L39" i="13"/>
  <c r="N38" i="13"/>
  <c r="M38" i="13"/>
  <c r="L38" i="13"/>
  <c r="F28" i="3" l="1"/>
  <c r="F22" i="3"/>
  <c r="F16" i="3"/>
  <c r="F10" i="3"/>
  <c r="G4" i="3"/>
  <c r="F7" i="3"/>
  <c r="F13" i="3"/>
  <c r="R4" i="3"/>
  <c r="L4" i="3"/>
  <c r="O11" i="3"/>
  <c r="F29" i="3" l="1"/>
  <c r="F23" i="3"/>
  <c r="F17" i="3"/>
  <c r="F11" i="3"/>
  <c r="N8" i="3"/>
  <c r="L32" i="3"/>
  <c r="N39" i="3"/>
  <c r="L31" i="3"/>
  <c r="M18" i="3"/>
  <c r="M65" i="3"/>
  <c r="M64" i="3"/>
  <c r="M48" i="3"/>
  <c r="M32" i="3"/>
  <c r="M16" i="3"/>
  <c r="L60" i="3"/>
  <c r="L44" i="3"/>
  <c r="L28" i="3"/>
  <c r="M20" i="3"/>
  <c r="M51" i="3"/>
  <c r="N38" i="3"/>
  <c r="L46" i="3"/>
  <c r="N37" i="3"/>
  <c r="L29" i="3"/>
  <c r="N52" i="3"/>
  <c r="N51" i="3"/>
  <c r="L43" i="3"/>
  <c r="M52" i="3"/>
  <c r="N55" i="3"/>
  <c r="L47" i="3"/>
  <c r="M66" i="3"/>
  <c r="M17" i="3"/>
  <c r="M47" i="3"/>
  <c r="M30" i="3"/>
  <c r="L26" i="3"/>
  <c r="N65" i="3"/>
  <c r="N49" i="3"/>
  <c r="N33" i="3"/>
  <c r="N17" i="3"/>
  <c r="M61" i="3"/>
  <c r="M45" i="3"/>
  <c r="M29" i="3"/>
  <c r="M13" i="3"/>
  <c r="L57" i="3"/>
  <c r="L41" i="3"/>
  <c r="L25" i="3"/>
  <c r="N40" i="3"/>
  <c r="M35" i="3"/>
  <c r="N22" i="3"/>
  <c r="M33" i="3"/>
  <c r="N36" i="3"/>
  <c r="N35" i="3"/>
  <c r="M15" i="3"/>
  <c r="N34" i="3"/>
  <c r="L58" i="3"/>
  <c r="N64" i="3"/>
  <c r="N48" i="3"/>
  <c r="N32" i="3"/>
  <c r="N16" i="3"/>
  <c r="M60" i="3"/>
  <c r="M44" i="3"/>
  <c r="M28" i="3"/>
  <c r="M12" i="3"/>
  <c r="L56" i="3"/>
  <c r="L40" i="3"/>
  <c r="L24" i="3"/>
  <c r="N24" i="3"/>
  <c r="M67" i="3"/>
  <c r="M50" i="3"/>
  <c r="M49" i="3"/>
  <c r="L59" i="3"/>
  <c r="M62" i="3"/>
  <c r="N31" i="3"/>
  <c r="R7" i="3"/>
  <c r="N56" i="3"/>
  <c r="L64" i="3"/>
  <c r="N23" i="3"/>
  <c r="M34" i="3"/>
  <c r="N21" i="3"/>
  <c r="N67" i="3"/>
  <c r="M31" i="3"/>
  <c r="N18" i="3"/>
  <c r="N47" i="3"/>
  <c r="M43" i="3"/>
  <c r="L55" i="3"/>
  <c r="N46" i="3"/>
  <c r="N30" i="3"/>
  <c r="N14" i="3"/>
  <c r="M58" i="3"/>
  <c r="M42" i="3"/>
  <c r="M26" i="3"/>
  <c r="M10" i="3"/>
  <c r="L54" i="3"/>
  <c r="L38" i="3"/>
  <c r="L22" i="3"/>
  <c r="Q7" i="3"/>
  <c r="P11" i="3"/>
  <c r="M36" i="3"/>
  <c r="M19" i="3"/>
  <c r="L62" i="3"/>
  <c r="L61" i="3"/>
  <c r="N19" i="3"/>
  <c r="L27" i="3"/>
  <c r="N50" i="3"/>
  <c r="M14" i="3"/>
  <c r="N15" i="3"/>
  <c r="M27" i="3"/>
  <c r="L39" i="3"/>
  <c r="N62" i="3"/>
  <c r="N61" i="3"/>
  <c r="N45" i="3"/>
  <c r="N29" i="3"/>
  <c r="N13" i="3"/>
  <c r="M57" i="3"/>
  <c r="M41" i="3"/>
  <c r="M25" i="3"/>
  <c r="M9" i="3"/>
  <c r="L53" i="3"/>
  <c r="L37" i="3"/>
  <c r="L21" i="3"/>
  <c r="N7" i="3"/>
  <c r="L48" i="3"/>
  <c r="L63" i="3"/>
  <c r="N54" i="3"/>
  <c r="L30" i="3"/>
  <c r="N53" i="3"/>
  <c r="L45" i="3"/>
  <c r="N20" i="3"/>
  <c r="M63" i="3"/>
  <c r="N66" i="3"/>
  <c r="M46" i="3"/>
  <c r="L42" i="3"/>
  <c r="N63" i="3"/>
  <c r="M59" i="3"/>
  <c r="M11" i="3"/>
  <c r="L23" i="3"/>
  <c r="N60" i="3"/>
  <c r="N44" i="3"/>
  <c r="N28" i="3"/>
  <c r="N12" i="3"/>
  <c r="M56" i="3"/>
  <c r="M40" i="3"/>
  <c r="M24" i="3"/>
  <c r="M8" i="3"/>
  <c r="L52" i="3"/>
  <c r="L36" i="3"/>
  <c r="N59" i="3"/>
  <c r="N43" i="3"/>
  <c r="N27" i="3"/>
  <c r="N11" i="3"/>
  <c r="M55" i="3"/>
  <c r="M39" i="3"/>
  <c r="M23" i="3"/>
  <c r="L67" i="3"/>
  <c r="L51" i="3"/>
  <c r="L35" i="3"/>
  <c r="N58" i="3"/>
  <c r="N42" i="3"/>
  <c r="N26" i="3"/>
  <c r="N10" i="3"/>
  <c r="M54" i="3"/>
  <c r="M38" i="3"/>
  <c r="M22" i="3"/>
  <c r="L66" i="3"/>
  <c r="L50" i="3"/>
  <c r="L34" i="3"/>
  <c r="N57" i="3"/>
  <c r="N41" i="3"/>
  <c r="N25" i="3"/>
  <c r="N9" i="3"/>
  <c r="M53" i="3"/>
  <c r="M37" i="3"/>
  <c r="M21" i="3"/>
  <c r="L65" i="3"/>
  <c r="L49" i="3"/>
  <c r="L33" i="3"/>
  <c r="O9" i="3"/>
  <c r="O10" i="3"/>
  <c r="O12" i="3"/>
  <c r="O13" i="3"/>
  <c r="O14" i="3"/>
  <c r="O15" i="3"/>
  <c r="O16" i="3"/>
  <c r="O17" i="3"/>
  <c r="O18" i="3"/>
  <c r="O19" i="3"/>
  <c r="O20" i="3"/>
  <c r="O21" i="3"/>
  <c r="O24" i="3"/>
  <c r="O25" i="3"/>
  <c r="N68" i="3" l="1"/>
  <c r="I10" i="3" s="1"/>
  <c r="I11" i="3" s="1"/>
  <c r="M68" i="3"/>
  <c r="H10" i="3" s="1"/>
  <c r="H11" i="3" s="1"/>
  <c r="L68" i="3"/>
  <c r="G10" i="3" s="1"/>
  <c r="G11" i="3" s="1"/>
  <c r="S44" i="3"/>
  <c r="R60" i="3"/>
  <c r="P19" i="3"/>
  <c r="R15" i="3"/>
  <c r="T25" i="3"/>
  <c r="S26" i="3"/>
  <c r="Q16" i="3"/>
  <c r="S25" i="3"/>
  <c r="Q15" i="3"/>
  <c r="R59" i="3"/>
  <c r="R43" i="3"/>
  <c r="R27" i="3"/>
  <c r="R11" i="3"/>
  <c r="S56" i="3"/>
  <c r="S40" i="3"/>
  <c r="S24" i="3"/>
  <c r="S8" i="3"/>
  <c r="T53" i="3"/>
  <c r="T37" i="3"/>
  <c r="T21" i="3"/>
  <c r="P18" i="3"/>
  <c r="R30" i="3"/>
  <c r="T24" i="3"/>
  <c r="R13" i="3"/>
  <c r="S10" i="3"/>
  <c r="P7" i="3"/>
  <c r="R44" i="3"/>
  <c r="Q14" i="3"/>
  <c r="R58" i="3"/>
  <c r="R42" i="3"/>
  <c r="R26" i="3"/>
  <c r="R10" i="3"/>
  <c r="S55" i="3"/>
  <c r="S39" i="3"/>
  <c r="S23" i="3"/>
  <c r="T7" i="3"/>
  <c r="T52" i="3"/>
  <c r="T36" i="3"/>
  <c r="T20" i="3"/>
  <c r="P17" i="3"/>
  <c r="Q19" i="3"/>
  <c r="S28" i="3"/>
  <c r="R46" i="3"/>
  <c r="S27" i="3"/>
  <c r="R28" i="3"/>
  <c r="Q13" i="3"/>
  <c r="R57" i="3"/>
  <c r="R41" i="3"/>
  <c r="R25" i="3"/>
  <c r="R9" i="3"/>
  <c r="S54" i="3"/>
  <c r="S38" i="3"/>
  <c r="S22" i="3"/>
  <c r="T67" i="3"/>
  <c r="T51" i="3"/>
  <c r="T35" i="3"/>
  <c r="T19" i="3"/>
  <c r="P16" i="3"/>
  <c r="R47" i="3"/>
  <c r="R61" i="3"/>
  <c r="P20" i="3"/>
  <c r="R12" i="3"/>
  <c r="Q12" i="3"/>
  <c r="R56" i="3"/>
  <c r="R40" i="3"/>
  <c r="R24" i="3"/>
  <c r="R8" i="3"/>
  <c r="S53" i="3"/>
  <c r="S37" i="3"/>
  <c r="S21" i="3"/>
  <c r="T66" i="3"/>
  <c r="T50" i="3"/>
  <c r="T34" i="3"/>
  <c r="T18" i="3"/>
  <c r="P15" i="3"/>
  <c r="R31" i="3"/>
  <c r="T41" i="3"/>
  <c r="S43" i="3"/>
  <c r="R39" i="3"/>
  <c r="S7" i="3"/>
  <c r="T65" i="3"/>
  <c r="T49" i="3"/>
  <c r="T17" i="3"/>
  <c r="S12" i="3"/>
  <c r="S42" i="3"/>
  <c r="S57" i="3"/>
  <c r="R55" i="3"/>
  <c r="S20" i="3"/>
  <c r="R54" i="3"/>
  <c r="R38" i="3"/>
  <c r="R22" i="3"/>
  <c r="S67" i="3"/>
  <c r="S51" i="3"/>
  <c r="S35" i="3"/>
  <c r="S19" i="3"/>
  <c r="T64" i="3"/>
  <c r="T48" i="3"/>
  <c r="T32" i="3"/>
  <c r="T16" i="3"/>
  <c r="P13" i="3"/>
  <c r="P22" i="3"/>
  <c r="R62" i="3"/>
  <c r="T40" i="3"/>
  <c r="S58" i="3"/>
  <c r="T23" i="3"/>
  <c r="T38" i="3"/>
  <c r="R23" i="3"/>
  <c r="S36" i="3"/>
  <c r="T33" i="3"/>
  <c r="Q25" i="3"/>
  <c r="R53" i="3"/>
  <c r="R37" i="3"/>
  <c r="R21" i="3"/>
  <c r="S66" i="3"/>
  <c r="S50" i="3"/>
  <c r="S34" i="3"/>
  <c r="S18" i="3"/>
  <c r="T63" i="3"/>
  <c r="T47" i="3"/>
  <c r="T31" i="3"/>
  <c r="T15" i="3"/>
  <c r="P12" i="3"/>
  <c r="T56" i="3"/>
  <c r="Q17" i="3"/>
  <c r="T39" i="3"/>
  <c r="S41" i="3"/>
  <c r="Q11" i="3"/>
  <c r="R52" i="3"/>
  <c r="R36" i="3"/>
  <c r="R20" i="3"/>
  <c r="S65" i="3"/>
  <c r="S49" i="3"/>
  <c r="S33" i="3"/>
  <c r="S17" i="3"/>
  <c r="T62" i="3"/>
  <c r="T46" i="3"/>
  <c r="T30" i="3"/>
  <c r="T14" i="3"/>
  <c r="S60" i="3"/>
  <c r="T9" i="3"/>
  <c r="R29" i="3"/>
  <c r="T54" i="3"/>
  <c r="Q23" i="3"/>
  <c r="R67" i="3"/>
  <c r="R51" i="3"/>
  <c r="R35" i="3"/>
  <c r="R19" i="3"/>
  <c r="S64" i="3"/>
  <c r="S48" i="3"/>
  <c r="S32" i="3"/>
  <c r="S16" i="3"/>
  <c r="T61" i="3"/>
  <c r="T45" i="3"/>
  <c r="T29" i="3"/>
  <c r="T13" i="3"/>
  <c r="P26" i="3"/>
  <c r="R63" i="3"/>
  <c r="T57" i="3"/>
  <c r="R14" i="3"/>
  <c r="P21" i="3"/>
  <c r="T22" i="3"/>
  <c r="S52" i="3"/>
  <c r="P14" i="3"/>
  <c r="Q22" i="3"/>
  <c r="R66" i="3"/>
  <c r="R50" i="3"/>
  <c r="R34" i="3"/>
  <c r="R18" i="3"/>
  <c r="S63" i="3"/>
  <c r="S47" i="3"/>
  <c r="S31" i="3"/>
  <c r="S15" i="3"/>
  <c r="T60" i="3"/>
  <c r="T44" i="3"/>
  <c r="T28" i="3"/>
  <c r="T12" i="3"/>
  <c r="P25" i="3"/>
  <c r="Q18" i="3"/>
  <c r="S11" i="3"/>
  <c r="R45" i="3"/>
  <c r="T55" i="3"/>
  <c r="S9" i="3"/>
  <c r="Q21" i="3"/>
  <c r="R65" i="3"/>
  <c r="R49" i="3"/>
  <c r="R33" i="3"/>
  <c r="R17" i="3"/>
  <c r="S62" i="3"/>
  <c r="S46" i="3"/>
  <c r="S30" i="3"/>
  <c r="S14" i="3"/>
  <c r="T59" i="3"/>
  <c r="T43" i="3"/>
  <c r="T27" i="3"/>
  <c r="T11" i="3"/>
  <c r="S59" i="3"/>
  <c r="T8" i="3"/>
  <c r="Q20" i="3"/>
  <c r="R64" i="3"/>
  <c r="R48" i="3"/>
  <c r="R32" i="3"/>
  <c r="R16" i="3"/>
  <c r="S61" i="3"/>
  <c r="S45" i="3"/>
  <c r="S29" i="3"/>
  <c r="S13" i="3"/>
  <c r="T58" i="3"/>
  <c r="T42" i="3"/>
  <c r="T26" i="3"/>
  <c r="T10" i="3"/>
  <c r="P23" i="3"/>
  <c r="Q39" i="3"/>
  <c r="P57" i="3"/>
  <c r="P41" i="3"/>
  <c r="O37" i="3"/>
  <c r="Q54" i="3"/>
  <c r="Q38" i="3"/>
  <c r="P56" i="3"/>
  <c r="P40" i="3"/>
  <c r="O52" i="3"/>
  <c r="O36" i="3"/>
  <c r="Q55" i="3"/>
  <c r="O53" i="3"/>
  <c r="Q53" i="3"/>
  <c r="Q37" i="3"/>
  <c r="P55" i="3"/>
  <c r="P39" i="3"/>
  <c r="O67" i="3"/>
  <c r="O51" i="3"/>
  <c r="O35" i="3"/>
  <c r="P38" i="3"/>
  <c r="Q67" i="3"/>
  <c r="O65" i="3"/>
  <c r="Q50" i="3"/>
  <c r="Q65" i="3"/>
  <c r="Q49" i="3"/>
  <c r="Q33" i="3"/>
  <c r="P67" i="3"/>
  <c r="P51" i="3"/>
  <c r="P35" i="3"/>
  <c r="O63" i="3"/>
  <c r="O47" i="3"/>
  <c r="O50" i="3"/>
  <c r="P52" i="3"/>
  <c r="O48" i="3"/>
  <c r="Q64" i="3"/>
  <c r="Q48" i="3"/>
  <c r="Q32" i="3"/>
  <c r="P66" i="3"/>
  <c r="P50" i="3"/>
  <c r="P34" i="3"/>
  <c r="O62" i="3"/>
  <c r="O46" i="3"/>
  <c r="O33" i="3"/>
  <c r="Q63" i="3"/>
  <c r="Q47" i="3"/>
  <c r="P65" i="3"/>
  <c r="P49" i="3"/>
  <c r="P33" i="3"/>
  <c r="O61" i="3"/>
  <c r="O45" i="3"/>
  <c r="O66" i="3"/>
  <c r="Q66" i="3"/>
  <c r="P36" i="3"/>
  <c r="Q62" i="3"/>
  <c r="Q46" i="3"/>
  <c r="P64" i="3"/>
  <c r="P48" i="3"/>
  <c r="P32" i="3"/>
  <c r="O60" i="3"/>
  <c r="O44" i="3"/>
  <c r="Q61" i="3"/>
  <c r="Q45" i="3"/>
  <c r="P63" i="3"/>
  <c r="P47" i="3"/>
  <c r="O59" i="3"/>
  <c r="O43" i="3"/>
  <c r="Q35" i="3"/>
  <c r="P53" i="3"/>
  <c r="Q34" i="3"/>
  <c r="O64" i="3"/>
  <c r="Q60" i="3"/>
  <c r="Q44" i="3"/>
  <c r="P62" i="3"/>
  <c r="P46" i="3"/>
  <c r="O58" i="3"/>
  <c r="O42" i="3"/>
  <c r="Q59" i="3"/>
  <c r="Q43" i="3"/>
  <c r="P61" i="3"/>
  <c r="P45" i="3"/>
  <c r="O57" i="3"/>
  <c r="O41" i="3"/>
  <c r="Q52" i="3"/>
  <c r="O49" i="3"/>
  <c r="O32" i="3"/>
  <c r="Q58" i="3"/>
  <c r="Q42" i="3"/>
  <c r="P60" i="3"/>
  <c r="P44" i="3"/>
  <c r="O56" i="3"/>
  <c r="O40" i="3"/>
  <c r="Q51" i="3"/>
  <c r="Q57" i="3"/>
  <c r="Q41" i="3"/>
  <c r="P59" i="3"/>
  <c r="P43" i="3"/>
  <c r="O55" i="3"/>
  <c r="O39" i="3"/>
  <c r="Q36" i="3"/>
  <c r="P54" i="3"/>
  <c r="O34" i="3"/>
  <c r="P37" i="3"/>
  <c r="Q56" i="3"/>
  <c r="Q40" i="3"/>
  <c r="P58" i="3"/>
  <c r="P42" i="3"/>
  <c r="O54" i="3"/>
  <c r="O38" i="3"/>
  <c r="O31" i="3"/>
  <c r="Q31" i="3"/>
  <c r="P31" i="3"/>
  <c r="O30" i="3"/>
  <c r="Q30" i="3"/>
  <c r="P30" i="3"/>
  <c r="O29" i="3"/>
  <c r="Q29" i="3"/>
  <c r="P29" i="3"/>
  <c r="O28" i="3"/>
  <c r="Q28" i="3"/>
  <c r="P28" i="3"/>
  <c r="Q10" i="3"/>
  <c r="P10" i="3"/>
  <c r="Q9" i="3"/>
  <c r="P9" i="3"/>
  <c r="P8" i="3"/>
  <c r="O8" i="3"/>
  <c r="Q8" i="3"/>
  <c r="O7" i="3"/>
  <c r="O27" i="3"/>
  <c r="Q27" i="3"/>
  <c r="P27" i="3"/>
  <c r="O26" i="3"/>
  <c r="Q26" i="3"/>
  <c r="O23" i="3"/>
  <c r="Q24" i="3"/>
  <c r="O22" i="3"/>
  <c r="P24" i="3"/>
  <c r="S68" i="3" l="1"/>
  <c r="H22" i="3" s="1"/>
  <c r="H23" i="3" s="1"/>
  <c r="R68" i="3"/>
  <c r="G22" i="3" s="1"/>
  <c r="G23" i="3" s="1"/>
  <c r="T68" i="3"/>
  <c r="I22" i="3" s="1"/>
  <c r="I23" i="3" s="1"/>
  <c r="Q68" i="3"/>
  <c r="I16" i="3" s="1"/>
  <c r="I17" i="3" s="1"/>
  <c r="P68" i="3"/>
  <c r="H16" i="3" s="1"/>
  <c r="H17" i="3" s="1"/>
  <c r="O68" i="3"/>
  <c r="G16" i="3" s="1"/>
  <c r="G17" i="3" s="1"/>
  <c r="I29" i="3" l="1"/>
  <c r="H29" i="3"/>
  <c r="G29" i="3"/>
  <c r="I28" i="3"/>
  <c r="G28" i="3"/>
  <c r="H28" i="3"/>
  <c r="D70" i="2" l="1"/>
  <c r="C70" i="2"/>
  <c r="B70" i="2"/>
  <c r="D66" i="3" l="1"/>
  <c r="B66" i="3"/>
  <c r="C6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tc={DD1BA288-ADDB-4F88-8566-20247977E78A}</author>
  </authors>
  <commentList>
    <comment ref="A1" authorId="0" shapeId="0" xr:uid="{DD1BA288-ADDB-4F88-8566-20247977E78A}">
      <text>
        <t>[Threaded comment]
Your version of Excel allows you to read this threaded comment; however, any edits to it will get removed if the file is opened in a newer version of Excel. Learn more: https://go.microsoft.com/fwlink/?linkid=870924
Comment:
    This is a modified example for illustration purposes only. The actual calculations for the Oil and Gas rule were done in a more detailed workbook developed by OAQPS.</t>
      </text>
    </comment>
  </commentList>
</comments>
</file>

<file path=xl/sharedStrings.xml><?xml version="1.0" encoding="utf-8"?>
<sst xmlns="http://schemas.openxmlformats.org/spreadsheetml/2006/main" count="238" uniqueCount="117">
  <si>
    <t>Present Value Year</t>
  </si>
  <si>
    <t>Dollar Year</t>
  </si>
  <si>
    <t>Emission Changes</t>
  </si>
  <si>
    <t>CO2 (metric tons)</t>
  </si>
  <si>
    <t>CH4 (metric tons)</t>
  </si>
  <si>
    <t>N2O (metric tons)</t>
  </si>
  <si>
    <t>CO2</t>
  </si>
  <si>
    <t>CH4</t>
  </si>
  <si>
    <t>N2O</t>
  </si>
  <si>
    <t>Year</t>
  </si>
  <si>
    <t>Totals</t>
  </si>
  <si>
    <t>Gas</t>
  </si>
  <si>
    <t>Discount Rate</t>
  </si>
  <si>
    <r>
      <t>Source:</t>
    </r>
    <r>
      <rPr>
        <i/>
        <sz val="11"/>
        <color theme="1"/>
        <rFont val="Calibri"/>
        <family val="2"/>
        <scheme val="minor"/>
      </rPr>
      <t xml:space="preserve"> EPA Report on the Social Cost of Greenhouse Gases: Estimates Incorporating Recent Scientific Advances (https://www.epa.gov/system/files/documents/2023-12/epa_scghg_2023_report_final.pdf)</t>
    </r>
  </si>
  <si>
    <t>GDP Deflator (used to convert from 2020$ to currency dollar year)</t>
  </si>
  <si>
    <t>GDP index</t>
  </si>
  <si>
    <t>2020 Deflator</t>
  </si>
  <si>
    <t>Number of periods (N)</t>
  </si>
  <si>
    <t>GHG</t>
  </si>
  <si>
    <t xml:space="preserve">Total </t>
  </si>
  <si>
    <t>Total</t>
  </si>
  <si>
    <t>Step 1</t>
  </si>
  <si>
    <t>Step 2</t>
  </si>
  <si>
    <t>Step 3</t>
  </si>
  <si>
    <t>Step 4</t>
  </si>
  <si>
    <t>Step 5</t>
  </si>
  <si>
    <t>Step 6</t>
  </si>
  <si>
    <t>EPA analysts estimated the methane reductions from the rule and converted them to metric tons</t>
  </si>
  <si>
    <t>The RIA for the Oil and Gas rule included a table of the methane emissions reduced as a consequence of the rule. Notice that the values reported in the RIA are rounded to two significant figures, but they reflect the same values described in Step 1 of this example.</t>
  </si>
  <si>
    <t>O&amp;G Final Rule CH4 Reductions</t>
  </si>
  <si>
    <t>Short tons to Metric Tons</t>
  </si>
  <si>
    <t>CH4 Short Tons</t>
  </si>
  <si>
    <t>CH4 Metric Tons</t>
  </si>
  <si>
    <t>Undiscounted, Monetized Value of CH4 Emissions Changes (millions, 2019$)</t>
  </si>
  <si>
    <t>Discounted, Monetized Value of CH4 Emissions Changes (millions, 2019$)</t>
  </si>
  <si>
    <t>Table 3-2        Projected Annual Reductions of Methane, VOC, and HAP Emission Reductions under the Final NSPS OOOOb and EG OOOOc, 2024–2038</t>
  </si>
  <si>
    <t>Table 3-4       Undiscounted Monetized Climate Benefits under the Final NSPS OOOOb and EG OOOOc, 2024–2038 (millions, 2019$)</t>
  </si>
  <si>
    <t>Table 3-5        Discounted Monetized Climate Benefits under the Final NSPS OOOOb and EG OOOOc, 2024–2038 (millions, 2019$)</t>
  </si>
  <si>
    <t>Discounted Back to 2021</t>
  </si>
  <si>
    <t>Emissions Changes</t>
  </si>
  <si>
    <t>Undiscounted</t>
  </si>
  <si>
    <t>Discounted back to 2021</t>
  </si>
  <si>
    <t>Methane 
(short tons)</t>
  </si>
  <si>
    <t>VOC
(short tons)</t>
  </si>
  <si>
    <t>HAP
(short tons)</t>
  </si>
  <si>
    <t>Methane 
(metric tons CO2  Eq.
using GWP=28)</t>
  </si>
  <si>
    <t/>
  </si>
  <si>
    <t>Present and Annualized Values of CO2 Emission Changes (millions, 2019$)</t>
  </si>
  <si>
    <t>Present Value in 2021 (2019$)</t>
  </si>
  <si>
    <t>Annualized Value (15 Periods, 2019$)</t>
  </si>
  <si>
    <t>Present and Annualized Values of CH4 Emission Changes (millions, 2019$)</t>
  </si>
  <si>
    <t>Present and Annualized Values of N2O Emission Changes (millions, 2019$)</t>
  </si>
  <si>
    <t>PV</t>
  </si>
  <si>
    <t>Note: Values rounded to two significant figures. Totals may not appear to add correctly due to rounding.</t>
  </si>
  <si>
    <t>EAV</t>
  </si>
  <si>
    <t>Total Present and Annualized Values of all GHG Emission Changes(CO2, CH4, and N2O) (millions, 2019$)</t>
  </si>
  <si>
    <t>Number of years (N)</t>
  </si>
  <si>
    <t>Emission Changes (metric tons)</t>
  </si>
  <si>
    <t>Emissions Changes (metric tons)</t>
  </si>
  <si>
    <t>Annual Unrounded SC-CO2, SC-CH4, and SC-N2O Values, 2020-2080 (in 2020$)</t>
  </si>
  <si>
    <t>Version</t>
  </si>
  <si>
    <t>Release Notes</t>
  </si>
  <si>
    <t>1.0</t>
  </si>
  <si>
    <t>Initial Release</t>
  </si>
  <si>
    <t>Instructions tab explaining how to use the spreadsheet</t>
  </si>
  <si>
    <t>FAQs tab for frequently asked questions</t>
  </si>
  <si>
    <t>Release notes tab</t>
  </si>
  <si>
    <t>Data tab to enter emission changes</t>
  </si>
  <si>
    <t>Answer</t>
  </si>
  <si>
    <r>
      <t xml:space="preserve">Users should complete boxes colored in </t>
    </r>
    <r>
      <rPr>
        <b/>
        <sz val="14"/>
        <color rgb="FFCC00FF"/>
        <rFont val="Calibri"/>
        <family val="2"/>
        <scheme val="minor"/>
      </rPr>
      <t>lavender</t>
    </r>
    <r>
      <rPr>
        <b/>
        <sz val="14"/>
        <color theme="1"/>
        <rFont val="Calibri"/>
        <family val="2"/>
        <scheme val="minor"/>
      </rPr>
      <t xml:space="preserve">, </t>
    </r>
    <r>
      <rPr>
        <b/>
        <sz val="14"/>
        <color theme="5"/>
        <rFont val="Calibri"/>
        <family val="2"/>
        <scheme val="minor"/>
      </rPr>
      <t>orange</t>
    </r>
    <r>
      <rPr>
        <b/>
        <sz val="14"/>
        <color theme="1"/>
        <rFont val="Calibri"/>
        <family val="2"/>
        <scheme val="minor"/>
      </rPr>
      <t xml:space="preserve">, and </t>
    </r>
    <r>
      <rPr>
        <b/>
        <sz val="14"/>
        <color theme="9"/>
        <rFont val="Calibri"/>
        <family val="2"/>
        <scheme val="minor"/>
      </rPr>
      <t>green</t>
    </r>
    <r>
      <rPr>
        <b/>
        <sz val="14"/>
        <color theme="1"/>
        <rFont val="Calibri"/>
        <family val="2"/>
        <scheme val="minor"/>
      </rPr>
      <t>.</t>
    </r>
  </si>
  <si>
    <t>Please confirm this is correct</t>
  </si>
  <si>
    <t>Years used in Annualization</t>
  </si>
  <si>
    <t>DATA ENTRY: SOCIAL COST OF GREENHOUSE GAS (SC-GHG) APPLICATION WORKBOOK</t>
  </si>
  <si>
    <t>Freqently Asked Questions and Issues</t>
  </si>
  <si>
    <t>Issue</t>
  </si>
  <si>
    <t>I cannot edit the formulas in the spreadsheet?</t>
  </si>
  <si>
    <t>You should not need to edit this spredsheet. You should only need to complete boxes colored in lavender, orange, and green on the Data tab and use the results in the light blue boxes on the Results tab. Most of the cells in the workbook are locked. This allows for a consistent application of the SC-GHG values. If you have suggestions for improvments or think that there is an error in the application, please contact the EPA's National Center for Environmental Economics (NCEE).</t>
  </si>
  <si>
    <r>
      <t>Summary: 
1. On the sheet labeled "</t>
    </r>
    <r>
      <rPr>
        <b/>
        <sz val="14"/>
        <color theme="4"/>
        <rFont val="Calibri"/>
        <family val="2"/>
        <scheme val="minor"/>
      </rPr>
      <t>Data</t>
    </r>
    <r>
      <rPr>
        <b/>
        <sz val="14"/>
        <color theme="1"/>
        <rFont val="Calibri"/>
        <family val="2"/>
        <scheme val="minor"/>
      </rPr>
      <t xml:space="preserve">," users should complete boxes colored in </t>
    </r>
    <r>
      <rPr>
        <b/>
        <sz val="14"/>
        <color rgb="FFCC00FF"/>
        <rFont val="Calibri"/>
        <family val="2"/>
        <scheme val="minor"/>
      </rPr>
      <t>lavender</t>
    </r>
    <r>
      <rPr>
        <b/>
        <sz val="14"/>
        <color theme="1"/>
        <rFont val="Calibri"/>
        <family val="2"/>
        <scheme val="minor"/>
      </rPr>
      <t xml:space="preserve">, </t>
    </r>
    <r>
      <rPr>
        <b/>
        <sz val="14"/>
        <color theme="5"/>
        <rFont val="Calibri"/>
        <family val="2"/>
        <scheme val="minor"/>
      </rPr>
      <t>orange</t>
    </r>
    <r>
      <rPr>
        <b/>
        <sz val="14"/>
        <color theme="1"/>
        <rFont val="Calibri"/>
        <family val="2"/>
        <scheme val="minor"/>
      </rPr>
      <t xml:space="preserve">, and </t>
    </r>
    <r>
      <rPr>
        <b/>
        <sz val="14"/>
        <color theme="9"/>
        <rFont val="Calibri"/>
        <family val="2"/>
        <scheme val="minor"/>
      </rPr>
      <t>green</t>
    </r>
    <r>
      <rPr>
        <b/>
        <sz val="14"/>
        <color theme="1"/>
        <rFont val="Calibri"/>
        <family val="2"/>
        <scheme val="minor"/>
      </rPr>
      <t xml:space="preserve">. Please do not make changes to any other cells in the sheet.
2. The present value and annualized value of the emission changes using the SC-GHG for each discount rate are shown in </t>
    </r>
    <r>
      <rPr>
        <b/>
        <sz val="14"/>
        <color rgb="FF00B0F0"/>
        <rFont val="Calibri"/>
        <family val="2"/>
        <scheme val="minor"/>
      </rPr>
      <t>light blue</t>
    </r>
    <r>
      <rPr>
        <b/>
        <sz val="14"/>
        <color theme="1"/>
        <rFont val="Calibri"/>
        <family val="2"/>
        <scheme val="minor"/>
      </rPr>
      <t xml:space="preserve"> cells on the sheets labeled "Results - Constant Rate" and "Results - Ramsey Schedule."</t>
    </r>
  </si>
  <si>
    <t>Read Me tab with an information overview of the workbook</t>
  </si>
  <si>
    <t>Results tab using constant discounting</t>
  </si>
  <si>
    <t>Technical Background tab with a more technical discussion of the SC-GHG and the workbook</t>
  </si>
  <si>
    <t>Example tab based on the December 2023 analysis accompanying EPA's Final Oil and Gas Rule</t>
  </si>
  <si>
    <r>
      <t>Step 3:</t>
    </r>
    <r>
      <rPr>
        <sz val="14"/>
        <color rgb="FF000000"/>
        <rFont val="Calibri"/>
        <family val="2"/>
        <scheme val="minor"/>
      </rPr>
      <t xml:space="preserve"> </t>
    </r>
    <r>
      <rPr>
        <b/>
        <u/>
        <sz val="14"/>
        <color rgb="FF000000"/>
        <rFont val="Calibri"/>
        <family val="2"/>
        <scheme val="minor"/>
      </rPr>
      <t xml:space="preserve">Select the desired present value year from the drop-down list in the </t>
    </r>
    <r>
      <rPr>
        <b/>
        <u/>
        <sz val="14"/>
        <color rgb="FFCC00FF"/>
        <rFont val="Calibri"/>
        <family val="2"/>
        <scheme val="minor"/>
      </rPr>
      <t>lavender</t>
    </r>
    <r>
      <rPr>
        <b/>
        <u/>
        <sz val="14"/>
        <color rgb="FF000000"/>
        <rFont val="Calibri"/>
        <family val="2"/>
        <scheme val="minor"/>
      </rPr>
      <t xml:space="preserve"> box (cell D2) on the Data tab</t>
    </r>
    <r>
      <rPr>
        <sz val="14"/>
        <color rgb="FF000000"/>
        <rFont val="Calibri"/>
        <family val="2"/>
        <scheme val="minor"/>
      </rPr>
      <t>.
  • The monetized values of GHG emission reductions are discounted to estimate a present value. The present value year is currently entered as 2024. To discount the monetized values to a different present value year, please select the desired year from the drop-down list.
  • The present year is analysis-specific. For example, in an RIA, it could be the year in which the rule is promulgated, the first year of compliance with a rule, or the first year the rule is to take effect, or based on some other condition.</t>
    </r>
    <r>
      <rPr>
        <b/>
        <sz val="14"/>
        <color rgb="FF000000"/>
        <rFont val="Calibri"/>
        <family val="2"/>
        <scheme val="minor"/>
      </rPr>
      <t xml:space="preserve">
</t>
    </r>
  </si>
  <si>
    <t>Near-term Ramsey Discount Rate</t>
  </si>
  <si>
    <t>Constant discounting</t>
  </si>
  <si>
    <t xml:space="preserve">Constant discounting </t>
  </si>
  <si>
    <t>Near-Term Ramsey Discount Rate</t>
  </si>
  <si>
    <t>Date</t>
  </si>
  <si>
    <t>1.0.1</t>
  </si>
  <si>
    <r>
      <rPr>
        <i/>
        <u/>
        <sz val="11"/>
        <color theme="1"/>
        <rFont val="Calibri"/>
        <family val="2"/>
        <scheme val="minor"/>
      </rPr>
      <t>Source:</t>
    </r>
    <r>
      <rPr>
        <i/>
        <sz val="11"/>
        <color theme="1"/>
        <rFont val="Calibri"/>
        <family val="2"/>
        <scheme val="minor"/>
      </rPr>
      <t xml:space="preserve"> Gross domestic product (implicit price deflator), Index 2017=100, Annual, Not Seasonally Adjusted; Federal Reserve Economic Data. Downloaded 03-13-24 (https://fred.stlouisfed.org/series/A191RD3A086NBEA)</t>
    </r>
  </si>
  <si>
    <t>Updated Gross Domestic Product (implicit price deflator) data (C140:O141, Data tab) from https://fred.stlouisfed.org/series/A191RD3A086NBEA. This update 
• includes revised BEA data, 
• changed the Index to 2017=100 (previously 2012=100), 
• added data for 2023.</t>
  </si>
  <si>
    <t>Corrected the formula for Undiscounted, Monetized Value of Emission Changes (G9:O69, Data tab) to access the 2011 deflator, and extended the range of that formula to access the 2023 deflator.</t>
  </si>
  <si>
    <t>Modified Dollar Year box (Orange box, cell D3, Data tab) to include 2023.</t>
  </si>
  <si>
    <t>Minor corrections to SC-GHG values, undiscounted monetized values formulas, and Example tab. Updated the GDP deflator.</t>
  </si>
  <si>
    <t>Added footnotes to Example tab discussing the following:
• The implicit price deflator used for the example.
• Clarification on the interpretation of the annualized value.</t>
  </si>
  <si>
    <t>Illustrative example of how to use this workbook (adapted from the December 2023 analysis accompanying EPA's Final Oil and Gas Rule)</t>
  </si>
  <si>
    <r>
      <t>The emission changes for methane (in metric tons) were entered in the Data tab for the appropriate years. Cells outside of the study period (2020-2023 and 2039-2080) and cells for GHG gases that were not affected (CO</t>
    </r>
    <r>
      <rPr>
        <vertAlign val="subscript"/>
        <sz val="11"/>
        <color theme="1"/>
        <rFont val="Calibri"/>
        <family val="2"/>
        <scheme val="minor"/>
      </rPr>
      <t>2</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were left blank. The present value for the RIA was 2021 and the dollar year was 2019.</t>
    </r>
  </si>
  <si>
    <r>
      <t xml:space="preserve">The </t>
    </r>
    <r>
      <rPr>
        <u/>
        <sz val="11"/>
        <color theme="1"/>
        <rFont val="Calibri"/>
        <family val="2"/>
        <scheme val="minor"/>
      </rPr>
      <t>undiscounted</t>
    </r>
    <r>
      <rPr>
        <sz val="11"/>
        <color theme="1"/>
        <rFont val="Calibri"/>
        <family val="2"/>
        <scheme val="minor"/>
      </rPr>
      <t>, monetized value of the CH</t>
    </r>
    <r>
      <rPr>
        <vertAlign val="subscript"/>
        <sz val="11"/>
        <color theme="1"/>
        <rFont val="Calibri"/>
        <family val="2"/>
        <scheme val="minor"/>
      </rPr>
      <t>4</t>
    </r>
    <r>
      <rPr>
        <sz val="11"/>
        <color theme="1"/>
        <rFont val="Calibri"/>
        <family val="2"/>
        <scheme val="minor"/>
      </rPr>
      <t xml:space="preserve"> emission changes were reported on Data tab. The monetized values were deflated to the 2019 dollars (the dollar year) using the GDP deflator.</t>
    </r>
    <r>
      <rPr>
        <vertAlign val="superscript"/>
        <sz val="11"/>
        <color theme="1"/>
        <rFont val="Calibri"/>
        <family val="2"/>
        <scheme val="minor"/>
      </rPr>
      <t>1</t>
    </r>
  </si>
  <si>
    <r>
      <t xml:space="preserve">Because the period of future emission changes analyzed was moderate (less than 30 years), the analysts used a constant discount rate, equal to the near-term consumption rate of interest. The </t>
    </r>
    <r>
      <rPr>
        <u/>
        <sz val="11"/>
        <color theme="1"/>
        <rFont val="Calibri"/>
        <family val="2"/>
        <scheme val="minor"/>
      </rPr>
      <t>discounted</t>
    </r>
    <r>
      <rPr>
        <sz val="11"/>
        <color theme="1"/>
        <rFont val="Calibri"/>
        <family val="2"/>
        <scheme val="minor"/>
      </rPr>
      <t>, montized value of the CH</t>
    </r>
    <r>
      <rPr>
        <vertAlign val="subscript"/>
        <sz val="11"/>
        <color theme="1"/>
        <rFont val="Calibri"/>
        <family val="2"/>
        <scheme val="minor"/>
      </rPr>
      <t>4</t>
    </r>
    <r>
      <rPr>
        <sz val="11"/>
        <color theme="1"/>
        <rFont val="Calibri"/>
        <family val="2"/>
        <scheme val="minor"/>
      </rPr>
      <t xml:space="preserve"> emission changes (using a constant rate) were reported on Results - Constant Rate tab. The present value in 2021 is the sum of these discounted values, reported at the bottom of the table.</t>
    </r>
  </si>
  <si>
    <t>The RIA also included a table of undiscounted, monetized climate benefits for the three near-term discount rates (although in reverse order). A table of undiscounted monetized benefits is required by OMB Circular A-4 for all RIAs. These are the same values described in Step 3 of this example, but rounded to two significant figures.</t>
  </si>
  <si>
    <t>Finally, the RIA included a table of the annual discounted, monetized climate benefits for the three near-term discount rates and the present value and equivalent annualized value. These are the same (rounded) values described in Step 4 and Step 5 of this example, using a constant discount rate.</t>
  </si>
  <si>
    <t xml:space="preserve"> </t>
  </si>
  <si>
    <r>
      <rPr>
        <b/>
        <sz val="14"/>
        <color theme="1"/>
        <rFont val="Calibri"/>
        <family val="2"/>
        <scheme val="minor"/>
      </rPr>
      <t>Step 4:</t>
    </r>
    <r>
      <rPr>
        <sz val="14"/>
        <color theme="1"/>
        <rFont val="Calibri"/>
        <family val="2"/>
        <scheme val="minor"/>
      </rPr>
      <t xml:space="preserve"> </t>
    </r>
    <r>
      <rPr>
        <b/>
        <u/>
        <sz val="14"/>
        <color theme="1"/>
        <rFont val="Calibri"/>
        <family val="2"/>
        <scheme val="minor"/>
      </rPr>
      <t>Review the undiscounted, monetized values of emission changes reported in columns G-O on the Data tab</t>
    </r>
    <r>
      <rPr>
        <sz val="14"/>
        <color theme="1"/>
        <rFont val="Calibri"/>
        <family val="2"/>
        <scheme val="minor"/>
      </rPr>
      <t>.
  • The undiscounted, monetized values of emission changes are found by multiplying the emission changes by the respective social cost for the GHG for that year. These values are deflated to the dollar year using the GDP deflator. 
  • The monetized values for CO</t>
    </r>
    <r>
      <rPr>
        <vertAlign val="subscript"/>
        <sz val="14"/>
        <color theme="1"/>
        <rFont val="Calibri"/>
        <family val="2"/>
        <scheme val="minor"/>
      </rPr>
      <t>2</t>
    </r>
    <r>
      <rPr>
        <sz val="14"/>
        <color theme="1"/>
        <rFont val="Calibri"/>
        <family val="2"/>
        <scheme val="minor"/>
      </rPr>
      <t xml:space="preserve"> are shown in Columns G-I, CH</t>
    </r>
    <r>
      <rPr>
        <vertAlign val="subscript"/>
        <sz val="14"/>
        <color theme="1"/>
        <rFont val="Calibri"/>
        <family val="2"/>
        <scheme val="minor"/>
      </rPr>
      <t>4</t>
    </r>
    <r>
      <rPr>
        <sz val="14"/>
        <color theme="1"/>
        <rFont val="Calibri"/>
        <family val="2"/>
        <scheme val="minor"/>
      </rPr>
      <t xml:space="preserve"> in columns J-L, and N</t>
    </r>
    <r>
      <rPr>
        <vertAlign val="subscript"/>
        <sz val="14"/>
        <color theme="1"/>
        <rFont val="Calibri"/>
        <family val="2"/>
        <scheme val="minor"/>
      </rPr>
      <t>2</t>
    </r>
    <r>
      <rPr>
        <sz val="14"/>
        <color theme="1"/>
        <rFont val="Calibri"/>
        <family val="2"/>
        <scheme val="minor"/>
      </rPr>
      <t xml:space="preserve">O in columns M-O. Results are provided using SC-GHGs based on each of the 3 near-term Ramsey discount rates (1.5, 2, and 2.5%) described in EPA (2023).
  • Undiscounted, monetized values may be useful to report in an analysis.  For example, the full stream of annual undiscounted values are generally reported in RIAs and are explictly mentioned in OMB Circular A-4.
</t>
    </r>
  </si>
  <si>
    <r>
      <rPr>
        <b/>
        <sz val="14"/>
        <color theme="1"/>
        <rFont val="Calibri"/>
        <family val="2"/>
        <scheme val="minor"/>
      </rPr>
      <t>Step 5:</t>
    </r>
    <r>
      <rPr>
        <sz val="14"/>
        <color theme="1"/>
        <rFont val="Calibri"/>
        <family val="2"/>
        <scheme val="minor"/>
      </rPr>
      <t xml:space="preserve"> </t>
    </r>
    <r>
      <rPr>
        <b/>
        <u/>
        <sz val="14"/>
        <color theme="1"/>
        <rFont val="Calibri"/>
        <family val="2"/>
        <scheme val="minor"/>
      </rPr>
      <t>Review the discounted, monetized values of emission changes</t>
    </r>
    <r>
      <rPr>
        <sz val="14"/>
        <color theme="1"/>
        <rFont val="Calibri"/>
        <family val="2"/>
        <scheme val="minor"/>
      </rPr>
      <t xml:space="preserve"> </t>
    </r>
    <r>
      <rPr>
        <b/>
        <u/>
        <sz val="14"/>
        <color theme="1"/>
        <rFont val="Calibri"/>
        <family val="2"/>
        <scheme val="minor"/>
      </rPr>
      <t xml:space="preserve">reported in columns L-T on the </t>
    </r>
    <r>
      <rPr>
        <b/>
        <u/>
        <sz val="14"/>
        <color rgb="FFFF0000"/>
        <rFont val="Calibri"/>
        <family val="2"/>
        <scheme val="minor"/>
      </rPr>
      <t>Results - Constant Rate</t>
    </r>
    <r>
      <rPr>
        <b/>
        <u/>
        <sz val="14"/>
        <color theme="1"/>
        <rFont val="Calibri"/>
        <family val="2"/>
        <scheme val="minor"/>
      </rPr>
      <t xml:space="preserve"> tab</t>
    </r>
    <r>
      <rPr>
        <sz val="14"/>
        <color theme="1"/>
        <rFont val="Calibri"/>
        <family val="2"/>
        <scheme val="minor"/>
      </rPr>
      <t xml:space="preserve"> 
  • The discounted, monetized values of emission changes are calculated by multiplying the undiscounted monetized values by the appropriate discount factor.
  • The discounted, monetized values for CO</t>
    </r>
    <r>
      <rPr>
        <vertAlign val="subscript"/>
        <sz val="14"/>
        <color theme="1"/>
        <rFont val="Calibri"/>
        <family val="2"/>
        <scheme val="minor"/>
      </rPr>
      <t>2</t>
    </r>
    <r>
      <rPr>
        <sz val="14"/>
        <color theme="1"/>
        <rFont val="Calibri"/>
        <family val="2"/>
        <scheme val="minor"/>
      </rPr>
      <t xml:space="preserve"> are shown in Columns L-N, CH</t>
    </r>
    <r>
      <rPr>
        <vertAlign val="subscript"/>
        <sz val="14"/>
        <color theme="1"/>
        <rFont val="Calibri"/>
        <family val="2"/>
        <scheme val="minor"/>
      </rPr>
      <t>4</t>
    </r>
    <r>
      <rPr>
        <sz val="14"/>
        <color theme="1"/>
        <rFont val="Calibri"/>
        <family val="2"/>
        <scheme val="minor"/>
      </rPr>
      <t xml:space="preserve"> in columns O-Q, and N</t>
    </r>
    <r>
      <rPr>
        <vertAlign val="subscript"/>
        <sz val="14"/>
        <color theme="1"/>
        <rFont val="Calibri"/>
        <family val="2"/>
        <scheme val="minor"/>
      </rPr>
      <t>2</t>
    </r>
    <r>
      <rPr>
        <sz val="14"/>
        <color theme="1"/>
        <rFont val="Calibri"/>
        <family val="2"/>
        <scheme val="minor"/>
      </rPr>
      <t xml:space="preserve">O in columns R-T.
  • The discounted, monetized values may be useful to report in an analysis. For example, the stream of discounted annual discounted values are often reported in RIAs.
</t>
    </r>
  </si>
  <si>
    <r>
      <t>Step 6:</t>
    </r>
    <r>
      <rPr>
        <sz val="14"/>
        <color rgb="FF000000"/>
        <rFont val="Calibri"/>
        <family val="2"/>
        <scheme val="minor"/>
      </rPr>
      <t xml:space="preserve"> </t>
    </r>
    <r>
      <rPr>
        <b/>
        <u/>
        <sz val="14"/>
        <color rgb="FF000000"/>
        <rFont val="Calibri"/>
        <family val="2"/>
        <scheme val="minor"/>
      </rPr>
      <t xml:space="preserve">Use the present value and annualized value of the emission changes using the SC-GHG for each discount rate reported in the </t>
    </r>
    <r>
      <rPr>
        <b/>
        <u/>
        <sz val="14"/>
        <color rgb="FF00B0F0"/>
        <rFont val="Calibri"/>
        <family val="2"/>
        <scheme val="minor"/>
      </rPr>
      <t>light blue</t>
    </r>
    <r>
      <rPr>
        <b/>
        <u/>
        <sz val="14"/>
        <color rgb="FF000000"/>
        <rFont val="Calibri"/>
        <family val="2"/>
        <scheme val="minor"/>
      </rPr>
      <t xml:space="preserve"> cells in columns F-I on the </t>
    </r>
    <r>
      <rPr>
        <b/>
        <u/>
        <sz val="14"/>
        <color rgb="FFFF0000"/>
        <rFont val="Calibri"/>
        <family val="2"/>
        <scheme val="minor"/>
      </rPr>
      <t>Results - Constant Rate</t>
    </r>
    <r>
      <rPr>
        <b/>
        <u/>
        <sz val="14"/>
        <color rgb="FF000000"/>
        <rFont val="Calibri"/>
        <family val="2"/>
        <scheme val="minor"/>
      </rPr>
      <t xml:space="preserve"> tab.</t>
    </r>
    <r>
      <rPr>
        <sz val="14"/>
        <color rgb="FF000000"/>
        <rFont val="Calibri"/>
        <family val="2"/>
        <scheme val="minor"/>
      </rPr>
      <t xml:space="preserve">
  • The present value of the emission changes is the sum of the discounted, monetized values for each discount rate.
  • The annualized value is the illustrative value which, if incurred over the same number of years as the length of the analysis, would produce the same net present value (NPV) as the actual time-varying schedule of undiscounted, monetized values. 
  • The present values and annualized values for CO</t>
    </r>
    <r>
      <rPr>
        <vertAlign val="subscript"/>
        <sz val="14"/>
        <color rgb="FF000000"/>
        <rFont val="Calibri"/>
        <family val="2"/>
        <scheme val="minor"/>
      </rPr>
      <t>2</t>
    </r>
    <r>
      <rPr>
        <sz val="14"/>
        <color rgb="FF000000"/>
        <rFont val="Calibri"/>
        <family val="2"/>
        <scheme val="minor"/>
      </rPr>
      <t xml:space="preserve"> are reported in rows 7-11, CH</t>
    </r>
    <r>
      <rPr>
        <vertAlign val="subscript"/>
        <sz val="14"/>
        <color rgb="FF000000"/>
        <rFont val="Calibri"/>
        <family val="2"/>
        <scheme val="minor"/>
      </rPr>
      <t>4</t>
    </r>
    <r>
      <rPr>
        <sz val="14"/>
        <color rgb="FF000000"/>
        <rFont val="Calibri"/>
        <family val="2"/>
        <scheme val="minor"/>
      </rPr>
      <t xml:space="preserve"> in rows 13-17, and N</t>
    </r>
    <r>
      <rPr>
        <vertAlign val="subscript"/>
        <sz val="14"/>
        <color rgb="FF000000"/>
        <rFont val="Calibri"/>
        <family val="2"/>
        <scheme val="minor"/>
      </rPr>
      <t>2</t>
    </r>
    <r>
      <rPr>
        <sz val="14"/>
        <color rgb="FF000000"/>
        <rFont val="Calibri"/>
        <family val="2"/>
        <scheme val="minor"/>
      </rPr>
      <t>O in rows 19-23.
  • The total present values and annualized values for All GHG emission changes (CO</t>
    </r>
    <r>
      <rPr>
        <vertAlign val="subscript"/>
        <sz val="14"/>
        <color rgb="FF000000"/>
        <rFont val="Calibri"/>
        <family val="2"/>
        <scheme val="minor"/>
      </rPr>
      <t>2</t>
    </r>
    <r>
      <rPr>
        <sz val="14"/>
        <color rgb="FF000000"/>
        <rFont val="Calibri"/>
        <family val="2"/>
        <scheme val="minor"/>
      </rPr>
      <t>, CH</t>
    </r>
    <r>
      <rPr>
        <vertAlign val="subscript"/>
        <sz val="14"/>
        <color rgb="FF000000"/>
        <rFont val="Calibri"/>
        <family val="2"/>
        <scheme val="minor"/>
      </rPr>
      <t>4</t>
    </r>
    <r>
      <rPr>
        <sz val="14"/>
        <color rgb="FF000000"/>
        <rFont val="Calibri"/>
        <family val="2"/>
        <scheme val="minor"/>
      </rPr>
      <t>, and N</t>
    </r>
    <r>
      <rPr>
        <vertAlign val="subscript"/>
        <sz val="14"/>
        <color rgb="FF000000"/>
        <rFont val="Calibri"/>
        <family val="2"/>
        <scheme val="minor"/>
      </rPr>
      <t>2</t>
    </r>
    <r>
      <rPr>
        <sz val="14"/>
        <color rgb="FF000000"/>
        <rFont val="Calibri"/>
        <family val="2"/>
        <scheme val="minor"/>
      </rPr>
      <t xml:space="preserve">O) are reported in rows 25-29.
</t>
    </r>
  </si>
  <si>
    <r>
      <rPr>
        <b/>
        <sz val="14"/>
        <color theme="1"/>
        <rFont val="Calibri"/>
        <family val="2"/>
        <scheme val="minor"/>
      </rPr>
      <t xml:space="preserve">Step 1: </t>
    </r>
    <r>
      <rPr>
        <sz val="14"/>
        <color theme="1"/>
        <rFont val="Calibri"/>
        <family val="2"/>
        <scheme val="minor"/>
      </rPr>
      <t xml:space="preserve"> </t>
    </r>
    <r>
      <rPr>
        <b/>
        <u/>
        <sz val="14"/>
        <color theme="1"/>
        <rFont val="Calibri"/>
        <family val="2"/>
        <scheme val="minor"/>
      </rPr>
      <t>Enter the tons of emission changes for each year for CO</t>
    </r>
    <r>
      <rPr>
        <b/>
        <u/>
        <vertAlign val="subscript"/>
        <sz val="14"/>
        <color theme="1"/>
        <rFont val="Calibri"/>
        <family val="2"/>
        <scheme val="minor"/>
      </rPr>
      <t>2</t>
    </r>
    <r>
      <rPr>
        <b/>
        <u/>
        <sz val="14"/>
        <color theme="1"/>
        <rFont val="Calibri"/>
        <family val="2"/>
        <scheme val="minor"/>
      </rPr>
      <t>, CH</t>
    </r>
    <r>
      <rPr>
        <b/>
        <u/>
        <vertAlign val="subscript"/>
        <sz val="14"/>
        <color theme="1"/>
        <rFont val="Calibri"/>
        <family val="2"/>
        <scheme val="minor"/>
      </rPr>
      <t>4</t>
    </r>
    <r>
      <rPr>
        <b/>
        <u/>
        <sz val="14"/>
        <color theme="1"/>
        <rFont val="Calibri"/>
        <family val="2"/>
        <scheme val="minor"/>
      </rPr>
      <t>, and N</t>
    </r>
    <r>
      <rPr>
        <b/>
        <u/>
        <vertAlign val="subscript"/>
        <sz val="14"/>
        <color theme="1"/>
        <rFont val="Calibri"/>
        <family val="2"/>
        <scheme val="minor"/>
      </rPr>
      <t>2</t>
    </r>
    <r>
      <rPr>
        <b/>
        <u/>
        <sz val="14"/>
        <color theme="1"/>
        <rFont val="Calibri"/>
        <family val="2"/>
        <scheme val="minor"/>
      </rPr>
      <t xml:space="preserve">O in the columns highlighted in </t>
    </r>
    <r>
      <rPr>
        <b/>
        <u/>
        <sz val="14"/>
        <color theme="9"/>
        <rFont val="Calibri"/>
        <family val="2"/>
        <scheme val="minor"/>
      </rPr>
      <t>green</t>
    </r>
    <r>
      <rPr>
        <b/>
        <u/>
        <sz val="14"/>
        <color theme="1"/>
        <rFont val="Calibri"/>
        <family val="2"/>
        <scheme val="minor"/>
      </rPr>
      <t xml:space="preserve"> (columns B, C and D) on the Data tab</t>
    </r>
    <r>
      <rPr>
        <sz val="14"/>
        <color theme="1"/>
        <rFont val="Calibri"/>
        <family val="2"/>
        <scheme val="minor"/>
      </rPr>
      <t xml:space="preserve">. 
  • Only enter the emission changes for the GHGs that change as a consequence of the action. Leave the columns for GHGs that do not change blank. 
  • Please enter the emission changes </t>
    </r>
    <r>
      <rPr>
        <u/>
        <sz val="14"/>
        <color theme="1"/>
        <rFont val="Calibri"/>
        <family val="2"/>
        <scheme val="minor"/>
      </rPr>
      <t>only</t>
    </r>
    <r>
      <rPr>
        <sz val="14"/>
        <color theme="1"/>
        <rFont val="Calibri"/>
        <family val="2"/>
        <scheme val="minor"/>
      </rPr>
      <t xml:space="preserve"> in the period of study for your analysis. The period of study is the first year that there are emission changes for any GHG to the last year that there are emission changes for any gas.
  • Emission changes can be positive (if emissions are increasing relative to the baseline) or negative (if emissions are decreasing). If the policy only produces decreasing emissions, you may enter the emission changes as positive numbers and remember that the present value and annualized values are the benefits of those emission reductions.
  • For years </t>
    </r>
    <r>
      <rPr>
        <u/>
        <sz val="14"/>
        <color theme="1"/>
        <rFont val="Calibri"/>
        <family val="2"/>
        <scheme val="minor"/>
      </rPr>
      <t>within</t>
    </r>
    <r>
      <rPr>
        <sz val="14"/>
        <color theme="1"/>
        <rFont val="Calibri"/>
        <family val="2"/>
        <scheme val="minor"/>
      </rPr>
      <t xml:space="preserve"> the period of study with no changes in emissions, enter 0. For years </t>
    </r>
    <r>
      <rPr>
        <u/>
        <sz val="14"/>
        <color theme="1"/>
        <rFont val="Calibri"/>
        <family val="2"/>
        <scheme val="minor"/>
      </rPr>
      <t>outside</t>
    </r>
    <r>
      <rPr>
        <sz val="14"/>
        <color theme="1"/>
        <rFont val="Calibri"/>
        <family val="2"/>
        <scheme val="minor"/>
      </rPr>
      <t xml:space="preserve"> of the study period, leave the cells blank.
  • Column E on the data tab lists a checkmark for each year in which  CO</t>
    </r>
    <r>
      <rPr>
        <vertAlign val="subscript"/>
        <sz val="14"/>
        <color theme="1"/>
        <rFont val="Calibri"/>
        <family val="2"/>
        <scheme val="minor"/>
      </rPr>
      <t>2</t>
    </r>
    <r>
      <rPr>
        <sz val="14"/>
        <color theme="1"/>
        <rFont val="Calibri"/>
        <family val="2"/>
        <scheme val="minor"/>
      </rPr>
      <t>, CH</t>
    </r>
    <r>
      <rPr>
        <vertAlign val="subscript"/>
        <sz val="14"/>
        <color theme="1"/>
        <rFont val="Calibri"/>
        <family val="2"/>
        <scheme val="minor"/>
      </rPr>
      <t>4</t>
    </r>
    <r>
      <rPr>
        <sz val="14"/>
        <color theme="1"/>
        <rFont val="Calibri"/>
        <family val="2"/>
        <scheme val="minor"/>
      </rPr>
      <t>, and N</t>
    </r>
    <r>
      <rPr>
        <vertAlign val="subscript"/>
        <sz val="14"/>
        <color theme="1"/>
        <rFont val="Calibri"/>
        <family val="2"/>
        <scheme val="minor"/>
      </rPr>
      <t>2</t>
    </r>
    <r>
      <rPr>
        <sz val="14"/>
        <color theme="1"/>
        <rFont val="Calibri"/>
        <family val="2"/>
        <scheme val="minor"/>
      </rPr>
      <t xml:space="preserve">O emission changes have been entered. The number of checkmarks (reported in cell E6) is used in the annualization calculation. </t>
    </r>
    <r>
      <rPr>
        <i/>
        <sz val="14"/>
        <color theme="1"/>
        <rFont val="Calibri"/>
        <family val="2"/>
        <scheme val="minor"/>
      </rPr>
      <t>Please confirm that the number of checkmarks reflects the number of years in your study period (including years within the study period with no changes in emissions)</t>
    </r>
    <r>
      <rPr>
        <sz val="14"/>
        <color theme="1"/>
        <rFont val="Calibri"/>
        <family val="2"/>
        <scheme val="minor"/>
      </rPr>
      <t xml:space="preserve">.
</t>
    </r>
  </si>
  <si>
    <r>
      <rPr>
        <b/>
        <sz val="14"/>
        <color theme="1"/>
        <rFont val="Calibri"/>
        <family val="2"/>
        <scheme val="minor"/>
      </rPr>
      <t>Step 2:</t>
    </r>
    <r>
      <rPr>
        <sz val="14"/>
        <color theme="1"/>
        <rFont val="Calibri"/>
        <family val="2"/>
        <scheme val="minor"/>
      </rPr>
      <t xml:space="preserve">  </t>
    </r>
    <r>
      <rPr>
        <b/>
        <u/>
        <sz val="14"/>
        <color theme="1"/>
        <rFont val="Calibri"/>
        <family val="2"/>
        <scheme val="minor"/>
      </rPr>
      <t xml:space="preserve">Select the correct dollar year from the drop-down list in the </t>
    </r>
    <r>
      <rPr>
        <b/>
        <u/>
        <sz val="14"/>
        <color theme="5"/>
        <rFont val="Calibri"/>
        <family val="2"/>
        <scheme val="minor"/>
      </rPr>
      <t>orange</t>
    </r>
    <r>
      <rPr>
        <b/>
        <u/>
        <sz val="14"/>
        <color theme="1"/>
        <rFont val="Calibri"/>
        <family val="2"/>
        <scheme val="minor"/>
      </rPr>
      <t xml:space="preserve"> box (cell D3) on the Data tab</t>
    </r>
    <r>
      <rPr>
        <sz val="14"/>
        <color theme="1"/>
        <rFont val="Calibri"/>
        <family val="2"/>
        <scheme val="minor"/>
      </rPr>
      <t>.
  • The SC-GHG values are estimated in 2020 real dollars, but an analysis may report the costs and benefits for a different dollar year. ("Real dollars," or "constant dollars," are values expressed in dollars adjusted for inflation to reflect the purchasing power in a particular dollar year.) The dollar year is currently entered as 2020. If your dollar year is different, please select the correct year from the drop-down list.
  • The Annual Unrounded SC-CO</t>
    </r>
    <r>
      <rPr>
        <vertAlign val="subscript"/>
        <sz val="14"/>
        <color theme="1"/>
        <rFont val="Calibri"/>
        <family val="2"/>
        <scheme val="minor"/>
      </rPr>
      <t>2</t>
    </r>
    <r>
      <rPr>
        <sz val="14"/>
        <color theme="1"/>
        <rFont val="Calibri"/>
        <family val="2"/>
        <scheme val="minor"/>
      </rPr>
      <t>, SC-CH</t>
    </r>
    <r>
      <rPr>
        <vertAlign val="subscript"/>
        <sz val="14"/>
        <color theme="1"/>
        <rFont val="Calibri"/>
        <family val="2"/>
        <scheme val="minor"/>
      </rPr>
      <t>4</t>
    </r>
    <r>
      <rPr>
        <sz val="14"/>
        <color theme="1"/>
        <rFont val="Calibri"/>
        <family val="2"/>
        <scheme val="minor"/>
      </rPr>
      <t>, and SC-N</t>
    </r>
    <r>
      <rPr>
        <vertAlign val="subscript"/>
        <sz val="14"/>
        <color theme="1"/>
        <rFont val="Calibri"/>
        <family val="2"/>
        <scheme val="minor"/>
      </rPr>
      <t>2</t>
    </r>
    <r>
      <rPr>
        <sz val="14"/>
        <color theme="1"/>
        <rFont val="Calibri"/>
        <family val="2"/>
        <scheme val="minor"/>
      </rPr>
      <t xml:space="preserve">O Values, 2020-2080 (in 2020$) (rows 73-136 on the Data tab) will be adjusted for inflation to the dollar year using the GDP deflator (rows 140-143 on the Data tab), and the monetized value of emission changes for each GHG will reported in this dollar year.
</t>
    </r>
  </si>
  <si>
    <r>
      <t>The present values in 2021 and the equivalent annualized values for all GHGs are reported on the Results - Constant Rate tab. Because CO</t>
    </r>
    <r>
      <rPr>
        <vertAlign val="subscript"/>
        <sz val="11"/>
        <color theme="1"/>
        <rFont val="Calibri"/>
        <family val="2"/>
        <scheme val="minor"/>
      </rPr>
      <t>2</t>
    </r>
    <r>
      <rPr>
        <sz val="11"/>
        <color theme="1"/>
        <rFont val="Calibri"/>
        <family val="2"/>
        <scheme val="minor"/>
      </rPr>
      <t xml:space="preserve"> and N</t>
    </r>
    <r>
      <rPr>
        <vertAlign val="subscript"/>
        <sz val="11"/>
        <color theme="1"/>
        <rFont val="Calibri"/>
        <family val="2"/>
        <scheme val="minor"/>
      </rPr>
      <t>2</t>
    </r>
    <r>
      <rPr>
        <sz val="11"/>
        <color theme="1"/>
        <rFont val="Calibri"/>
        <family val="2"/>
        <scheme val="minor"/>
      </rPr>
      <t>O emissions were unaffected by this rule, only the results for CH</t>
    </r>
    <r>
      <rPr>
        <vertAlign val="subscript"/>
        <sz val="11"/>
        <color theme="1"/>
        <rFont val="Calibri"/>
        <family val="2"/>
        <scheme val="minor"/>
      </rPr>
      <t>4</t>
    </r>
    <r>
      <rPr>
        <sz val="11"/>
        <color theme="1"/>
        <rFont val="Calibri"/>
        <family val="2"/>
        <scheme val="minor"/>
      </rPr>
      <t xml:space="preserve"> were relevant for this analysis. The annualized value is based on the discount rate and the number of years in the study period. The study period for this analysis was 2024-2038, so the annualization was conducted for 15 years.</t>
    </r>
    <r>
      <rPr>
        <vertAlign val="superscript"/>
        <sz val="11"/>
        <color theme="1"/>
        <rFont val="Calibri"/>
        <family val="2"/>
        <scheme val="minor"/>
      </rPr>
      <t>2</t>
    </r>
  </si>
  <si>
    <t>Corrected the formula for the Total Annualized Value on the (G29:I29, "Results - Constant Rate" tab)</t>
  </si>
  <si>
    <t>Revised Example tab to reflect the new deflator.</t>
  </si>
  <si>
    <t>Minor corrections to ...</t>
  </si>
  <si>
    <t>Added version number to Read Me tab</t>
  </si>
  <si>
    <t>Corrected formula in "Years used in Annualization" cells (E9:E69) to look for emission changes in the same row for all three gases</t>
  </si>
  <si>
    <t>Corrected default years  in the "Present Value Year" (Lavender box, D2, Data tab) and "Dollar Year" (Green box, D3, Data tab) boxes on the Data tab when the spreasheet is opened</t>
  </si>
  <si>
    <t>Corrected SC-GHG Values for CO2, 2025, 1.5% (cell D80, Data tab); N2O, 2032, 2.5% (cell H32, Data tab); and N2O, 2047, 1.5% (cell J102, Data tab)</t>
  </si>
  <si>
    <t>1.0.2</t>
  </si>
  <si>
    <t>Added conditional formatting on "Emission Changes" cells (Green cells, B9:D69, Data tab and B5:D65, Results - Constant Rate tab ) to show values less than one metric ton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</si>
</sst>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
    <numFmt numFmtId="165" formatCode="0.0%"/>
    <numFmt numFmtId="166" formatCode="&quot;$&quot;#,##0.00"/>
    <numFmt numFmtId="167" formatCode="_(* #,##0_);_(* \(#,##0\);_(* &quot;-&quot;??_);_(@_)"/>
    <numFmt numFmtId="168" formatCode="&quot;$&quot;#,##0"/>
    <numFmt numFmtId="169" formatCode="#,##0.0_);[Red]\(#,##0.0\)"/>
  </numFmts>
  <fonts count="41" x14ac:knownFonts="1">
    <font>
      <sz val="11"/>
      <color theme="1"/>
      <name val="Calibri"/>
      <family val="2"/>
      <scheme val="minor"/>
    </font>
    <font>
      <b/>
      <sz val="11"/>
      <color theme="1"/>
      <name val="Calibri"/>
      <family val="2"/>
      <scheme val="minor"/>
    </font>
    <font>
      <b/>
      <u/>
      <sz val="11"/>
      <color theme="1"/>
      <name val="Calibri"/>
      <family val="2"/>
      <scheme val="minor"/>
    </font>
    <font>
      <u/>
      <sz val="11"/>
      <color theme="10"/>
      <name val="Calibri"/>
      <family val="2"/>
      <scheme val="minor"/>
    </font>
    <font>
      <i/>
      <u/>
      <sz val="11"/>
      <color theme="1"/>
      <name val="Calibri"/>
      <family val="2"/>
      <scheme val="minor"/>
    </font>
    <font>
      <i/>
      <u/>
      <sz val="11"/>
      <color theme="10"/>
      <name val="Calibri"/>
      <family val="2"/>
      <scheme val="minor"/>
    </font>
    <font>
      <i/>
      <sz val="11"/>
      <color theme="1"/>
      <name val="Calibri"/>
      <family val="2"/>
      <scheme val="minor"/>
    </font>
    <font>
      <sz val="11"/>
      <color theme="1"/>
      <name val="Calibri"/>
      <family val="2"/>
      <scheme val="minor"/>
    </font>
    <font>
      <b/>
      <sz val="11"/>
      <color rgb="FF3F3F3F"/>
      <name val="Calibri"/>
      <family val="2"/>
      <scheme val="minor"/>
    </font>
    <font>
      <b/>
      <sz val="14"/>
      <color theme="1"/>
      <name val="Calibri"/>
      <family val="2"/>
      <scheme val="minor"/>
    </font>
    <font>
      <sz val="11"/>
      <color rgb="FFFF0000"/>
      <name val="Calibri"/>
      <family val="2"/>
      <scheme val="minor"/>
    </font>
    <font>
      <b/>
      <sz val="10"/>
      <color indexed="8"/>
      <name val="Arial"/>
      <family val="2"/>
    </font>
    <font>
      <sz val="10"/>
      <color theme="1"/>
      <name val="Calibri"/>
      <family val="2"/>
      <scheme val="minor"/>
    </font>
    <font>
      <b/>
      <sz val="14"/>
      <color rgb="FFCC00FF"/>
      <name val="Calibri"/>
      <family val="2"/>
      <scheme val="minor"/>
    </font>
    <font>
      <b/>
      <sz val="14"/>
      <color theme="5"/>
      <name val="Calibri"/>
      <family val="2"/>
      <scheme val="minor"/>
    </font>
    <font>
      <b/>
      <sz val="14"/>
      <color theme="9"/>
      <name val="Calibri"/>
      <family val="2"/>
      <scheme val="minor"/>
    </font>
    <font>
      <sz val="14"/>
      <color theme="1"/>
      <name val="Calibri"/>
      <family val="2"/>
      <scheme val="minor"/>
    </font>
    <font>
      <b/>
      <sz val="14"/>
      <color rgb="FF000000"/>
      <name val="Calibri"/>
      <family val="2"/>
      <scheme val="minor"/>
    </font>
    <font>
      <sz val="14"/>
      <color rgb="FF000000"/>
      <name val="Calibri"/>
      <family val="2"/>
      <scheme val="minor"/>
    </font>
    <font>
      <b/>
      <u/>
      <sz val="14"/>
      <color rgb="FFCC00FF"/>
      <name val="Calibri"/>
      <family val="2"/>
      <scheme val="minor"/>
    </font>
    <font>
      <b/>
      <u/>
      <sz val="14"/>
      <color rgb="FF000000"/>
      <name val="Calibri"/>
      <family val="2"/>
      <scheme val="minor"/>
    </font>
    <font>
      <b/>
      <u/>
      <sz val="14"/>
      <color theme="1"/>
      <name val="Calibri"/>
      <family val="2"/>
      <scheme val="minor"/>
    </font>
    <font>
      <b/>
      <u/>
      <sz val="14"/>
      <color theme="5"/>
      <name val="Calibri"/>
      <family val="2"/>
      <scheme val="minor"/>
    </font>
    <font>
      <b/>
      <u/>
      <sz val="14"/>
      <color theme="9"/>
      <name val="Calibri"/>
      <family val="2"/>
      <scheme val="minor"/>
    </font>
    <font>
      <b/>
      <sz val="11"/>
      <color indexed="8"/>
      <name val="Calibri"/>
      <family val="2"/>
      <scheme val="minor"/>
    </font>
    <font>
      <b/>
      <u/>
      <sz val="12"/>
      <color theme="1"/>
      <name val="Calibri"/>
      <family val="2"/>
      <scheme val="minor"/>
    </font>
    <font>
      <u/>
      <sz val="11"/>
      <color theme="1"/>
      <name val="Calibri"/>
      <family val="2"/>
      <scheme val="minor"/>
    </font>
    <font>
      <b/>
      <u/>
      <sz val="14"/>
      <color rgb="FFFF0000"/>
      <name val="Calibri"/>
      <family val="2"/>
      <scheme val="minor"/>
    </font>
    <font>
      <b/>
      <u/>
      <sz val="14"/>
      <color rgb="FF00B0F0"/>
      <name val="Calibri"/>
      <family val="2"/>
      <scheme val="minor"/>
    </font>
    <font>
      <b/>
      <sz val="14"/>
      <color rgb="FF00B0F0"/>
      <name val="Calibri"/>
      <family val="2"/>
      <scheme val="minor"/>
    </font>
    <font>
      <b/>
      <sz val="14"/>
      <color theme="4"/>
      <name val="Calibri"/>
      <family val="2"/>
      <scheme val="minor"/>
    </font>
    <font>
      <b/>
      <sz val="12"/>
      <color rgb="FFFF0000"/>
      <name val="Calibri"/>
      <family val="2"/>
      <scheme val="minor"/>
    </font>
    <font>
      <sz val="11"/>
      <color theme="1"/>
      <name val="Calibri"/>
      <family val="2"/>
    </font>
    <font>
      <vertAlign val="superscript"/>
      <sz val="11"/>
      <color theme="1"/>
      <name val="Calibri"/>
      <family val="2"/>
      <scheme val="minor"/>
    </font>
    <font>
      <vertAlign val="subscript"/>
      <sz val="11"/>
      <color theme="1"/>
      <name val="Calibri"/>
      <family val="2"/>
      <scheme val="minor"/>
    </font>
    <font>
      <u/>
      <sz val="14"/>
      <color theme="1"/>
      <name val="Calibri"/>
      <family val="2"/>
      <scheme val="minor"/>
    </font>
    <font>
      <b/>
      <u/>
      <vertAlign val="subscript"/>
      <sz val="14"/>
      <color theme="1"/>
      <name val="Calibri"/>
      <family val="2"/>
      <scheme val="minor"/>
    </font>
    <font>
      <vertAlign val="subscript"/>
      <sz val="14"/>
      <color theme="1"/>
      <name val="Calibri"/>
      <family val="2"/>
      <scheme val="minor"/>
    </font>
    <font>
      <vertAlign val="subscript"/>
      <sz val="14"/>
      <color rgb="FF000000"/>
      <name val="Calibri"/>
      <family val="2"/>
      <scheme val="minor"/>
    </font>
    <font>
      <i/>
      <sz val="14"/>
      <color theme="1"/>
      <name val="Calibri"/>
      <family val="2"/>
      <scheme val="minor"/>
    </font>
    <font>
      <sz val="11"/>
      <name val="Wingdings"/>
      <charset val="2"/>
    </font>
  </fonts>
  <fills count="13">
    <fill>
      <patternFill patternType="none"/>
    </fill>
    <fill>
      <patternFill patternType="gray125"/>
    </fill>
    <fill>
      <patternFill patternType="solid">
        <fgColor rgb="FFCC99FF"/>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rgb="FFF2F2F2"/>
      </patternFill>
    </fill>
    <fill>
      <patternFill patternType="solid">
        <fgColor theme="6"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DBDBDB"/>
        <bgColor indexed="64"/>
      </patternFill>
    </fill>
  </fills>
  <borders count="7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auto="1"/>
      </left>
      <right style="thin">
        <color auto="1"/>
      </right>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auto="1"/>
      </right>
      <top style="medium">
        <color indexed="64"/>
      </top>
      <bottom style="medium">
        <color indexed="64"/>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auto="1"/>
      </left>
      <right/>
      <top style="medium">
        <color indexed="64"/>
      </top>
      <bottom style="medium">
        <color indexed="64"/>
      </bottom>
      <diagonal/>
    </border>
    <border>
      <left style="thin">
        <color auto="1"/>
      </left>
      <right/>
      <top/>
      <bottom style="thin">
        <color auto="1"/>
      </bottom>
      <diagonal/>
    </border>
    <border>
      <left style="medium">
        <color indexed="64"/>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style="medium">
        <color indexed="64"/>
      </right>
      <top/>
      <bottom style="thin">
        <color auto="1"/>
      </bottom>
      <diagonal/>
    </border>
    <border>
      <left style="medium">
        <color indexed="64"/>
      </left>
      <right style="medium">
        <color indexed="64"/>
      </right>
      <top style="medium">
        <color indexed="64"/>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auto="1"/>
      </right>
      <top/>
      <bottom style="medium">
        <color indexed="64"/>
      </bottom>
      <diagonal/>
    </border>
    <border>
      <left/>
      <right style="thin">
        <color auto="1"/>
      </right>
      <top style="thin">
        <color auto="1"/>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top style="thin">
        <color auto="1"/>
      </top>
      <bottom style="thin">
        <color auto="1"/>
      </bottom>
      <diagonal/>
    </border>
    <border>
      <left style="medium">
        <color indexed="64"/>
      </left>
      <right/>
      <top/>
      <bottom style="thin">
        <color auto="1"/>
      </bottom>
      <diagonal/>
    </border>
    <border>
      <left style="medium">
        <color indexed="64"/>
      </left>
      <right/>
      <top style="thin">
        <color auto="1"/>
      </top>
      <bottom style="medium">
        <color indexed="64"/>
      </bottom>
      <diagonal/>
    </border>
    <border>
      <left style="thin">
        <color auto="1"/>
      </left>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style="medium">
        <color indexed="64"/>
      </right>
      <top/>
      <bottom/>
      <diagonal/>
    </border>
    <border>
      <left style="thin">
        <color rgb="FF3F3F3F"/>
      </left>
      <right style="thin">
        <color rgb="FF3F3F3F"/>
      </right>
      <top style="thin">
        <color rgb="FF3F3F3F"/>
      </top>
      <bottom style="thin">
        <color rgb="FF3F3F3F"/>
      </bottom>
      <diagonal/>
    </border>
    <border>
      <left/>
      <right style="thin">
        <color auto="1"/>
      </right>
      <top/>
      <bottom/>
      <diagonal/>
    </border>
    <border>
      <left style="thin">
        <color auto="1"/>
      </left>
      <right style="thin">
        <color auto="1"/>
      </right>
      <top/>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style="medium">
        <color indexed="64"/>
      </right>
      <top style="medium">
        <color indexed="64"/>
      </top>
      <bottom/>
      <diagonal/>
    </border>
    <border>
      <left style="thin">
        <color auto="1"/>
      </left>
      <right style="medium">
        <color indexed="64"/>
      </right>
      <top/>
      <bottom/>
      <diagonal/>
    </border>
    <border>
      <left style="thin">
        <color auto="1"/>
      </left>
      <right/>
      <top/>
      <bottom style="medium">
        <color indexed="64"/>
      </bottom>
      <diagonal/>
    </border>
    <border>
      <left style="medium">
        <color indexed="64"/>
      </left>
      <right style="thin">
        <color rgb="FF3F3F3F"/>
      </right>
      <top style="medium">
        <color indexed="64"/>
      </top>
      <bottom style="medium">
        <color indexed="64"/>
      </bottom>
      <diagonal/>
    </border>
    <border>
      <left style="thin">
        <color rgb="FF3F3F3F"/>
      </left>
      <right style="thin">
        <color rgb="FF3F3F3F"/>
      </right>
      <top style="medium">
        <color indexed="64"/>
      </top>
      <bottom style="medium">
        <color indexed="64"/>
      </bottom>
      <diagonal/>
    </border>
    <border>
      <left style="thin">
        <color rgb="FF3F3F3F"/>
      </left>
      <right style="medium">
        <color indexed="64"/>
      </right>
      <top style="medium">
        <color indexed="64"/>
      </top>
      <bottom style="medium">
        <color indexed="64"/>
      </bottom>
      <diagonal/>
    </border>
    <border>
      <left/>
      <right style="thin">
        <color rgb="FF3F3F3F"/>
      </right>
      <top style="medium">
        <color indexed="64"/>
      </top>
      <bottom style="medium">
        <color indexed="64"/>
      </bottom>
      <diagonal/>
    </border>
    <border>
      <left style="thin">
        <color rgb="FF3F3F3F"/>
      </left>
      <right/>
      <top style="medium">
        <color indexed="64"/>
      </top>
      <bottom style="medium">
        <color indexed="64"/>
      </bottom>
      <diagonal/>
    </border>
    <border>
      <left/>
      <right/>
      <top style="double">
        <color auto="1"/>
      </top>
      <bottom/>
      <diagonal/>
    </border>
    <border>
      <left/>
      <right/>
      <top/>
      <bottom style="double">
        <color auto="1"/>
      </bottom>
      <diagonal/>
    </border>
    <border>
      <left/>
      <right/>
      <top/>
      <bottom style="thin">
        <color indexed="64"/>
      </bottom>
      <diagonal/>
    </border>
    <border>
      <left/>
      <right/>
      <top style="double">
        <color auto="1"/>
      </top>
      <bottom style="thin">
        <color indexed="64"/>
      </bottom>
      <diagonal/>
    </border>
    <border>
      <left/>
      <right/>
      <top style="thin">
        <color indexed="64"/>
      </top>
      <bottom style="thin">
        <color indexed="64"/>
      </bottom>
      <diagonal/>
    </border>
    <border>
      <left/>
      <right/>
      <top style="thin">
        <color rgb="FF000000"/>
      </top>
      <bottom style="medium">
        <color auto="1"/>
      </bottom>
      <diagonal/>
    </border>
    <border>
      <left/>
      <right/>
      <top style="double">
        <color auto="1"/>
      </top>
      <bottom style="thin">
        <color rgb="FF000000"/>
      </bottom>
      <diagonal/>
    </border>
    <border>
      <left/>
      <right/>
      <top style="thin">
        <color rgb="FF000000"/>
      </top>
      <bottom style="thin">
        <color rgb="FF000000"/>
      </bottom>
      <diagonal/>
    </border>
    <border>
      <left/>
      <right style="medium">
        <color indexed="64"/>
      </right>
      <top style="thin">
        <color auto="1"/>
      </top>
      <bottom style="thin">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rgb="FF3F3F3F"/>
      </right>
      <top style="thin">
        <color indexed="64"/>
      </top>
      <bottom style="medium">
        <color indexed="64"/>
      </bottom>
      <diagonal/>
    </border>
    <border>
      <left style="thin">
        <color rgb="FF3F3F3F"/>
      </left>
      <right style="thin">
        <color rgb="FF3F3F3F"/>
      </right>
      <top style="thin">
        <color indexed="64"/>
      </top>
      <bottom style="medium">
        <color indexed="64"/>
      </bottom>
      <diagonal/>
    </border>
    <border>
      <left style="thin">
        <color rgb="FF3F3F3F"/>
      </left>
      <right style="medium">
        <color indexed="64"/>
      </right>
      <top style="thin">
        <color indexed="64"/>
      </top>
      <bottom style="medium">
        <color indexed="64"/>
      </bottom>
      <diagonal/>
    </border>
  </borders>
  <cellStyleXfs count="6">
    <xf numFmtId="0" fontId="0" fillId="0" borderId="0"/>
    <xf numFmtId="0" fontId="3" fillId="0" borderId="0" applyNumberFormat="0" applyFill="0" applyBorder="0" applyAlignment="0" applyProtection="0"/>
    <xf numFmtId="0" fontId="8" fillId="5" borderId="47" applyNumberFormat="0" applyAlignment="0" applyProtection="0"/>
    <xf numFmtId="0" fontId="7" fillId="6" borderId="0" applyNumberFormat="0" applyBorder="0" applyAlignment="0" applyProtection="0"/>
    <xf numFmtId="0" fontId="7" fillId="7" borderId="0" applyNumberFormat="0" applyBorder="0" applyAlignment="0" applyProtection="0"/>
    <xf numFmtId="43" fontId="7" fillId="0" borderId="0" applyFont="0" applyFill="0" applyBorder="0" applyAlignment="0" applyProtection="0"/>
  </cellStyleXfs>
  <cellXfs count="315">
    <xf numFmtId="0" fontId="0" fillId="0" borderId="0" xfId="0"/>
    <xf numFmtId="0" fontId="1" fillId="0" borderId="3" xfId="0" applyFont="1" applyBorder="1"/>
    <xf numFmtId="0" fontId="1" fillId="0" borderId="0" xfId="0" applyFont="1"/>
    <xf numFmtId="0" fontId="0" fillId="0" borderId="0" xfId="0" applyBorder="1"/>
    <xf numFmtId="0" fontId="0" fillId="0" borderId="0" xfId="0" applyBorder="1" applyAlignment="1">
      <alignment horizontal="center"/>
    </xf>
    <xf numFmtId="0" fontId="0" fillId="0" borderId="31" xfId="0" applyBorder="1"/>
    <xf numFmtId="0" fontId="7" fillId="6" borderId="11" xfId="3" applyBorder="1" applyAlignment="1">
      <alignment horizontal="center"/>
    </xf>
    <xf numFmtId="0" fontId="7" fillId="7" borderId="42" xfId="4" applyBorder="1" applyAlignment="1">
      <alignment horizontal="left"/>
    </xf>
    <xf numFmtId="0" fontId="7" fillId="7" borderId="9" xfId="4" applyBorder="1"/>
    <xf numFmtId="0" fontId="7" fillId="7" borderId="44" xfId="4" applyBorder="1"/>
    <xf numFmtId="0" fontId="1" fillId="2" borderId="3" xfId="0" applyFont="1" applyFill="1" applyBorder="1"/>
    <xf numFmtId="0" fontId="1" fillId="3" borderId="5" xfId="0" applyFont="1" applyFill="1" applyBorder="1"/>
    <xf numFmtId="0" fontId="9" fillId="0" borderId="0" xfId="0" applyFont="1"/>
    <xf numFmtId="0" fontId="7" fillId="6" borderId="12" xfId="3" applyBorder="1" applyAlignment="1">
      <alignment horizontal="center"/>
    </xf>
    <xf numFmtId="0" fontId="7" fillId="6" borderId="13" xfId="3" applyBorder="1" applyAlignment="1">
      <alignment horizontal="center"/>
    </xf>
    <xf numFmtId="0" fontId="7" fillId="6" borderId="3" xfId="3" applyBorder="1" applyAlignment="1">
      <alignment horizontal="center"/>
    </xf>
    <xf numFmtId="0" fontId="7" fillId="6" borderId="31" xfId="3" applyBorder="1" applyAlignment="1">
      <alignment horizontal="center"/>
    </xf>
    <xf numFmtId="166" fontId="0" fillId="0" borderId="21" xfId="0" applyNumberFormat="1" applyBorder="1"/>
    <xf numFmtId="166" fontId="0" fillId="0" borderId="2" xfId="0" applyNumberFormat="1" applyBorder="1"/>
    <xf numFmtId="166" fontId="0" fillId="0" borderId="22" xfId="0" applyNumberFormat="1" applyBorder="1"/>
    <xf numFmtId="166" fontId="0" fillId="0" borderId="15" xfId="0" applyNumberFormat="1" applyBorder="1" applyAlignment="1">
      <alignment horizontal="right" vertical="center"/>
    </xf>
    <xf numFmtId="167" fontId="0" fillId="4" borderId="39" xfId="5" applyNumberFormat="1" applyFont="1" applyFill="1" applyBorder="1" applyAlignment="1">
      <alignment horizontal="center"/>
    </xf>
    <xf numFmtId="166" fontId="1" fillId="0" borderId="32" xfId="0" applyNumberFormat="1" applyFont="1" applyBorder="1"/>
    <xf numFmtId="166" fontId="1" fillId="0" borderId="3" xfId="0" applyNumberFormat="1" applyFont="1" applyBorder="1"/>
    <xf numFmtId="166" fontId="1" fillId="0" borderId="14" xfId="0" applyNumberFormat="1" applyFont="1" applyBorder="1"/>
    <xf numFmtId="166" fontId="1" fillId="0" borderId="7" xfId="0" applyNumberFormat="1" applyFont="1" applyBorder="1"/>
    <xf numFmtId="166" fontId="1" fillId="0" borderId="8" xfId="0" applyNumberFormat="1" applyFont="1" applyBorder="1"/>
    <xf numFmtId="167" fontId="0" fillId="0" borderId="3" xfId="5" applyNumberFormat="1" applyFont="1" applyBorder="1"/>
    <xf numFmtId="167" fontId="0" fillId="0" borderId="4" xfId="5" applyNumberFormat="1" applyFont="1" applyBorder="1"/>
    <xf numFmtId="167" fontId="0" fillId="4" borderId="27" xfId="5" applyNumberFormat="1" applyFont="1" applyFill="1" applyBorder="1" applyAlignment="1">
      <alignment horizontal="center"/>
    </xf>
    <xf numFmtId="167" fontId="0" fillId="4" borderId="11" xfId="5" applyNumberFormat="1" applyFont="1" applyFill="1" applyBorder="1" applyAlignment="1">
      <alignment horizontal="center"/>
    </xf>
    <xf numFmtId="0" fontId="1" fillId="6" borderId="6" xfId="3" applyFont="1" applyBorder="1" applyAlignment="1">
      <alignment horizontal="center" wrapText="1"/>
    </xf>
    <xf numFmtId="0" fontId="1" fillId="6" borderId="7" xfId="3" applyFont="1" applyBorder="1" applyAlignment="1">
      <alignment horizontal="center" wrapText="1"/>
    </xf>
    <xf numFmtId="0" fontId="1" fillId="6" borderId="17" xfId="3" applyFont="1" applyBorder="1" applyAlignment="1">
      <alignment horizontal="center" wrapText="1"/>
    </xf>
    <xf numFmtId="0" fontId="1" fillId="6" borderId="8" xfId="3" applyFont="1" applyBorder="1" applyAlignment="1">
      <alignment horizontal="center" wrapText="1"/>
    </xf>
    <xf numFmtId="0" fontId="1" fillId="6" borderId="14" xfId="3" applyFont="1" applyBorder="1" applyAlignment="1">
      <alignment horizontal="center" wrapText="1"/>
    </xf>
    <xf numFmtId="0" fontId="0" fillId="0" borderId="0" xfId="0" applyAlignment="1"/>
    <xf numFmtId="165" fontId="1" fillId="6" borderId="28" xfId="3" applyNumberFormat="1" applyFont="1" applyBorder="1" applyAlignment="1">
      <alignment horizontal="center"/>
    </xf>
    <xf numFmtId="165" fontId="1" fillId="6" borderId="29" xfId="3" applyNumberFormat="1" applyFont="1" applyBorder="1" applyAlignment="1">
      <alignment horizontal="center"/>
    </xf>
    <xf numFmtId="165" fontId="1" fillId="6" borderId="54" xfId="3" applyNumberFormat="1" applyFont="1" applyBorder="1" applyAlignment="1">
      <alignment horizontal="center"/>
    </xf>
    <xf numFmtId="165" fontId="1" fillId="6" borderId="30" xfId="3" applyNumberFormat="1" applyFont="1" applyBorder="1" applyAlignment="1">
      <alignment horizontal="center"/>
    </xf>
    <xf numFmtId="165" fontId="1" fillId="6" borderId="33" xfId="3" applyNumberFormat="1" applyFont="1" applyBorder="1" applyAlignment="1">
      <alignment horizontal="center"/>
    </xf>
    <xf numFmtId="0" fontId="2" fillId="0" borderId="45" xfId="0" applyFont="1" applyBorder="1" applyAlignment="1">
      <alignment vertical="center"/>
    </xf>
    <xf numFmtId="0" fontId="1" fillId="9" borderId="19" xfId="0" applyFont="1" applyFill="1" applyBorder="1"/>
    <xf numFmtId="0" fontId="1" fillId="9" borderId="21" xfId="0" applyFont="1" applyFill="1" applyBorder="1"/>
    <xf numFmtId="0" fontId="1" fillId="9" borderId="23" xfId="0" applyFont="1" applyFill="1" applyBorder="1"/>
    <xf numFmtId="0" fontId="1" fillId="0" borderId="6" xfId="0" applyFont="1" applyBorder="1"/>
    <xf numFmtId="0" fontId="7" fillId="9" borderId="35" xfId="3" applyFill="1" applyBorder="1"/>
    <xf numFmtId="0" fontId="7" fillId="9" borderId="23" xfId="3" applyFill="1" applyBorder="1"/>
    <xf numFmtId="0" fontId="7" fillId="9" borderId="36" xfId="3" applyFill="1" applyBorder="1" applyAlignment="1">
      <alignment horizontal="right"/>
    </xf>
    <xf numFmtId="0" fontId="7" fillId="9" borderId="37" xfId="3" applyFill="1" applyBorder="1" applyAlignment="1">
      <alignment horizontal="right"/>
    </xf>
    <xf numFmtId="165" fontId="7" fillId="9" borderId="24" xfId="3" applyNumberFormat="1" applyFill="1" applyBorder="1" applyAlignment="1">
      <alignment horizontal="right"/>
    </xf>
    <xf numFmtId="165" fontId="7" fillId="9" borderId="25" xfId="3" applyNumberFormat="1" applyFill="1" applyBorder="1" applyAlignment="1">
      <alignment horizontal="right"/>
    </xf>
    <xf numFmtId="166" fontId="0" fillId="9" borderId="2" xfId="0" applyNumberFormat="1" applyFill="1" applyBorder="1" applyAlignment="1">
      <alignment horizontal="right"/>
    </xf>
    <xf numFmtId="166" fontId="0" fillId="9" borderId="24" xfId="0" applyNumberFormat="1" applyFill="1" applyBorder="1" applyAlignment="1">
      <alignment horizontal="right"/>
    </xf>
    <xf numFmtId="166" fontId="0" fillId="9" borderId="2" xfId="0" applyNumberFormat="1" applyFont="1" applyFill="1" applyBorder="1" applyAlignment="1">
      <alignment horizontal="right"/>
    </xf>
    <xf numFmtId="166" fontId="1" fillId="9" borderId="10" xfId="0" applyNumberFormat="1" applyFont="1" applyFill="1" applyBorder="1" applyAlignment="1">
      <alignment horizontal="right"/>
    </xf>
    <xf numFmtId="166" fontId="1" fillId="9" borderId="36" xfId="0" applyNumberFormat="1" applyFont="1" applyFill="1" applyBorder="1" applyAlignment="1">
      <alignment horizontal="right"/>
    </xf>
    <xf numFmtId="166" fontId="1" fillId="9" borderId="24" xfId="0" applyNumberFormat="1" applyFont="1" applyFill="1" applyBorder="1" applyAlignment="1">
      <alignment horizontal="right"/>
    </xf>
    <xf numFmtId="166" fontId="1" fillId="9" borderId="25" xfId="0" applyNumberFormat="1" applyFont="1" applyFill="1" applyBorder="1" applyAlignment="1">
      <alignment horizontal="right"/>
    </xf>
    <xf numFmtId="167" fontId="1" fillId="0" borderId="0" xfId="5" applyNumberFormat="1" applyFont="1" applyBorder="1"/>
    <xf numFmtId="0" fontId="0" fillId="0" borderId="0" xfId="0" applyAlignment="1">
      <alignment horizontal="right"/>
    </xf>
    <xf numFmtId="0" fontId="0" fillId="0" borderId="60" xfId="0" applyBorder="1"/>
    <xf numFmtId="0" fontId="12" fillId="0" borderId="0" xfId="0" applyFont="1"/>
    <xf numFmtId="1" fontId="1" fillId="0" borderId="0" xfId="0" applyNumberFormat="1" applyFont="1" applyBorder="1" applyAlignment="1">
      <alignment horizontal="center"/>
    </xf>
    <xf numFmtId="1" fontId="1" fillId="0" borderId="62" xfId="0" applyNumberFormat="1" applyFont="1" applyBorder="1" applyAlignment="1">
      <alignment horizontal="center"/>
    </xf>
    <xf numFmtId="1" fontId="1" fillId="0" borderId="61" xfId="0" applyNumberFormat="1" applyFont="1" applyBorder="1" applyAlignment="1">
      <alignment horizontal="center"/>
    </xf>
    <xf numFmtId="0" fontId="1" fillId="0" borderId="45" xfId="0" applyFont="1" applyBorder="1" applyAlignment="1">
      <alignment horizontal="center" wrapText="1"/>
    </xf>
    <xf numFmtId="3" fontId="0" fillId="0" borderId="0" xfId="0" applyNumberFormat="1" applyBorder="1" applyAlignment="1">
      <alignment horizontal="center"/>
    </xf>
    <xf numFmtId="3" fontId="0" fillId="0" borderId="62" xfId="0" applyNumberFormat="1" applyBorder="1" applyAlignment="1">
      <alignment horizontal="center"/>
    </xf>
    <xf numFmtId="3" fontId="0" fillId="0" borderId="61" xfId="0" applyNumberFormat="1" applyBorder="1" applyAlignment="1">
      <alignment horizontal="center"/>
    </xf>
    <xf numFmtId="0" fontId="10" fillId="0" borderId="0" xfId="0" applyFont="1"/>
    <xf numFmtId="0" fontId="0" fillId="10" borderId="1" xfId="0" applyFill="1" applyBorder="1"/>
    <xf numFmtId="0" fontId="0" fillId="10" borderId="64" xfId="0" applyFill="1" applyBorder="1"/>
    <xf numFmtId="0" fontId="0" fillId="10" borderId="16" xfId="0" applyFill="1" applyBorder="1"/>
    <xf numFmtId="0" fontId="1" fillId="0" borderId="45" xfId="0" applyFont="1" applyBorder="1"/>
    <xf numFmtId="167" fontId="0" fillId="11" borderId="0" xfId="5" applyNumberFormat="1" applyFont="1" applyFill="1"/>
    <xf numFmtId="167" fontId="0" fillId="8" borderId="0" xfId="5" applyNumberFormat="1" applyFont="1" applyFill="1"/>
    <xf numFmtId="0" fontId="1" fillId="0" borderId="61" xfId="0" applyFont="1" applyBorder="1"/>
    <xf numFmtId="167" fontId="0" fillId="11" borderId="61" xfId="5" applyNumberFormat="1" applyFont="1" applyFill="1" applyBorder="1"/>
    <xf numFmtId="167" fontId="0" fillId="8" borderId="61" xfId="5" applyNumberFormat="1" applyFont="1" applyFill="1" applyBorder="1"/>
    <xf numFmtId="0" fontId="0" fillId="0" borderId="61" xfId="0" applyBorder="1"/>
    <xf numFmtId="168" fontId="0" fillId="0" borderId="0" xfId="0" applyNumberFormat="1" applyBorder="1" applyAlignment="1">
      <alignment horizontal="center"/>
    </xf>
    <xf numFmtId="168" fontId="0" fillId="0" borderId="45" xfId="0" applyNumberFormat="1" applyBorder="1" applyAlignment="1">
      <alignment horizontal="center"/>
    </xf>
    <xf numFmtId="168" fontId="0" fillId="0" borderId="61" xfId="0" applyNumberFormat="1" applyBorder="1" applyAlignment="1">
      <alignment horizontal="center"/>
    </xf>
    <xf numFmtId="165" fontId="11" fillId="0" borderId="65" xfId="0" applyNumberFormat="1" applyFont="1" applyBorder="1" applyAlignment="1">
      <alignment horizontal="center" shrinkToFit="1"/>
    </xf>
    <xf numFmtId="0" fontId="0" fillId="0" borderId="0" xfId="0" applyAlignment="1">
      <alignment horizontal="center"/>
    </xf>
    <xf numFmtId="0" fontId="9" fillId="0" borderId="0" xfId="0" applyFont="1" applyAlignment="1">
      <alignment wrapText="1"/>
    </xf>
    <xf numFmtId="0" fontId="16" fillId="0" borderId="0" xfId="0" applyFont="1"/>
    <xf numFmtId="0" fontId="16" fillId="0" borderId="2" xfId="0" applyFont="1" applyBorder="1" applyAlignment="1">
      <alignment wrapText="1"/>
    </xf>
    <xf numFmtId="0" fontId="17" fillId="0" borderId="2" xfId="0" applyFont="1" applyBorder="1" applyAlignment="1">
      <alignment vertical="top" wrapText="1"/>
    </xf>
    <xf numFmtId="0" fontId="16" fillId="0" borderId="2" xfId="0" applyFont="1" applyBorder="1" applyAlignment="1">
      <alignment vertical="top" wrapText="1"/>
    </xf>
    <xf numFmtId="0" fontId="0" fillId="0" borderId="0" xfId="0" applyFont="1"/>
    <xf numFmtId="165" fontId="24" fillId="0" borderId="67" xfId="0" applyNumberFormat="1" applyFont="1" applyBorder="1" applyAlignment="1">
      <alignment shrinkToFit="1"/>
    </xf>
    <xf numFmtId="0" fontId="0" fillId="0" borderId="60" xfId="0" applyFont="1" applyBorder="1"/>
    <xf numFmtId="168" fontId="0" fillId="0" borderId="0" xfId="0" applyNumberFormat="1" applyFont="1" applyBorder="1"/>
    <xf numFmtId="168" fontId="0" fillId="0" borderId="61" xfId="0" applyNumberFormat="1" applyFont="1" applyBorder="1"/>
    <xf numFmtId="1" fontId="0" fillId="0" borderId="0" xfId="0" applyNumberFormat="1" applyFont="1" applyBorder="1" applyAlignment="1">
      <alignment horizontal="center"/>
    </xf>
    <xf numFmtId="1" fontId="0" fillId="0" borderId="61" xfId="0" applyNumberFormat="1" applyFont="1" applyBorder="1" applyAlignment="1">
      <alignment horizontal="center"/>
    </xf>
    <xf numFmtId="0" fontId="1" fillId="0" borderId="62" xfId="0" applyFont="1" applyBorder="1" applyAlignment="1">
      <alignment horizontal="center"/>
    </xf>
    <xf numFmtId="0" fontId="1" fillId="0" borderId="50" xfId="0" applyFont="1" applyBorder="1"/>
    <xf numFmtId="0" fontId="0" fillId="0" borderId="52" xfId="0" applyBorder="1" applyAlignment="1">
      <alignment horizontal="right"/>
    </xf>
    <xf numFmtId="165" fontId="0" fillId="0" borderId="7" xfId="0" applyNumberFormat="1" applyBorder="1" applyAlignment="1">
      <alignment horizontal="right"/>
    </xf>
    <xf numFmtId="165" fontId="0" fillId="0" borderId="8" xfId="0" applyNumberFormat="1" applyBorder="1" applyAlignment="1">
      <alignment horizontal="right"/>
    </xf>
    <xf numFmtId="0" fontId="1" fillId="9" borderId="35" xfId="3" applyFont="1" applyFill="1" applyBorder="1"/>
    <xf numFmtId="0" fontId="1" fillId="9" borderId="36" xfId="3" applyFont="1" applyFill="1" applyBorder="1" applyAlignment="1">
      <alignment horizontal="right"/>
    </xf>
    <xf numFmtId="0" fontId="1" fillId="9" borderId="37" xfId="3" applyFont="1" applyFill="1" applyBorder="1" applyAlignment="1">
      <alignment horizontal="right"/>
    </xf>
    <xf numFmtId="0" fontId="1" fillId="9" borderId="23" xfId="3" applyFont="1" applyFill="1" applyBorder="1"/>
    <xf numFmtId="165" fontId="1" fillId="9" borderId="24" xfId="3" applyNumberFormat="1" applyFont="1" applyFill="1" applyBorder="1" applyAlignment="1">
      <alignment horizontal="right"/>
    </xf>
    <xf numFmtId="165" fontId="1" fillId="9" borderId="25" xfId="3" applyNumberFormat="1" applyFont="1" applyFill="1" applyBorder="1" applyAlignment="1">
      <alignment horizontal="right"/>
    </xf>
    <xf numFmtId="0" fontId="1" fillId="6" borderId="3" xfId="3" applyFont="1" applyBorder="1" applyAlignment="1">
      <alignment horizontal="center"/>
    </xf>
    <xf numFmtId="0" fontId="25" fillId="0" borderId="0" xfId="0" applyFont="1"/>
    <xf numFmtId="166" fontId="0" fillId="0" borderId="19" xfId="0" applyNumberFormat="1" applyBorder="1" applyAlignment="1">
      <alignment horizontal="right" vertical="center"/>
    </xf>
    <xf numFmtId="166" fontId="0" fillId="0" borderId="26" xfId="0" applyNumberFormat="1" applyBorder="1" applyAlignment="1">
      <alignment horizontal="right" vertical="center"/>
    </xf>
    <xf numFmtId="166" fontId="1" fillId="0" borderId="6" xfId="0" applyNumberFormat="1" applyFont="1" applyBorder="1"/>
    <xf numFmtId="0" fontId="1" fillId="0" borderId="45" xfId="0" applyFont="1" applyBorder="1" applyAlignment="1">
      <alignment horizontal="center"/>
    </xf>
    <xf numFmtId="0" fontId="0" fillId="0" borderId="45" xfId="0" applyBorder="1" applyAlignment="1">
      <alignment horizontal="center"/>
    </xf>
    <xf numFmtId="0" fontId="1" fillId="6" borderId="31" xfId="3" applyFont="1" applyBorder="1" applyAlignment="1">
      <alignment horizontal="center"/>
    </xf>
    <xf numFmtId="0" fontId="1" fillId="6" borderId="4" xfId="3" applyFont="1" applyBorder="1" applyAlignment="1">
      <alignment horizontal="center"/>
    </xf>
    <xf numFmtId="0" fontId="0" fillId="0" borderId="0" xfId="0" applyAlignment="1">
      <alignment wrapText="1"/>
    </xf>
    <xf numFmtId="0" fontId="16" fillId="0" borderId="0" xfId="0" applyFont="1" applyAlignment="1">
      <alignment wrapText="1"/>
    </xf>
    <xf numFmtId="0" fontId="1" fillId="2" borderId="3" xfId="0" applyFont="1" applyFill="1" applyBorder="1" applyProtection="1">
      <protection locked="0"/>
    </xf>
    <xf numFmtId="0" fontId="1" fillId="3" borderId="5" xfId="0" applyFont="1" applyFill="1" applyBorder="1" applyProtection="1">
      <protection locked="0"/>
    </xf>
    <xf numFmtId="0" fontId="0" fillId="0" borderId="31" xfId="0" applyBorder="1" applyProtection="1"/>
    <xf numFmtId="167" fontId="0" fillId="0" borderId="0" xfId="5" applyNumberFormat="1" applyFont="1" applyFill="1" applyBorder="1" applyProtection="1"/>
    <xf numFmtId="0" fontId="0" fillId="0" borderId="0" xfId="0" applyProtection="1"/>
    <xf numFmtId="0" fontId="0" fillId="0" borderId="0" xfId="0" applyBorder="1" applyProtection="1"/>
    <xf numFmtId="0" fontId="7" fillId="6" borderId="31" xfId="3" applyBorder="1" applyProtection="1"/>
    <xf numFmtId="0" fontId="7" fillId="6" borderId="31" xfId="3" applyBorder="1" applyAlignment="1" applyProtection="1">
      <alignment wrapText="1"/>
    </xf>
    <xf numFmtId="0" fontId="0" fillId="0" borderId="39" xfId="0" applyBorder="1" applyProtection="1"/>
    <xf numFmtId="0" fontId="0" fillId="0" borderId="38" xfId="0" applyBorder="1" applyProtection="1"/>
    <xf numFmtId="0" fontId="0" fillId="0" borderId="40" xfId="0" applyBorder="1" applyProtection="1"/>
    <xf numFmtId="0" fontId="4" fillId="0" borderId="0" xfId="0" applyFont="1" applyProtection="1"/>
    <xf numFmtId="0" fontId="5" fillId="0" borderId="0" xfId="1" applyFont="1" applyProtection="1"/>
    <xf numFmtId="0" fontId="6" fillId="0" borderId="0" xfId="0" applyFont="1" applyProtection="1"/>
    <xf numFmtId="0" fontId="7" fillId="6" borderId="3" xfId="3" applyBorder="1" applyAlignment="1" applyProtection="1">
      <alignment horizontal="center" vertical="center" wrapText="1"/>
    </xf>
    <xf numFmtId="0" fontId="7" fillId="6" borderId="4" xfId="3" applyBorder="1" applyAlignment="1" applyProtection="1">
      <alignment horizontal="center" vertical="center" wrapText="1"/>
    </xf>
    <xf numFmtId="0" fontId="1" fillId="0" borderId="0" xfId="0" applyFont="1" applyBorder="1" applyAlignment="1" applyProtection="1">
      <alignment horizontal="center" vertical="center" wrapText="1"/>
    </xf>
    <xf numFmtId="0" fontId="0" fillId="0" borderId="5" xfId="0" applyBorder="1" applyAlignment="1" applyProtection="1">
      <alignment horizontal="center" vertical="center" wrapText="1"/>
    </xf>
    <xf numFmtId="164" fontId="0" fillId="0" borderId="3" xfId="0" applyNumberFormat="1" applyBorder="1" applyAlignment="1" applyProtection="1">
      <alignment horizontal="center" vertical="center"/>
    </xf>
    <xf numFmtId="164" fontId="0" fillId="0" borderId="3" xfId="0" applyNumberFormat="1" applyBorder="1" applyAlignment="1" applyProtection="1">
      <alignment horizontal="center" vertical="center" wrapText="1"/>
    </xf>
    <xf numFmtId="164" fontId="0" fillId="0" borderId="0" xfId="0" applyNumberFormat="1" applyBorder="1" applyAlignment="1" applyProtection="1">
      <alignment horizontal="center" vertical="center"/>
    </xf>
    <xf numFmtId="0" fontId="0" fillId="0" borderId="3" xfId="0" applyBorder="1" applyAlignment="1" applyProtection="1">
      <alignment horizontal="center" vertical="center" wrapText="1"/>
    </xf>
    <xf numFmtId="0" fontId="0" fillId="0" borderId="0" xfId="0" applyBorder="1" applyAlignment="1" applyProtection="1">
      <alignment horizontal="center" vertical="center" wrapText="1"/>
    </xf>
    <xf numFmtId="0" fontId="7" fillId="6" borderId="12" xfId="3" applyBorder="1" applyAlignment="1" applyProtection="1">
      <alignment horizontal="center"/>
    </xf>
    <xf numFmtId="166" fontId="0" fillId="0" borderId="19" xfId="0" applyNumberFormat="1" applyBorder="1" applyProtection="1"/>
    <xf numFmtId="166" fontId="0" fillId="0" borderId="10" xfId="0" applyNumberFormat="1" applyBorder="1" applyProtection="1"/>
    <xf numFmtId="166" fontId="0" fillId="0" borderId="20" xfId="0" applyNumberFormat="1" applyBorder="1" applyProtection="1"/>
    <xf numFmtId="166" fontId="0" fillId="0" borderId="21" xfId="0" applyNumberFormat="1" applyBorder="1" applyProtection="1"/>
    <xf numFmtId="166" fontId="0" fillId="0" borderId="2" xfId="0" applyNumberFormat="1" applyBorder="1" applyProtection="1"/>
    <xf numFmtId="166" fontId="0" fillId="0" borderId="22" xfId="0" applyNumberFormat="1" applyBorder="1" applyProtection="1"/>
    <xf numFmtId="0" fontId="7" fillId="6" borderId="13" xfId="3" applyBorder="1" applyAlignment="1" applyProtection="1">
      <alignment horizontal="center"/>
    </xf>
    <xf numFmtId="166" fontId="0" fillId="0" borderId="23" xfId="0" applyNumberFormat="1" applyBorder="1" applyProtection="1"/>
    <xf numFmtId="166" fontId="0" fillId="0" borderId="24" xfId="0" applyNumberFormat="1" applyBorder="1" applyProtection="1"/>
    <xf numFmtId="166" fontId="0" fillId="0" borderId="25" xfId="0" applyNumberFormat="1" applyBorder="1" applyProtection="1"/>
    <xf numFmtId="0" fontId="7" fillId="6" borderId="11" xfId="3" applyBorder="1" applyAlignment="1" applyProtection="1">
      <alignment horizontal="center"/>
    </xf>
    <xf numFmtId="0" fontId="7" fillId="6" borderId="68" xfId="3" applyBorder="1" applyAlignment="1" applyProtection="1">
      <alignment horizontal="center"/>
    </xf>
    <xf numFmtId="0" fontId="0" fillId="0" borderId="0" xfId="0" applyFill="1" applyProtection="1"/>
    <xf numFmtId="0" fontId="1" fillId="0" borderId="0" xfId="0" applyFont="1" applyBorder="1" applyAlignment="1" applyProtection="1">
      <alignment horizontal="center" wrapText="1"/>
    </xf>
    <xf numFmtId="0" fontId="7" fillId="7" borderId="42" xfId="4" applyBorder="1" applyAlignment="1" applyProtection="1">
      <alignment horizontal="left"/>
    </xf>
    <xf numFmtId="0" fontId="7" fillId="7" borderId="9" xfId="4" applyBorder="1" applyProtection="1"/>
    <xf numFmtId="0" fontId="7" fillId="7" borderId="43" xfId="4" applyBorder="1" applyProtection="1"/>
    <xf numFmtId="0" fontId="0" fillId="0" borderId="0" xfId="0" applyAlignment="1" applyProtection="1"/>
    <xf numFmtId="0" fontId="1" fillId="6" borderId="31" xfId="3" applyFont="1" applyBorder="1" applyAlignment="1" applyProtection="1">
      <alignment horizontal="center" wrapText="1"/>
    </xf>
    <xf numFmtId="0" fontId="1" fillId="6" borderId="3" xfId="3" applyFont="1" applyBorder="1" applyAlignment="1" applyProtection="1">
      <alignment horizontal="center" wrapText="1"/>
    </xf>
    <xf numFmtId="0" fontId="1" fillId="6" borderId="32" xfId="3" applyFont="1" applyBorder="1" applyAlignment="1" applyProtection="1">
      <alignment horizontal="center" wrapText="1"/>
    </xf>
    <xf numFmtId="164" fontId="0" fillId="0" borderId="0" xfId="0" applyNumberFormat="1" applyProtection="1"/>
    <xf numFmtId="0" fontId="8" fillId="5" borderId="55" xfId="2" applyBorder="1" applyAlignment="1" applyProtection="1">
      <alignment horizontal="center" wrapText="1"/>
    </xf>
    <xf numFmtId="0" fontId="8" fillId="5" borderId="56" xfId="2" applyBorder="1" applyAlignment="1" applyProtection="1">
      <alignment horizontal="center" wrapText="1"/>
    </xf>
    <xf numFmtId="0" fontId="8" fillId="5" borderId="57" xfId="2" applyBorder="1" applyAlignment="1" applyProtection="1">
      <alignment horizontal="center" wrapText="1"/>
    </xf>
    <xf numFmtId="0" fontId="8" fillId="5" borderId="58" xfId="2" applyBorder="1" applyAlignment="1" applyProtection="1">
      <alignment horizontal="center" wrapText="1"/>
    </xf>
    <xf numFmtId="0" fontId="8" fillId="5" borderId="59" xfId="2" applyBorder="1" applyAlignment="1" applyProtection="1">
      <alignment horizontal="center" wrapText="1"/>
    </xf>
    <xf numFmtId="0" fontId="0" fillId="0" borderId="0" xfId="0" applyAlignment="1" applyProtection="1">
      <alignment horizontal="center"/>
    </xf>
    <xf numFmtId="0" fontId="0" fillId="0" borderId="0" xfId="0" applyFill="1" applyBorder="1" applyAlignment="1" applyProtection="1">
      <alignment horizontal="center" wrapText="1"/>
    </xf>
    <xf numFmtId="0" fontId="7" fillId="6" borderId="3" xfId="3" applyBorder="1" applyAlignment="1" applyProtection="1">
      <alignment horizontal="center"/>
    </xf>
    <xf numFmtId="0" fontId="7" fillId="6" borderId="31" xfId="3" applyBorder="1" applyAlignment="1" applyProtection="1">
      <alignment horizontal="center"/>
    </xf>
    <xf numFmtId="10" fontId="0" fillId="0" borderId="0" xfId="0" applyNumberFormat="1" applyBorder="1" applyProtection="1"/>
    <xf numFmtId="0" fontId="1" fillId="0" borderId="0" xfId="0" applyFont="1" applyFill="1" applyBorder="1" applyProtection="1"/>
    <xf numFmtId="0" fontId="9" fillId="0" borderId="0" xfId="0" applyFont="1" applyAlignment="1" applyProtection="1"/>
    <xf numFmtId="0" fontId="2" fillId="0" borderId="45" xfId="0" applyFont="1" applyBorder="1" applyAlignment="1" applyProtection="1">
      <alignment vertical="center"/>
    </xf>
    <xf numFmtId="0" fontId="2" fillId="0" borderId="0" xfId="0" applyFont="1" applyFill="1" applyBorder="1" applyAlignment="1" applyProtection="1">
      <alignment vertical="center"/>
    </xf>
    <xf numFmtId="0" fontId="0" fillId="0" borderId="0" xfId="0" applyNumberFormat="1" applyProtection="1"/>
    <xf numFmtId="0" fontId="0" fillId="0" borderId="0" xfId="0" applyNumberFormat="1" applyFont="1" applyProtection="1"/>
    <xf numFmtId="0" fontId="7" fillId="6" borderId="4" xfId="3" applyBorder="1" applyAlignment="1" applyProtection="1">
      <alignment horizontal="center"/>
    </xf>
    <xf numFmtId="0" fontId="1" fillId="12" borderId="3" xfId="4" applyFont="1" applyFill="1" applyBorder="1" applyAlignment="1" applyProtection="1">
      <alignment horizontal="center" vertical="center" wrapText="1"/>
    </xf>
    <xf numFmtId="0" fontId="32" fillId="0" borderId="0" xfId="0" applyFont="1"/>
    <xf numFmtId="0" fontId="9" fillId="0" borderId="0" xfId="0" applyFont="1" applyBorder="1"/>
    <xf numFmtId="49" fontId="21" fillId="0" borderId="0" xfId="0" applyNumberFormat="1" applyFont="1" applyBorder="1"/>
    <xf numFmtId="0" fontId="21" fillId="0" borderId="0" xfId="0" applyFont="1" applyBorder="1" applyAlignment="1">
      <alignment wrapText="1"/>
    </xf>
    <xf numFmtId="0" fontId="21" fillId="0" borderId="0" xfId="0" applyFont="1" applyAlignment="1">
      <alignment vertical="top"/>
    </xf>
    <xf numFmtId="0" fontId="9" fillId="0" borderId="0" xfId="0" applyFont="1" applyAlignment="1">
      <alignment vertical="top"/>
    </xf>
    <xf numFmtId="0" fontId="7" fillId="6" borderId="6" xfId="3" applyBorder="1" applyAlignment="1" applyProtection="1">
      <alignment horizontal="center"/>
    </xf>
    <xf numFmtId="0" fontId="7" fillId="6" borderId="7" xfId="3" applyBorder="1" applyAlignment="1" applyProtection="1">
      <alignment horizontal="center"/>
    </xf>
    <xf numFmtId="0" fontId="7" fillId="6" borderId="8" xfId="3" applyBorder="1" applyAlignment="1" applyProtection="1">
      <alignment horizontal="center"/>
    </xf>
    <xf numFmtId="0" fontId="7" fillId="6" borderId="14" xfId="3" applyBorder="1" applyAlignment="1" applyProtection="1">
      <alignment horizontal="center"/>
    </xf>
    <xf numFmtId="0" fontId="7" fillId="6" borderId="17" xfId="3" applyBorder="1" applyAlignment="1" applyProtection="1">
      <alignment horizontal="center"/>
    </xf>
    <xf numFmtId="10" fontId="7" fillId="6" borderId="6" xfId="3" applyNumberFormat="1" applyBorder="1" applyAlignment="1" applyProtection="1">
      <alignment horizontal="center"/>
    </xf>
    <xf numFmtId="10" fontId="7" fillId="6" borderId="7" xfId="3" applyNumberFormat="1" applyBorder="1" applyAlignment="1" applyProtection="1">
      <alignment horizontal="center"/>
    </xf>
    <xf numFmtId="10" fontId="7" fillId="6" borderId="8" xfId="3" applyNumberFormat="1" applyBorder="1" applyAlignment="1" applyProtection="1">
      <alignment horizontal="center"/>
    </xf>
    <xf numFmtId="10" fontId="7" fillId="6" borderId="14" xfId="3" applyNumberFormat="1" applyBorder="1" applyAlignment="1" applyProtection="1">
      <alignment horizontal="center"/>
    </xf>
    <xf numFmtId="10" fontId="7" fillId="6" borderId="17" xfId="3" applyNumberFormat="1" applyBorder="1" applyAlignment="1" applyProtection="1">
      <alignment horizontal="center"/>
    </xf>
    <xf numFmtId="0" fontId="0" fillId="0" borderId="19" xfId="0" applyBorder="1" applyAlignment="1" applyProtection="1">
      <alignment horizontal="center"/>
    </xf>
    <xf numFmtId="0" fontId="0" fillId="0" borderId="10" xfId="0" applyBorder="1" applyAlignment="1" applyProtection="1">
      <alignment horizontal="center"/>
    </xf>
    <xf numFmtId="0" fontId="0" fillId="0" borderId="20" xfId="0" applyBorder="1" applyAlignment="1" applyProtection="1">
      <alignment horizontal="center"/>
    </xf>
    <xf numFmtId="3" fontId="0" fillId="0" borderId="15" xfId="0" applyNumberFormat="1" applyBorder="1" applyAlignment="1" applyProtection="1">
      <alignment horizontal="center"/>
    </xf>
    <xf numFmtId="3" fontId="0" fillId="0" borderId="10" xfId="0" applyNumberFormat="1" applyBorder="1" applyAlignment="1" applyProtection="1">
      <alignment horizontal="center"/>
    </xf>
    <xf numFmtId="3" fontId="0" fillId="0" borderId="18" xfId="0" applyNumberFormat="1" applyBorder="1" applyAlignment="1" applyProtection="1">
      <alignment horizontal="center"/>
    </xf>
    <xf numFmtId="3" fontId="0" fillId="0" borderId="19" xfId="0" applyNumberFormat="1" applyBorder="1" applyAlignment="1" applyProtection="1">
      <alignment horizontal="center"/>
    </xf>
    <xf numFmtId="3" fontId="0" fillId="0" borderId="20" xfId="0" applyNumberFormat="1" applyBorder="1" applyAlignment="1" applyProtection="1">
      <alignment horizontal="center"/>
    </xf>
    <xf numFmtId="0" fontId="0" fillId="0" borderId="21" xfId="0" applyBorder="1" applyAlignment="1" applyProtection="1">
      <alignment horizontal="center"/>
    </xf>
    <xf numFmtId="0" fontId="0" fillId="0" borderId="2" xfId="0" applyBorder="1" applyAlignment="1" applyProtection="1">
      <alignment horizontal="center"/>
    </xf>
    <xf numFmtId="0" fontId="0" fillId="0" borderId="22" xfId="0" applyBorder="1" applyAlignment="1" applyProtection="1">
      <alignment horizontal="center"/>
    </xf>
    <xf numFmtId="3" fontId="0" fillId="0" borderId="16" xfId="0" applyNumberFormat="1" applyBorder="1" applyAlignment="1" applyProtection="1">
      <alignment horizontal="center"/>
    </xf>
    <xf numFmtId="3" fontId="0" fillId="0" borderId="2" xfId="0" applyNumberFormat="1" applyBorder="1" applyAlignment="1" applyProtection="1">
      <alignment horizontal="center"/>
    </xf>
    <xf numFmtId="3" fontId="0" fillId="0" borderId="1" xfId="0" applyNumberFormat="1" applyBorder="1" applyAlignment="1" applyProtection="1">
      <alignment horizontal="center"/>
    </xf>
    <xf numFmtId="3" fontId="0" fillId="0" borderId="21" xfId="0" applyNumberFormat="1" applyBorder="1" applyAlignment="1" applyProtection="1">
      <alignment horizontal="center"/>
    </xf>
    <xf numFmtId="3" fontId="0" fillId="0" borderId="22" xfId="0" applyNumberFormat="1" applyBorder="1" applyAlignment="1" applyProtection="1">
      <alignment horizontal="center"/>
    </xf>
    <xf numFmtId="0" fontId="0" fillId="0" borderId="23" xfId="0" applyBorder="1" applyAlignment="1" applyProtection="1">
      <alignment horizontal="center"/>
    </xf>
    <xf numFmtId="0" fontId="0" fillId="0" borderId="24" xfId="0" applyBorder="1" applyAlignment="1" applyProtection="1">
      <alignment horizontal="center"/>
    </xf>
    <xf numFmtId="0" fontId="0" fillId="0" borderId="25" xfId="0" applyBorder="1" applyAlignment="1" applyProtection="1">
      <alignment horizontal="center"/>
    </xf>
    <xf numFmtId="3" fontId="0" fillId="0" borderId="34" xfId="0" applyNumberFormat="1" applyBorder="1" applyAlignment="1" applyProtection="1">
      <alignment horizontal="center"/>
    </xf>
    <xf numFmtId="3" fontId="0" fillId="0" borderId="24" xfId="0" applyNumberFormat="1" applyBorder="1" applyAlignment="1" applyProtection="1">
      <alignment horizontal="center"/>
    </xf>
    <xf numFmtId="3" fontId="0" fillId="0" borderId="41" xfId="0" applyNumberFormat="1" applyBorder="1" applyAlignment="1" applyProtection="1">
      <alignment horizontal="center"/>
    </xf>
    <xf numFmtId="3" fontId="0" fillId="0" borderId="23" xfId="0" applyNumberFormat="1" applyBorder="1" applyAlignment="1" applyProtection="1">
      <alignment horizontal="center"/>
    </xf>
    <xf numFmtId="3" fontId="0" fillId="0" borderId="25" xfId="0" applyNumberFormat="1" applyBorder="1" applyAlignment="1" applyProtection="1">
      <alignment horizontal="center"/>
    </xf>
    <xf numFmtId="165" fontId="8" fillId="5" borderId="72" xfId="2" applyNumberFormat="1" applyBorder="1" applyAlignment="1" applyProtection="1">
      <alignment horizontal="center"/>
    </xf>
    <xf numFmtId="165" fontId="8" fillId="5" borderId="73" xfId="2" applyNumberFormat="1" applyBorder="1" applyAlignment="1" applyProtection="1">
      <alignment horizontal="center"/>
    </xf>
    <xf numFmtId="165" fontId="8" fillId="5" borderId="74" xfId="2" applyNumberFormat="1" applyBorder="1" applyAlignment="1" applyProtection="1">
      <alignment horizontal="center"/>
    </xf>
    <xf numFmtId="0" fontId="1" fillId="0" borderId="45" xfId="4" applyFont="1" applyFill="1" applyBorder="1" applyAlignment="1">
      <alignment wrapText="1"/>
    </xf>
    <xf numFmtId="14" fontId="21" fillId="0" borderId="0" xfId="0" applyNumberFormat="1" applyFont="1" applyBorder="1"/>
    <xf numFmtId="0" fontId="1" fillId="7" borderId="31" xfId="4" applyFont="1" applyBorder="1" applyAlignment="1" applyProtection="1"/>
    <xf numFmtId="0" fontId="1" fillId="7" borderId="32" xfId="4" applyFont="1" applyBorder="1" applyAlignment="1" applyProtection="1"/>
    <xf numFmtId="0" fontId="1" fillId="7" borderId="4" xfId="4" applyFont="1" applyBorder="1" applyAlignment="1" applyProtection="1"/>
    <xf numFmtId="49" fontId="9" fillId="0" borderId="0" xfId="0" applyNumberFormat="1" applyFont="1"/>
    <xf numFmtId="14" fontId="9" fillId="0" borderId="0" xfId="0" applyNumberFormat="1" applyFont="1"/>
    <xf numFmtId="0" fontId="6" fillId="0" borderId="0" xfId="0" applyFont="1"/>
    <xf numFmtId="165" fontId="0" fillId="0" borderId="0" xfId="0" applyNumberFormat="1"/>
    <xf numFmtId="49" fontId="16" fillId="0" borderId="0" xfId="0" applyNumberFormat="1" applyFont="1"/>
    <xf numFmtId="14" fontId="16" fillId="0" borderId="0" xfId="0" applyNumberFormat="1" applyFont="1"/>
    <xf numFmtId="167" fontId="40" fillId="0" borderId="46" xfId="5" applyNumberFormat="1" applyFont="1" applyBorder="1" applyAlignment="1" applyProtection="1">
      <alignment horizontal="center"/>
    </xf>
    <xf numFmtId="169" fontId="0" fillId="4" borderId="39" xfId="5" applyNumberFormat="1" applyFont="1" applyFill="1" applyBorder="1" applyAlignment="1" applyProtection="1">
      <alignment horizontal="right"/>
      <protection locked="0"/>
    </xf>
    <xf numFmtId="0" fontId="1" fillId="6" borderId="33" xfId="3" applyFont="1" applyBorder="1" applyAlignment="1" applyProtection="1">
      <alignment horizontal="center"/>
    </xf>
    <xf numFmtId="0" fontId="1" fillId="6" borderId="29" xfId="3" applyFont="1" applyBorder="1" applyAlignment="1" applyProtection="1">
      <alignment horizontal="center"/>
    </xf>
    <xf numFmtId="0" fontId="1" fillId="6" borderId="30" xfId="3" applyFont="1" applyBorder="1" applyAlignment="1" applyProtection="1">
      <alignment horizontal="center"/>
    </xf>
    <xf numFmtId="169" fontId="0" fillId="0" borderId="39" xfId="5" applyNumberFormat="1" applyFont="1" applyFill="1" applyBorder="1" applyAlignment="1" applyProtection="1">
      <alignment horizontal="right"/>
    </xf>
    <xf numFmtId="169" fontId="0" fillId="0" borderId="27" xfId="5" applyNumberFormat="1" applyFont="1" applyFill="1" applyBorder="1" applyAlignment="1" applyProtection="1">
      <alignment horizontal="right"/>
    </xf>
    <xf numFmtId="169" fontId="0" fillId="0" borderId="11" xfId="5" applyNumberFormat="1" applyFont="1" applyFill="1" applyBorder="1" applyAlignment="1" applyProtection="1">
      <alignment horizontal="right"/>
    </xf>
    <xf numFmtId="0" fontId="1" fillId="0" borderId="3" xfId="0" applyFont="1" applyBorder="1" applyProtection="1"/>
    <xf numFmtId="167" fontId="1" fillId="0" borderId="14" xfId="5" applyNumberFormat="1" applyFont="1" applyBorder="1" applyProtection="1"/>
    <xf numFmtId="167" fontId="1" fillId="0" borderId="7" xfId="5" applyNumberFormat="1" applyFont="1" applyBorder="1" applyProtection="1"/>
    <xf numFmtId="167" fontId="1" fillId="0" borderId="8" xfId="5" applyNumberFormat="1" applyFont="1" applyBorder="1" applyProtection="1"/>
    <xf numFmtId="0" fontId="1" fillId="0" borderId="0" xfId="0" applyFont="1" applyProtection="1"/>
    <xf numFmtId="0" fontId="8" fillId="5" borderId="69" xfId="2" applyBorder="1" applyAlignment="1">
      <alignment horizontal="center" wrapText="1"/>
    </xf>
    <xf numFmtId="0" fontId="8" fillId="5" borderId="70" xfId="2" applyBorder="1" applyAlignment="1">
      <alignment horizontal="center" wrapText="1"/>
    </xf>
    <xf numFmtId="0" fontId="8" fillId="5" borderId="71" xfId="2" applyBorder="1" applyAlignment="1">
      <alignment horizontal="center" wrapText="1"/>
    </xf>
    <xf numFmtId="0" fontId="1" fillId="6" borderId="31" xfId="3" applyFont="1" applyBorder="1" applyAlignment="1" applyProtection="1"/>
    <xf numFmtId="0" fontId="1" fillId="6" borderId="4" xfId="3" applyFont="1" applyBorder="1" applyAlignment="1" applyProtection="1"/>
    <xf numFmtId="0" fontId="1" fillId="6" borderId="31" xfId="3" applyFont="1" applyBorder="1" applyAlignment="1" applyProtection="1">
      <alignment horizontal="left"/>
    </xf>
    <xf numFmtId="0" fontId="1" fillId="6" borderId="4" xfId="3" applyFont="1" applyBorder="1" applyAlignment="1" applyProtection="1">
      <alignment horizontal="left"/>
    </xf>
    <xf numFmtId="0" fontId="1" fillId="7" borderId="31" xfId="4" applyFont="1" applyBorder="1" applyAlignment="1" applyProtection="1">
      <alignment horizontal="center"/>
    </xf>
    <xf numFmtId="0" fontId="1" fillId="7" borderId="32" xfId="4" applyFont="1" applyBorder="1" applyAlignment="1" applyProtection="1">
      <alignment horizontal="center"/>
    </xf>
    <xf numFmtId="0" fontId="1" fillId="7" borderId="4" xfId="4" applyFont="1" applyBorder="1" applyAlignment="1" applyProtection="1">
      <alignment horizontal="center"/>
    </xf>
    <xf numFmtId="0" fontId="1" fillId="7" borderId="6" xfId="4" applyFont="1" applyBorder="1" applyAlignment="1" applyProtection="1">
      <alignment horizontal="center" vertical="center" wrapText="1"/>
    </xf>
    <xf numFmtId="0" fontId="1" fillId="7" borderId="7" xfId="4" applyFont="1" applyBorder="1" applyAlignment="1" applyProtection="1">
      <alignment horizontal="center" vertical="center" wrapText="1"/>
    </xf>
    <xf numFmtId="0" fontId="1" fillId="7" borderId="8" xfId="4" applyFont="1" applyBorder="1" applyAlignment="1" applyProtection="1">
      <alignment horizontal="center" vertical="center" wrapText="1"/>
    </xf>
    <xf numFmtId="0" fontId="1" fillId="12" borderId="6" xfId="4" applyFont="1" applyFill="1" applyBorder="1" applyAlignment="1" applyProtection="1">
      <alignment horizontal="center" vertical="center"/>
    </xf>
    <xf numFmtId="0" fontId="1" fillId="12" borderId="7" xfId="4" applyFont="1" applyFill="1" applyBorder="1" applyAlignment="1" applyProtection="1">
      <alignment horizontal="center" vertical="center"/>
    </xf>
    <xf numFmtId="0" fontId="1" fillId="12" borderId="17" xfId="4" applyFont="1" applyFill="1" applyBorder="1" applyAlignment="1" applyProtection="1">
      <alignment horizontal="center" vertical="center"/>
    </xf>
    <xf numFmtId="0" fontId="31" fillId="12" borderId="3" xfId="4" applyFont="1" applyFill="1" applyBorder="1" applyAlignment="1" applyProtection="1">
      <alignment horizontal="center" vertical="center" wrapText="1"/>
    </xf>
    <xf numFmtId="0" fontId="1" fillId="7" borderId="6" xfId="4" applyFont="1" applyBorder="1" applyAlignment="1">
      <alignment horizontal="center" vertical="center" wrapText="1"/>
    </xf>
    <xf numFmtId="0" fontId="1" fillId="7" borderId="7" xfId="4" applyFont="1" applyBorder="1" applyAlignment="1">
      <alignment horizontal="center" vertical="center" wrapText="1"/>
    </xf>
    <xf numFmtId="0" fontId="1" fillId="7" borderId="8" xfId="4" applyFont="1" applyBorder="1" applyAlignment="1">
      <alignment horizontal="center" vertical="center" wrapText="1"/>
    </xf>
    <xf numFmtId="0" fontId="1" fillId="7" borderId="14" xfId="4" applyFont="1" applyBorder="1" applyAlignment="1">
      <alignment horizontal="center" vertical="center" wrapText="1"/>
    </xf>
    <xf numFmtId="0" fontId="1" fillId="7" borderId="28" xfId="4" applyFont="1" applyBorder="1" applyAlignment="1">
      <alignment horizontal="center"/>
    </xf>
    <xf numFmtId="0" fontId="1" fillId="7" borderId="29" xfId="4" applyFont="1" applyBorder="1" applyAlignment="1">
      <alignment horizontal="center"/>
    </xf>
    <xf numFmtId="0" fontId="1" fillId="7" borderId="30" xfId="4" applyFont="1" applyBorder="1" applyAlignment="1">
      <alignment horizontal="center"/>
    </xf>
    <xf numFmtId="0" fontId="1" fillId="7" borderId="50" xfId="4" applyFont="1" applyBorder="1" applyAlignment="1">
      <alignment horizontal="center"/>
    </xf>
    <xf numFmtId="0" fontId="1" fillId="7" borderId="51" xfId="4" applyFont="1" applyBorder="1" applyAlignment="1">
      <alignment horizontal="center"/>
    </xf>
    <xf numFmtId="0" fontId="1" fillId="7" borderId="52" xfId="4" applyFont="1" applyBorder="1" applyAlignment="1">
      <alignment horizontal="center"/>
    </xf>
    <xf numFmtId="0" fontId="1" fillId="7" borderId="48" xfId="4" applyFont="1" applyBorder="1" applyAlignment="1">
      <alignment horizontal="center"/>
    </xf>
    <xf numFmtId="0" fontId="1" fillId="7" borderId="49" xfId="4" applyFont="1" applyBorder="1" applyAlignment="1">
      <alignment horizontal="center"/>
    </xf>
    <xf numFmtId="0" fontId="1" fillId="7" borderId="53" xfId="4" applyFont="1" applyBorder="1" applyAlignment="1">
      <alignment horizontal="center"/>
    </xf>
    <xf numFmtId="0" fontId="1" fillId="9" borderId="31" xfId="4" applyFont="1" applyFill="1" applyBorder="1" applyAlignment="1">
      <alignment horizontal="left"/>
    </xf>
    <xf numFmtId="0" fontId="1" fillId="9" borderId="32" xfId="4" applyFont="1" applyFill="1" applyBorder="1" applyAlignment="1">
      <alignment horizontal="left"/>
    </xf>
    <xf numFmtId="0" fontId="1" fillId="9" borderId="4" xfId="4" applyFont="1" applyFill="1" applyBorder="1" applyAlignment="1">
      <alignment horizontal="left"/>
    </xf>
    <xf numFmtId="0" fontId="1" fillId="9" borderId="31" xfId="4" applyFont="1" applyFill="1" applyBorder="1" applyAlignment="1">
      <alignment horizontal="left" wrapText="1"/>
    </xf>
    <xf numFmtId="0" fontId="1" fillId="9" borderId="32" xfId="4" applyFont="1" applyFill="1" applyBorder="1" applyAlignment="1">
      <alignment horizontal="left" wrapText="1"/>
    </xf>
    <xf numFmtId="0" fontId="1" fillId="9" borderId="4" xfId="4" applyFont="1" applyFill="1" applyBorder="1" applyAlignment="1">
      <alignment horizontal="left" wrapText="1"/>
    </xf>
    <xf numFmtId="0" fontId="1" fillId="7" borderId="31" xfId="4" applyFont="1" applyBorder="1" applyAlignment="1" applyProtection="1">
      <alignment horizontal="center" vertical="center"/>
    </xf>
    <xf numFmtId="0" fontId="1" fillId="7" borderId="32" xfId="4" applyFont="1" applyBorder="1" applyAlignment="1" applyProtection="1">
      <alignment horizontal="center" vertical="center"/>
    </xf>
    <xf numFmtId="0" fontId="1" fillId="7" borderId="4" xfId="4" applyFont="1" applyBorder="1" applyAlignment="1" applyProtection="1">
      <alignment horizontal="center" vertical="center"/>
    </xf>
    <xf numFmtId="0" fontId="1" fillId="6" borderId="31" xfId="3" applyFont="1" applyBorder="1" applyAlignment="1" applyProtection="1">
      <alignment horizontal="center"/>
    </xf>
    <xf numFmtId="0" fontId="1" fillId="6" borderId="32" xfId="3" applyFont="1" applyBorder="1" applyAlignment="1" applyProtection="1">
      <alignment horizontal="center"/>
    </xf>
    <xf numFmtId="0" fontId="1" fillId="6" borderId="4" xfId="3" applyFont="1" applyBorder="1" applyAlignment="1" applyProtection="1">
      <alignment horizontal="center"/>
    </xf>
    <xf numFmtId="0" fontId="7" fillId="6" borderId="9" xfId="3" applyBorder="1" applyAlignment="1" applyProtection="1">
      <alignment horizontal="center"/>
    </xf>
    <xf numFmtId="0" fontId="7" fillId="6" borderId="5" xfId="3" applyBorder="1" applyAlignment="1" applyProtection="1">
      <alignment horizontal="center"/>
    </xf>
    <xf numFmtId="0" fontId="1" fillId="8" borderId="31" xfId="0" applyFont="1" applyFill="1" applyBorder="1" applyAlignment="1">
      <alignment horizontal="center"/>
    </xf>
    <xf numFmtId="0" fontId="1" fillId="8" borderId="32" xfId="0" applyFont="1" applyFill="1" applyBorder="1" applyAlignment="1">
      <alignment horizontal="center"/>
    </xf>
    <xf numFmtId="0" fontId="1" fillId="8" borderId="4" xfId="0" applyFont="1" applyFill="1" applyBorder="1" applyAlignment="1">
      <alignment horizontal="center"/>
    </xf>
    <xf numFmtId="0" fontId="0" fillId="0" borderId="0" xfId="0" applyAlignment="1">
      <alignment wrapText="1"/>
    </xf>
    <xf numFmtId="0" fontId="1" fillId="0" borderId="61" xfId="0" applyFont="1" applyBorder="1" applyAlignment="1">
      <alignment wrapText="1"/>
    </xf>
    <xf numFmtId="0" fontId="0" fillId="0" borderId="66" xfId="0" applyBorder="1" applyAlignment="1">
      <alignment horizontal="center"/>
    </xf>
    <xf numFmtId="0" fontId="0" fillId="0" borderId="63" xfId="0" applyBorder="1" applyAlignment="1">
      <alignment horizontal="center"/>
    </xf>
    <xf numFmtId="0" fontId="1" fillId="0" borderId="61" xfId="0" applyFont="1" applyBorder="1" applyAlignment="1">
      <alignment horizontal="left" wrapText="1"/>
    </xf>
    <xf numFmtId="0" fontId="1" fillId="6" borderId="31" xfId="3" applyFont="1" applyBorder="1" applyAlignment="1"/>
    <xf numFmtId="0" fontId="1" fillId="6" borderId="4" xfId="3" applyFont="1" applyBorder="1" applyAlignment="1"/>
    <xf numFmtId="0" fontId="1" fillId="6" borderId="31" xfId="3" applyFont="1" applyBorder="1" applyAlignment="1">
      <alignment horizontal="left"/>
    </xf>
    <xf numFmtId="0" fontId="1" fillId="6" borderId="4" xfId="3" applyFont="1" applyBorder="1" applyAlignment="1">
      <alignment horizontal="left"/>
    </xf>
    <xf numFmtId="0" fontId="0" fillId="0" borderId="66" xfId="0" applyFont="1" applyBorder="1" applyAlignment="1">
      <alignment horizontal="center"/>
    </xf>
    <xf numFmtId="0" fontId="1" fillId="7" borderId="6" xfId="4" applyFont="1" applyBorder="1" applyAlignment="1">
      <alignment horizontal="center" vertical="center"/>
    </xf>
    <xf numFmtId="0" fontId="1" fillId="7" borderId="7" xfId="4" applyFont="1" applyBorder="1" applyAlignment="1">
      <alignment horizontal="center" vertical="center"/>
    </xf>
    <xf numFmtId="0" fontId="1" fillId="7" borderId="8" xfId="4" applyFont="1" applyBorder="1" applyAlignment="1">
      <alignment horizontal="center" vertical="center"/>
    </xf>
    <xf numFmtId="0" fontId="1" fillId="7" borderId="31" xfId="4" applyFont="1" applyBorder="1" applyAlignment="1">
      <alignment horizontal="center" vertical="center" wrapText="1"/>
    </xf>
    <xf numFmtId="0" fontId="1" fillId="7" borderId="32" xfId="4" applyFont="1" applyBorder="1" applyAlignment="1">
      <alignment horizontal="center" vertical="center" wrapText="1"/>
    </xf>
    <xf numFmtId="0" fontId="1" fillId="7" borderId="4" xfId="4" applyFont="1" applyBorder="1" applyAlignment="1">
      <alignment horizontal="center" vertical="center" wrapText="1"/>
    </xf>
  </cellXfs>
  <cellStyles count="6">
    <cellStyle name="20% - Accent3" xfId="3" builtinId="38"/>
    <cellStyle name="40% - Accent3" xfId="4" builtinId="39"/>
    <cellStyle name="Comma" xfId="5" builtinId="3"/>
    <cellStyle name="Hyperlink" xfId="1" builtinId="8"/>
    <cellStyle name="Normal" xfId="0" builtinId="0"/>
    <cellStyle name="Output" xfId="2" builtinId="21"/>
  </cellStyles>
  <dxfs count="7">
    <dxf>
      <numFmt numFmtId="170" formatCode="0.00_);[Red]\(0.00\)"/>
    </dxf>
    <dxf>
      <numFmt numFmtId="171" formatCode="0.0000_);[Red]\(0.0000\)"/>
    </dxf>
    <dxf>
      <numFmt numFmtId="172" formatCode="0.000000_);[Red]\(0.000000\)"/>
    </dxf>
    <dxf>
      <numFmt numFmtId="170" formatCode="0.00_);[Red]\(0.00\)"/>
    </dxf>
    <dxf>
      <numFmt numFmtId="171" formatCode="0.0000_);[Red]\(0.0000\)"/>
    </dxf>
    <dxf>
      <numFmt numFmtId="172" formatCode="0.000000_);[Red]\(0.000000\)"/>
    </dxf>
    <dxf>
      <font>
        <color auto="1"/>
      </font>
      <fill>
        <patternFill patternType="none">
          <bgColor auto="1"/>
        </patternFill>
      </fill>
    </dxf>
  </dxfs>
  <tableStyles count="0" defaultTableStyle="TableStyleMedium2" defaultPivotStyle="PivotStyleLight16"/>
  <colors>
    <mruColors>
      <color rgb="FF0000FF"/>
      <color rgb="FFDBDBDB"/>
      <color rgb="FFCC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epa.gov/environmental-economics/scghg"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https://www.epa.gov/environmental-economics/guidelines-preparing-economic-analyses-2016" TargetMode="External"/><Relationship Id="rId2" Type="http://schemas.openxmlformats.org/officeDocument/2006/relationships/hyperlink" Target="https://www.epa.gov/environmental-economics/scghg" TargetMode="External"/><Relationship Id="rId1" Type="http://schemas.openxmlformats.org/officeDocument/2006/relationships/image" Target="../media/image1.png"/><Relationship Id="rId4" Type="http://schemas.openxmlformats.org/officeDocument/2006/relationships/hyperlink" Target="https://www.epa.gov/system/files/documents/2023-12/epa_scghg_2023_report_final.pdf" TargetMode="Externa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21</xdr:col>
      <xdr:colOff>251460</xdr:colOff>
      <xdr:row>43</xdr:row>
      <xdr:rowOff>152399</xdr:rowOff>
    </xdr:to>
    <xdr:sp macro="" textlink="">
      <xdr:nvSpPr>
        <xdr:cNvPr id="1436" name="TextBox 1">
          <a:extLst>
            <a:ext uri="{FF2B5EF4-FFF2-40B4-BE49-F238E27FC236}">
              <a16:creationId xmlns:a16="http://schemas.microsoft.com/office/drawing/2014/main" id="{CDADCC80-EC72-8286-DAF5-33224ADC1BE7}"/>
            </a:ext>
          </a:extLst>
        </xdr:cNvPr>
        <xdr:cNvSpPr txBox="1">
          <a:spLocks noChangeAspect="1"/>
        </xdr:cNvSpPr>
      </xdr:nvSpPr>
      <xdr:spPr>
        <a:xfrm>
          <a:off x="0" y="0"/>
          <a:ext cx="13693140" cy="801623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800">
              <a:solidFill>
                <a:schemeClr val="dk1"/>
              </a:solidFill>
              <a:effectLst/>
              <a:latin typeface="+mn-lt"/>
              <a:ea typeface="+mn-ea"/>
              <a:cs typeface="+mn-cs"/>
            </a:rPr>
            <a:t>EPA Social Cost</a:t>
          </a:r>
          <a:r>
            <a:rPr lang="en-US" sz="2800" baseline="0">
              <a:solidFill>
                <a:schemeClr val="dk1"/>
              </a:solidFill>
              <a:effectLst/>
              <a:latin typeface="+mn-lt"/>
              <a:ea typeface="+mn-ea"/>
              <a:cs typeface="+mn-cs"/>
            </a:rPr>
            <a:t> of Greenhouse Gases Application Workbook</a:t>
          </a:r>
          <a:r>
            <a:rPr lang="en-US" sz="1200" baseline="0">
              <a:solidFill>
                <a:schemeClr val="dk1"/>
              </a:solidFill>
              <a:effectLst/>
              <a:latin typeface="+mn-lt"/>
              <a:ea typeface="+mn-ea"/>
              <a:cs typeface="+mn-cs"/>
            </a:rPr>
            <a:t> (v.1.0.2)</a:t>
          </a:r>
          <a:endParaRPr lang="en-US" sz="12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b="1" u="none">
              <a:solidFill>
                <a:schemeClr val="dk1"/>
              </a:solidFill>
              <a:effectLst/>
              <a:latin typeface="+mn-lt"/>
              <a:ea typeface="+mn-ea"/>
              <a:cs typeface="+mn-cs"/>
            </a:rPr>
            <a:t>Overview</a:t>
          </a:r>
        </a:p>
        <a:p>
          <a:pPr marL="0" marR="0" lvl="0" indent="0" defTabSz="914400" eaLnBrk="1" fontAlgn="auto" latinLnBrk="0" hangingPunct="1">
            <a:lnSpc>
              <a:spcPct val="100000"/>
            </a:lnSpc>
            <a:spcBef>
              <a:spcPts val="0"/>
            </a:spcBef>
            <a:spcAft>
              <a:spcPts val="0"/>
            </a:spcAft>
            <a:buClrTx/>
            <a:buSzTx/>
            <a:buFontTx/>
            <a:buNone/>
            <a:tabLst/>
            <a:defRPr/>
          </a:pPr>
          <a:endParaRPr lang="en-US" sz="1400">
            <a:solidFill>
              <a:schemeClr val="dk1"/>
            </a:solidFill>
            <a:effectLst/>
            <a:latin typeface="+mn-lt"/>
            <a:ea typeface="+mn-ea"/>
            <a:cs typeface="+mn-cs"/>
          </a:endParaRPr>
        </a:p>
        <a:p>
          <a:pPr marL="0" marR="0">
            <a:lnSpc>
              <a:spcPct val="107000"/>
            </a:lnSpc>
            <a:spcBef>
              <a:spcPts val="0"/>
            </a:spcBef>
            <a:spcAft>
              <a:spcPts val="800"/>
            </a:spcAft>
          </a:pPr>
          <a:r>
            <a:rPr lang="en-US" sz="1400">
              <a:effectLst/>
              <a:latin typeface="+mn-lt"/>
              <a:ea typeface="Calibri" panose="020F0502020204030204" pitchFamily="34" charset="0"/>
              <a:cs typeface="Times New Roman" panose="02020603050405020304" pitchFamily="18" charset="0"/>
            </a:rPr>
            <a:t>This workbook was designed by the National Center for Environmental Economics (NCEE) at the U.S. Environmental Protection Agency (EPA) to help analysts calculate the monetized net social benefits of future reductions in </a:t>
          </a:r>
          <a:r>
            <a:rPr lang="en-US" sz="1400" baseline="0">
              <a:effectLst/>
              <a:latin typeface="+mn-lt"/>
              <a:ea typeface="Calibri" panose="020F0502020204030204" pitchFamily="34" charset="0"/>
              <a:cs typeface="Times New Roman" panose="02020603050405020304" pitchFamily="18" charset="0"/>
            </a:rPr>
            <a:t>g</a:t>
          </a:r>
          <a:r>
            <a:rPr lang="en-US" sz="1400">
              <a:effectLst/>
              <a:latin typeface="+mn-lt"/>
              <a:ea typeface="Calibri" panose="020F0502020204030204" pitchFamily="34" charset="0"/>
              <a:cs typeface="Times New Roman" panose="02020603050405020304" pitchFamily="18" charset="0"/>
            </a:rPr>
            <a:t>reenhouse gas (GHG) emissions (or the net social costs of increases in GHG emissions) using the estimates of the social cost of carbon (SC-CO</a:t>
          </a:r>
          <a:r>
            <a:rPr lang="en-US" sz="1400" baseline="-25000">
              <a:effectLst/>
              <a:latin typeface="+mn-lt"/>
              <a:ea typeface="Calibri" panose="020F0502020204030204" pitchFamily="34" charset="0"/>
              <a:cs typeface="Times New Roman" panose="02020603050405020304" pitchFamily="18" charset="0"/>
            </a:rPr>
            <a:t>2</a:t>
          </a:r>
          <a:r>
            <a:rPr lang="en-US" sz="1400">
              <a:effectLst/>
              <a:latin typeface="+mn-lt"/>
              <a:ea typeface="Calibri" panose="020F0502020204030204" pitchFamily="34" charset="0"/>
              <a:cs typeface="Times New Roman" panose="02020603050405020304" pitchFamily="18" charset="0"/>
            </a:rPr>
            <a:t>),</a:t>
          </a:r>
          <a:r>
            <a:rPr lang="en-US" sz="1400" baseline="0">
              <a:effectLst/>
              <a:latin typeface="+mn-lt"/>
              <a:ea typeface="Calibri" panose="020F0502020204030204" pitchFamily="34" charset="0"/>
              <a:cs typeface="Times New Roman" panose="02020603050405020304" pitchFamily="18" charset="0"/>
            </a:rPr>
            <a:t> social cost of methane (SC-CH</a:t>
          </a:r>
          <a:r>
            <a:rPr lang="en-US" sz="1400" baseline="-25000">
              <a:effectLst/>
              <a:latin typeface="+mn-lt"/>
              <a:ea typeface="Calibri" panose="020F0502020204030204" pitchFamily="34" charset="0"/>
              <a:cs typeface="Times New Roman" panose="02020603050405020304" pitchFamily="18" charset="0"/>
            </a:rPr>
            <a:t>4</a:t>
          </a:r>
          <a:r>
            <a:rPr lang="en-US" sz="1400" baseline="0">
              <a:effectLst/>
              <a:latin typeface="+mn-lt"/>
              <a:ea typeface="Calibri" panose="020F0502020204030204" pitchFamily="34" charset="0"/>
              <a:cs typeface="Times New Roman" panose="02020603050405020304" pitchFamily="18" charset="0"/>
            </a:rPr>
            <a:t>), and social cost of nitrous oxide (SC-N</a:t>
          </a:r>
          <a:r>
            <a:rPr lang="en-US" sz="1400" baseline="-25000">
              <a:effectLst/>
              <a:latin typeface="+mn-lt"/>
              <a:ea typeface="Calibri" panose="020F0502020204030204" pitchFamily="34" charset="0"/>
              <a:cs typeface="Times New Roman" panose="02020603050405020304" pitchFamily="18" charset="0"/>
            </a:rPr>
            <a:t>2</a:t>
          </a:r>
          <a:r>
            <a:rPr lang="en-US" sz="1400" baseline="0">
              <a:effectLst/>
              <a:latin typeface="+mn-lt"/>
              <a:ea typeface="Calibri" panose="020F0502020204030204" pitchFamily="34" charset="0"/>
              <a:cs typeface="Times New Roman" panose="02020603050405020304" pitchFamily="18" charset="0"/>
            </a:rPr>
            <a:t>O) (collectively referred to as the </a:t>
          </a:r>
          <a:r>
            <a:rPr lang="en-US" sz="1400">
              <a:effectLst/>
              <a:latin typeface="+mn-lt"/>
              <a:ea typeface="Calibri" panose="020F0502020204030204" pitchFamily="34" charset="0"/>
              <a:cs typeface="Times New Roman" panose="02020603050405020304" pitchFamily="18" charset="0"/>
            </a:rPr>
            <a:t>Social Cost of Greenhous Gases</a:t>
          </a:r>
          <a:r>
            <a:rPr lang="en-US" sz="1400" baseline="0">
              <a:effectLst/>
              <a:latin typeface="+mn-lt"/>
              <a:ea typeface="Calibri" panose="020F0502020204030204" pitchFamily="34" charset="0"/>
              <a:cs typeface="Times New Roman" panose="02020603050405020304" pitchFamily="18" charset="0"/>
            </a:rPr>
            <a:t> (SC-GHG)) described in U.S. EPA (2023)</a:t>
          </a:r>
          <a:r>
            <a:rPr lang="en-US" sz="1400">
              <a:effectLst/>
              <a:latin typeface="+mn-lt"/>
              <a:ea typeface="Calibri" panose="020F0502020204030204" pitchFamily="34" charset="0"/>
              <a:cs typeface="Times New Roman" panose="02020603050405020304" pitchFamily="18" charset="0"/>
            </a:rPr>
            <a:t>. All files related to the development</a:t>
          </a:r>
          <a:r>
            <a:rPr lang="en-US" sz="1400" baseline="0">
              <a:effectLst/>
              <a:latin typeface="+mn-lt"/>
              <a:ea typeface="Calibri" panose="020F0502020204030204" pitchFamily="34" charset="0"/>
              <a:cs typeface="Times New Roman" panose="02020603050405020304" pitchFamily="18" charset="0"/>
            </a:rPr>
            <a:t> of these SC-GHG estimates are available on the EPA webpage</a:t>
          </a:r>
          <a:r>
            <a:rPr lang="en-US" sz="1400">
              <a:solidFill>
                <a:schemeClr val="dk1"/>
              </a:solidFill>
              <a:effectLst/>
              <a:latin typeface="+mn-lt"/>
              <a:ea typeface="+mn-ea"/>
              <a:cs typeface="+mn-cs"/>
            </a:rPr>
            <a:t>: </a:t>
          </a:r>
          <a:r>
            <a:rPr lang="en-US" sz="1400" u="sng">
              <a:solidFill>
                <a:schemeClr val="dk1"/>
              </a:solidFill>
              <a:effectLst/>
              <a:latin typeface="+mn-lt"/>
              <a:ea typeface="+mn-ea"/>
              <a:cs typeface="+mn-cs"/>
              <a:hlinkClick xmlns:r="http://schemas.openxmlformats.org/officeDocument/2006/relationships" r:id=""/>
            </a:rPr>
            <a:t>https://www.epa.gov/environmental-economics/scghg</a:t>
          </a:r>
          <a:r>
            <a:rPr lang="en-US" sz="1400" u="sng">
              <a:solidFill>
                <a:schemeClr val="dk1"/>
              </a:solidFill>
              <a:effectLst/>
              <a:latin typeface="+mn-lt"/>
              <a:ea typeface="+mn-ea"/>
              <a:cs typeface="+mn-cs"/>
            </a:rPr>
            <a:t>.</a:t>
          </a:r>
          <a:endParaRPr lang="en-US" sz="1400">
            <a:effectLst/>
            <a:latin typeface="+mn-lt"/>
            <a:ea typeface="Calibri" panose="020F0502020204030204" pitchFamily="34" charset="0"/>
            <a:cs typeface="Times New Roman" panose="02020603050405020304" pitchFamily="18" charset="0"/>
          </a:endParaRPr>
        </a:p>
        <a:p>
          <a:pPr marL="0" marR="0">
            <a:lnSpc>
              <a:spcPct val="107000"/>
            </a:lnSpc>
            <a:spcBef>
              <a:spcPts val="0"/>
            </a:spcBef>
            <a:spcAft>
              <a:spcPts val="800"/>
            </a:spcAft>
          </a:pPr>
          <a:r>
            <a:rPr lang="en-US" sz="1400">
              <a:effectLst/>
              <a:latin typeface="+mn-lt"/>
              <a:ea typeface="Calibri" panose="020F0502020204030204" pitchFamily="34" charset="0"/>
              <a:cs typeface="Times New Roman" panose="02020603050405020304" pitchFamily="18" charset="0"/>
            </a:rPr>
            <a:t>The workbook contains the following tabs.</a:t>
          </a:r>
        </a:p>
        <a:p>
          <a:pPr marL="800100" marR="0" lvl="1" indent="-342900" defTabSz="914400" eaLnBrk="1" fontAlgn="auto" latinLnBrk="0" hangingPunct="1">
            <a:lnSpc>
              <a:spcPct val="107000"/>
            </a:lnSpc>
            <a:spcBef>
              <a:spcPts val="0"/>
            </a:spcBef>
            <a:spcAft>
              <a:spcPts val="0"/>
            </a:spcAft>
            <a:buClrTx/>
            <a:buSzTx/>
            <a:buFont typeface="Symbol" panose="05050102010706020507" pitchFamily="18" charset="2"/>
            <a:buChar char=""/>
            <a:tabLst/>
            <a:defRPr/>
          </a:pPr>
          <a:r>
            <a:rPr lang="en-US" sz="1400" b="1">
              <a:solidFill>
                <a:schemeClr val="dk1"/>
              </a:solidFill>
              <a:effectLst/>
              <a:latin typeface="+mn-lt"/>
              <a:ea typeface="+mn-ea"/>
              <a:cs typeface="+mn-cs"/>
            </a:rPr>
            <a:t>Technical Background </a:t>
          </a:r>
          <a:r>
            <a:rPr lang="en-US" sz="1400">
              <a:solidFill>
                <a:schemeClr val="dk1"/>
              </a:solidFill>
              <a:effectLst/>
              <a:latin typeface="+mn-lt"/>
              <a:ea typeface="+mn-ea"/>
              <a:cs typeface="+mn-cs"/>
            </a:rPr>
            <a:t>– A more technical discussion of the SC-GHGs and their application using this workbook.</a:t>
          </a:r>
          <a:endParaRPr lang="en-US" sz="1400">
            <a:effectLst/>
          </a:endParaRPr>
        </a:p>
        <a:p>
          <a:pPr marL="800100" marR="0" lvl="1" indent="-342900">
            <a:lnSpc>
              <a:spcPct val="107000"/>
            </a:lnSpc>
            <a:spcBef>
              <a:spcPts val="0"/>
            </a:spcBef>
            <a:spcAft>
              <a:spcPts val="0"/>
            </a:spcAft>
            <a:buFont typeface="Symbol" panose="05050102010706020507" pitchFamily="18" charset="2"/>
            <a:buChar char=""/>
          </a:pPr>
          <a:r>
            <a:rPr lang="en-US" sz="1400" b="1">
              <a:effectLst/>
              <a:latin typeface="+mn-lt"/>
              <a:ea typeface="Calibri" panose="020F0502020204030204" pitchFamily="34" charset="0"/>
              <a:cs typeface="Times New Roman" panose="02020603050405020304" pitchFamily="18" charset="0"/>
            </a:rPr>
            <a:t>Instructions</a:t>
          </a:r>
          <a:r>
            <a:rPr lang="en-US" sz="1400">
              <a:effectLst/>
              <a:latin typeface="+mn-lt"/>
              <a:ea typeface="Calibri" panose="020F0502020204030204" pitchFamily="34" charset="0"/>
              <a:cs typeface="Times New Roman" panose="02020603050405020304" pitchFamily="18" charset="0"/>
            </a:rPr>
            <a:t> – Detailed instructions on what data should be entered in this workbook and where to find the results.</a:t>
          </a:r>
        </a:p>
        <a:p>
          <a:pPr marL="800100" marR="0" lvl="1" indent="-342900">
            <a:lnSpc>
              <a:spcPct val="107000"/>
            </a:lnSpc>
            <a:spcBef>
              <a:spcPts val="0"/>
            </a:spcBef>
            <a:spcAft>
              <a:spcPts val="0"/>
            </a:spcAft>
            <a:buFont typeface="Symbol" panose="05050102010706020507" pitchFamily="18" charset="2"/>
            <a:buChar char=""/>
          </a:pPr>
          <a:r>
            <a:rPr lang="en-US" sz="1400" b="1">
              <a:effectLst/>
              <a:latin typeface="+mn-lt"/>
              <a:ea typeface="Calibri" panose="020F0502020204030204" pitchFamily="34" charset="0"/>
              <a:cs typeface="Times New Roman" panose="02020603050405020304" pitchFamily="18" charset="0"/>
            </a:rPr>
            <a:t>Data</a:t>
          </a:r>
          <a:r>
            <a:rPr lang="en-US" sz="1400">
              <a:effectLst/>
              <a:latin typeface="+mn-lt"/>
              <a:ea typeface="Calibri" panose="020F0502020204030204" pitchFamily="34" charset="0"/>
              <a:cs typeface="Times New Roman" panose="02020603050405020304" pitchFamily="18" charset="0"/>
            </a:rPr>
            <a:t> – The tab where the user should enter: </a:t>
          </a:r>
        </a:p>
        <a:p>
          <a:pPr marL="1200150" marR="0" lvl="2" indent="-285750">
            <a:lnSpc>
              <a:spcPct val="107000"/>
            </a:lnSpc>
            <a:spcBef>
              <a:spcPts val="0"/>
            </a:spcBef>
            <a:spcAft>
              <a:spcPts val="0"/>
            </a:spcAft>
            <a:buFont typeface="Courier New" panose="02070309020205020404" pitchFamily="49" charset="0"/>
            <a:buChar char="o"/>
          </a:pPr>
          <a:r>
            <a:rPr lang="en-US" sz="1400">
              <a:effectLst/>
              <a:latin typeface="+mn-lt"/>
              <a:ea typeface="Calibri" panose="020F0502020204030204" pitchFamily="34" charset="0"/>
              <a:cs typeface="Times New Roman" panose="02020603050405020304" pitchFamily="18" charset="0"/>
            </a:rPr>
            <a:t>The tons of emission changes for CO</a:t>
          </a:r>
          <a:r>
            <a:rPr lang="en-US" sz="1400" baseline="-25000">
              <a:effectLst/>
              <a:latin typeface="+mn-lt"/>
              <a:ea typeface="Calibri" panose="020F0502020204030204" pitchFamily="34" charset="0"/>
              <a:cs typeface="Times New Roman" panose="02020603050405020304" pitchFamily="18" charset="0"/>
            </a:rPr>
            <a:t>2</a:t>
          </a:r>
          <a:r>
            <a:rPr lang="en-US" sz="1400">
              <a:effectLst/>
              <a:latin typeface="+mn-lt"/>
              <a:ea typeface="Calibri" panose="020F0502020204030204" pitchFamily="34" charset="0"/>
              <a:cs typeface="Times New Roman" panose="02020603050405020304" pitchFamily="18" charset="0"/>
            </a:rPr>
            <a:t>, CH</a:t>
          </a:r>
          <a:r>
            <a:rPr lang="en-US" sz="1400" baseline="-25000">
              <a:effectLst/>
              <a:latin typeface="+mn-lt"/>
              <a:ea typeface="Calibri" panose="020F0502020204030204" pitchFamily="34" charset="0"/>
              <a:cs typeface="Times New Roman" panose="02020603050405020304" pitchFamily="18" charset="0"/>
            </a:rPr>
            <a:t>4</a:t>
          </a:r>
          <a:r>
            <a:rPr lang="en-US" sz="1400">
              <a:effectLst/>
              <a:latin typeface="+mn-lt"/>
              <a:ea typeface="Calibri" panose="020F0502020204030204" pitchFamily="34" charset="0"/>
              <a:cs typeface="Times New Roman" panose="02020603050405020304" pitchFamily="18" charset="0"/>
            </a:rPr>
            <a:t>, and N</a:t>
          </a:r>
          <a:r>
            <a:rPr lang="en-US" sz="1400" baseline="-25000">
              <a:effectLst/>
              <a:latin typeface="+mn-lt"/>
              <a:ea typeface="Calibri" panose="020F0502020204030204" pitchFamily="34" charset="0"/>
              <a:cs typeface="Times New Roman" panose="02020603050405020304" pitchFamily="18" charset="0"/>
            </a:rPr>
            <a:t>2</a:t>
          </a:r>
          <a:r>
            <a:rPr lang="en-US" sz="1400">
              <a:effectLst/>
              <a:latin typeface="+mn-lt"/>
              <a:ea typeface="Calibri" panose="020F0502020204030204" pitchFamily="34" charset="0"/>
              <a:cs typeface="Times New Roman" panose="02020603050405020304" pitchFamily="18" charset="0"/>
            </a:rPr>
            <a:t>O in the green cells.</a:t>
          </a:r>
        </a:p>
        <a:p>
          <a:pPr marL="1200150" marR="0" lvl="2" indent="-285750">
            <a:lnSpc>
              <a:spcPct val="107000"/>
            </a:lnSpc>
            <a:spcBef>
              <a:spcPts val="0"/>
            </a:spcBef>
            <a:spcAft>
              <a:spcPts val="0"/>
            </a:spcAft>
            <a:buFont typeface="Courier New" panose="02070309020205020404" pitchFamily="49" charset="0"/>
            <a:buChar char="o"/>
          </a:pPr>
          <a:r>
            <a:rPr lang="en-US" sz="1400">
              <a:effectLst/>
              <a:latin typeface="+mn-lt"/>
              <a:ea typeface="Calibri" panose="020F0502020204030204" pitchFamily="34" charset="0"/>
              <a:cs typeface="Times New Roman" panose="02020603050405020304" pitchFamily="18" charset="0"/>
            </a:rPr>
            <a:t>The dollar year (reflecting the purchasing power of real dollars) in the orange box.</a:t>
          </a:r>
        </a:p>
        <a:p>
          <a:pPr marL="1200150" marR="0" lvl="2" indent="-285750">
            <a:lnSpc>
              <a:spcPct val="107000"/>
            </a:lnSpc>
            <a:spcBef>
              <a:spcPts val="0"/>
            </a:spcBef>
            <a:spcAft>
              <a:spcPts val="0"/>
            </a:spcAft>
            <a:buFont typeface="Courier New" panose="02070309020205020404" pitchFamily="49" charset="0"/>
            <a:buChar char="o"/>
          </a:pPr>
          <a:r>
            <a:rPr lang="en-US" sz="1400">
              <a:effectLst/>
              <a:latin typeface="+mn-lt"/>
              <a:ea typeface="Calibri" panose="020F0502020204030204" pitchFamily="34" charset="0"/>
              <a:cs typeface="Times New Roman" panose="02020603050405020304" pitchFamily="18" charset="0"/>
            </a:rPr>
            <a:t>The present value year in the lavender box.</a:t>
          </a:r>
        </a:p>
        <a:p>
          <a:pPr marL="800100" marR="0" lvl="1" indent="-342900">
            <a:lnSpc>
              <a:spcPct val="107000"/>
            </a:lnSpc>
            <a:spcBef>
              <a:spcPts val="0"/>
            </a:spcBef>
            <a:spcAft>
              <a:spcPts val="0"/>
            </a:spcAft>
            <a:buFont typeface="Symbol" panose="05050102010706020507" pitchFamily="18" charset="2"/>
            <a:buChar char=""/>
          </a:pPr>
          <a:r>
            <a:rPr lang="en-US" sz="1400" b="1">
              <a:effectLst/>
              <a:latin typeface="+mn-lt"/>
              <a:ea typeface="Calibri" panose="020F0502020204030204" pitchFamily="34" charset="0"/>
              <a:cs typeface="Times New Roman" panose="02020603050405020304" pitchFamily="18" charset="0"/>
            </a:rPr>
            <a:t>Results</a:t>
          </a:r>
          <a:r>
            <a:rPr lang="en-US" sz="1400">
              <a:effectLst/>
              <a:latin typeface="+mn-lt"/>
              <a:ea typeface="Calibri" panose="020F0502020204030204" pitchFamily="34" charset="0"/>
              <a:cs typeface="Times New Roman" panose="02020603050405020304" pitchFamily="18" charset="0"/>
            </a:rPr>
            <a:t> – Constant Rate – The tab where the present value and annualized values for the emissions changes are found, using constant discounting</a:t>
          </a:r>
        </a:p>
        <a:p>
          <a:pPr marL="800100" marR="0" lvl="1" indent="-342900">
            <a:lnSpc>
              <a:spcPct val="107000"/>
            </a:lnSpc>
            <a:spcBef>
              <a:spcPts val="0"/>
            </a:spcBef>
            <a:spcAft>
              <a:spcPts val="0"/>
            </a:spcAft>
            <a:buFont typeface="Symbol" panose="05050102010706020507" pitchFamily="18" charset="2"/>
            <a:buChar char=""/>
          </a:pPr>
          <a:r>
            <a:rPr lang="en-US" sz="1400" b="1">
              <a:effectLst/>
              <a:latin typeface="+mn-lt"/>
              <a:ea typeface="Calibri" panose="020F0502020204030204" pitchFamily="34" charset="0"/>
              <a:cs typeface="Times New Roman" panose="02020603050405020304" pitchFamily="18" charset="0"/>
            </a:rPr>
            <a:t>Example</a:t>
          </a:r>
          <a:r>
            <a:rPr lang="en-US" sz="1400">
              <a:effectLst/>
              <a:latin typeface="+mn-lt"/>
              <a:ea typeface="Calibri" panose="020F0502020204030204" pitchFamily="34" charset="0"/>
              <a:cs typeface="Times New Roman" panose="02020603050405020304" pitchFamily="18" charset="0"/>
            </a:rPr>
            <a:t> – An illustrative example of how to use this workbook, adapted from the December 2023 analysis accompanying</a:t>
          </a:r>
          <a:r>
            <a:rPr lang="en-US" sz="1400" baseline="0">
              <a:effectLst/>
              <a:latin typeface="+mn-lt"/>
              <a:ea typeface="Calibri" panose="020F0502020204030204" pitchFamily="34" charset="0"/>
              <a:cs typeface="Times New Roman" panose="02020603050405020304" pitchFamily="18" charset="0"/>
            </a:rPr>
            <a:t> EPA's </a:t>
          </a:r>
          <a:r>
            <a:rPr lang="en-US" sz="1400">
              <a:effectLst/>
              <a:latin typeface="+mn-lt"/>
              <a:ea typeface="Calibri" panose="020F0502020204030204" pitchFamily="34" charset="0"/>
              <a:cs typeface="Times New Roman" panose="02020603050405020304" pitchFamily="18" charset="0"/>
            </a:rPr>
            <a:t>Final Oil and Gas Rule.</a:t>
          </a:r>
        </a:p>
        <a:p>
          <a:pPr marL="800100" marR="0" lvl="1" indent="-342900">
            <a:lnSpc>
              <a:spcPct val="107000"/>
            </a:lnSpc>
            <a:spcBef>
              <a:spcPts val="0"/>
            </a:spcBef>
            <a:spcAft>
              <a:spcPts val="0"/>
            </a:spcAft>
            <a:buFont typeface="Symbol" panose="05050102010706020507" pitchFamily="18" charset="2"/>
            <a:buChar char=""/>
          </a:pPr>
          <a:r>
            <a:rPr lang="en-US" sz="1400" b="1">
              <a:effectLst/>
              <a:latin typeface="+mn-lt"/>
              <a:ea typeface="Calibri" panose="020F0502020204030204" pitchFamily="34" charset="0"/>
              <a:cs typeface="Times New Roman" panose="02020603050405020304" pitchFamily="18" charset="0"/>
            </a:rPr>
            <a:t>FAQs</a:t>
          </a:r>
          <a:r>
            <a:rPr lang="en-US" sz="1400">
              <a:effectLst/>
              <a:latin typeface="+mn-lt"/>
              <a:ea typeface="Calibri" panose="020F0502020204030204" pitchFamily="34" charset="0"/>
              <a:cs typeface="Times New Roman" panose="02020603050405020304" pitchFamily="18" charset="0"/>
            </a:rPr>
            <a:t> – Frequently Asked Questions regarding the use of this spreadsheet. This tab will be updated periodically as new questions arise.</a:t>
          </a:r>
        </a:p>
        <a:p>
          <a:pPr marL="800100" marR="0" lvl="1" indent="-342900">
            <a:lnSpc>
              <a:spcPct val="107000"/>
            </a:lnSpc>
            <a:spcBef>
              <a:spcPts val="0"/>
            </a:spcBef>
            <a:spcAft>
              <a:spcPts val="800"/>
            </a:spcAft>
            <a:buFont typeface="Symbol" panose="05050102010706020507" pitchFamily="18" charset="2"/>
            <a:buChar char=""/>
          </a:pPr>
          <a:r>
            <a:rPr lang="en-US" sz="1400" b="1">
              <a:effectLst/>
              <a:latin typeface="+mn-lt"/>
              <a:ea typeface="Calibri" panose="020F0502020204030204" pitchFamily="34" charset="0"/>
              <a:cs typeface="Times New Roman" panose="02020603050405020304" pitchFamily="18" charset="0"/>
            </a:rPr>
            <a:t>Release Notes</a:t>
          </a:r>
          <a:r>
            <a:rPr lang="en-US" sz="1400">
              <a:effectLst/>
              <a:latin typeface="+mn-lt"/>
              <a:ea typeface="Calibri" panose="020F0502020204030204" pitchFamily="34" charset="0"/>
              <a:cs typeface="Times New Roman" panose="02020603050405020304" pitchFamily="18" charset="0"/>
            </a:rPr>
            <a:t> – A brief description of the changes made to this spreadsheet with each release.</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4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400">
              <a:solidFill>
                <a:schemeClr val="dk1"/>
              </a:solidFill>
              <a:effectLst/>
              <a:latin typeface="+mn-lt"/>
              <a:ea typeface="+mn-ea"/>
              <a:cs typeface="+mn-cs"/>
            </a:rPr>
            <a:t>U.S. EPA. (2023). </a:t>
          </a:r>
          <a:r>
            <a:rPr lang="en-US" sz="1400" i="1">
              <a:solidFill>
                <a:schemeClr val="dk1"/>
              </a:solidFill>
              <a:effectLst/>
              <a:latin typeface="+mn-lt"/>
              <a:ea typeface="+mn-ea"/>
              <a:cs typeface="+mn-cs"/>
            </a:rPr>
            <a:t>Supplementary Material for the Regulatory Impact Analysis for the Final Rulemaking, “Standards of Performance for New, Reconstructed, and Modified Sources and Emissions Guidelines for Existing Sources: Oil and Natural Gas Sector Climate Review”: EPA Report on the Social Cost of Greenhouse Gases: Estimates Incorporating Recent Scientific Advances</a:t>
          </a:r>
          <a:r>
            <a:rPr lang="en-US" sz="1400">
              <a:solidFill>
                <a:schemeClr val="dk1"/>
              </a:solidFill>
              <a:effectLst/>
              <a:latin typeface="+mn-lt"/>
              <a:ea typeface="+mn-ea"/>
              <a:cs typeface="+mn-cs"/>
            </a:rPr>
            <a:t>. Washington, DC: U.S. EPA.</a:t>
          </a:r>
          <a:endParaRPr kumimoji="0" lang="en-US" sz="1400" b="0" i="0" u="none" strike="noStrike" kern="0" cap="none" spc="0" normalizeH="0" baseline="0" noProof="0">
            <a:ln>
              <a:noFill/>
            </a:ln>
            <a:solidFill>
              <a:prstClr val="black"/>
            </a:solidFill>
            <a:effectLst/>
            <a:uLnTx/>
            <a:uFillTx/>
            <a:latin typeface="+mn-lt"/>
            <a:ea typeface="+mn-ea"/>
            <a:cs typeface="+mn-cs"/>
          </a:endParaRPr>
        </a:p>
      </xdr:txBody>
    </xdr:sp>
    <xdr:clientData/>
  </xdr:twoCellAnchor>
  <xdr:twoCellAnchor>
    <xdr:from>
      <xdr:col>4</xdr:col>
      <xdr:colOff>152401</xdr:colOff>
      <xdr:row>7</xdr:row>
      <xdr:rowOff>68580</xdr:rowOff>
    </xdr:from>
    <xdr:to>
      <xdr:col>10</xdr:col>
      <xdr:colOff>361951</xdr:colOff>
      <xdr:row>8</xdr:row>
      <xdr:rowOff>102870</xdr:rowOff>
    </xdr:to>
    <xdr:sp macro="" textlink="">
      <xdr:nvSpPr>
        <xdr:cNvPr id="2" name="TextBox 1">
          <a:hlinkClick xmlns:r="http://schemas.openxmlformats.org/officeDocument/2006/relationships" r:id="rId1"/>
          <a:extLst>
            <a:ext uri="{FF2B5EF4-FFF2-40B4-BE49-F238E27FC236}">
              <a16:creationId xmlns:a16="http://schemas.microsoft.com/office/drawing/2014/main" id="{06971EFF-FAD2-4588-A419-D44FCE949714}"/>
            </a:ext>
          </a:extLst>
        </xdr:cNvPr>
        <xdr:cNvSpPr txBox="1"/>
      </xdr:nvSpPr>
      <xdr:spPr>
        <a:xfrm>
          <a:off x="2712721" y="1348740"/>
          <a:ext cx="4050030" cy="2171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250873</xdr:colOff>
      <xdr:row>10</xdr:row>
      <xdr:rowOff>22861</xdr:rowOff>
    </xdr:from>
    <xdr:to>
      <xdr:col>16</xdr:col>
      <xdr:colOff>419100</xdr:colOff>
      <xdr:row>11</xdr:row>
      <xdr:rowOff>72391</xdr:rowOff>
    </xdr:to>
    <xdr:sp macro="" textlink="">
      <xdr:nvSpPr>
        <xdr:cNvPr id="3" name="TextBox 2">
          <a:hlinkClick xmlns:r="http://schemas.openxmlformats.org/officeDocument/2006/relationships" r:id="rId1"/>
          <a:extLst>
            <a:ext uri="{FF2B5EF4-FFF2-40B4-BE49-F238E27FC236}">
              <a16:creationId xmlns:a16="http://schemas.microsoft.com/office/drawing/2014/main" id="{49C97CFA-3D40-EFF2-B88C-F415B88ECE41}"/>
            </a:ext>
          </a:extLst>
        </xdr:cNvPr>
        <xdr:cNvSpPr txBox="1"/>
      </xdr:nvSpPr>
      <xdr:spPr>
        <a:xfrm>
          <a:off x="6651673" y="1851661"/>
          <a:ext cx="4008707" cy="2324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12148</xdr:colOff>
      <xdr:row>0</xdr:row>
      <xdr:rowOff>0</xdr:rowOff>
    </xdr:from>
    <xdr:to>
      <xdr:col>20</xdr:col>
      <xdr:colOff>355334</xdr:colOff>
      <xdr:row>211</xdr:row>
      <xdr:rowOff>36635</xdr:rowOff>
    </xdr:to>
    <mc:AlternateContent xmlns:mc="http://schemas.openxmlformats.org/markup-compatibility/2006" xmlns:a14="http://schemas.microsoft.com/office/drawing/2010/main">
      <mc:Choice Requires="a14">
        <xdr:sp macro="" textlink="">
          <xdr:nvSpPr>
            <xdr:cNvPr id="202" name="TextBox 1">
              <a:extLst>
                <a:ext uri="{FF2B5EF4-FFF2-40B4-BE49-F238E27FC236}">
                  <a16:creationId xmlns:a16="http://schemas.microsoft.com/office/drawing/2014/main" id="{99FD9930-1373-4BA1-9357-BD754AF96F71}"/>
                </a:ext>
              </a:extLst>
            </xdr:cNvPr>
            <xdr:cNvSpPr txBox="1">
              <a:spLocks noChangeAspect="1"/>
            </xdr:cNvSpPr>
          </xdr:nvSpPr>
          <xdr:spPr>
            <a:xfrm>
              <a:off x="8973" y="0"/>
              <a:ext cx="12535186" cy="38624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800">
                  <a:solidFill>
                    <a:schemeClr val="dk1"/>
                  </a:solidFill>
                  <a:effectLst/>
                  <a:latin typeface="+mn-lt"/>
                  <a:ea typeface="+mn-ea"/>
                  <a:cs typeface="+mn-cs"/>
                </a:rPr>
                <a:t>EPA Social Cost</a:t>
              </a:r>
              <a:r>
                <a:rPr lang="en-US" sz="2800" baseline="0">
                  <a:solidFill>
                    <a:schemeClr val="dk1"/>
                  </a:solidFill>
                  <a:effectLst/>
                  <a:latin typeface="+mn-lt"/>
                  <a:ea typeface="+mn-ea"/>
                  <a:cs typeface="+mn-cs"/>
                </a:rPr>
                <a:t> of Greenhouse Gases Application Workbook</a:t>
              </a:r>
            </a:p>
            <a:p>
              <a:pPr marL="0" marR="0" lvl="0" indent="0" algn="ctr"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Technical Background</a:t>
              </a:r>
              <a:endParaRPr lang="en-US" sz="2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1" u="none">
                  <a:solidFill>
                    <a:schemeClr val="dk1"/>
                  </a:solidFill>
                  <a:effectLst/>
                  <a:latin typeface="+mn-lt"/>
                  <a:ea typeface="+mn-ea"/>
                  <a:cs typeface="+mn-cs"/>
                </a:rPr>
                <a:t>Overview of Social Cost of Greenhous Gases (SC-GHG)</a:t>
              </a: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In December 2023, i</a:t>
              </a:r>
              <a:r>
                <a:rPr lang="en-US" sz="1600" b="0" i="0">
                  <a:solidFill>
                    <a:schemeClr val="dk1"/>
                  </a:solidFill>
                  <a:effectLst/>
                  <a:latin typeface="+mn-lt"/>
                  <a:ea typeface="+mn-ea"/>
                  <a:cs typeface="+mn-cs"/>
                </a:rPr>
                <a:t>n the regulatory impact analysis of EPA’s Final Rulemaking</a:t>
              </a:r>
              <a:r>
                <a:rPr lang="en-US" sz="1600" b="0" i="1">
                  <a:solidFill>
                    <a:schemeClr val="dk1"/>
                  </a:solidFill>
                  <a:effectLst/>
                  <a:latin typeface="+mn-lt"/>
                  <a:ea typeface="+mn-ea"/>
                  <a:cs typeface="+mn-cs"/>
                </a:rPr>
                <a:t>, Standards of Performace for</a:t>
              </a:r>
              <a:r>
                <a:rPr lang="en-US" sz="1600" b="0" i="1" baseline="0">
                  <a:solidFill>
                    <a:schemeClr val="dk1"/>
                  </a:solidFill>
                  <a:effectLst/>
                  <a:latin typeface="+mn-lt"/>
                  <a:ea typeface="+mn-ea"/>
                  <a:cs typeface="+mn-cs"/>
                </a:rPr>
                <a:t> New, Reconstructed, and Modified Sources and Emissions Guidelines for Existing Sources: Oil and Natural Gas Sector Climate Review</a:t>
              </a:r>
              <a:r>
                <a:rPr lang="en-US" sz="1600" b="0" i="0" baseline="0">
                  <a:solidFill>
                    <a:schemeClr val="dk1"/>
                  </a:solidFill>
                  <a:effectLst/>
                  <a:latin typeface="+mn-lt"/>
                  <a:ea typeface="+mn-ea"/>
                  <a:cs typeface="+mn-cs"/>
                </a:rPr>
                <a:t>, </a:t>
              </a:r>
              <a:r>
                <a:rPr lang="en-US" sz="1600" b="0" i="0">
                  <a:solidFill>
                    <a:schemeClr val="dk1"/>
                  </a:solidFill>
                  <a:effectLst/>
                  <a:latin typeface="+mn-lt"/>
                  <a:ea typeface="+mn-ea"/>
                  <a:cs typeface="+mn-cs"/>
                </a:rPr>
                <a:t>EPA estimated the climate benefits of the rule using a new set of Social Cost of Greenhouse Gas (SC-GHG) estimates. These estimates incorporate recent research addressing recommendations of the National Academies of Science, Engineering, and Medicine (2017), responses to public comments on an earlier sensitivity analysis using draft SC-GHG estimates included in the December 2022 supplemental proposed rulemaking, and comments from a 2023 external peer review of the accompanying technical report. The technical report, </a:t>
              </a:r>
              <a:r>
                <a:rPr lang="en-US" sz="1600" u="sng">
                  <a:solidFill>
                    <a:srgbClr val="0000FF"/>
                  </a:solidFill>
                  <a:effectLst/>
                  <a:latin typeface="+mn-lt"/>
                  <a:ea typeface="+mn-ea"/>
                  <a:cs typeface="+mn-cs"/>
                </a:rPr>
                <a:t>Report on the Social Cost of Greenhouse Gases: Estimates Incorporating Recent Scientific Advances,</a:t>
              </a:r>
              <a:r>
                <a:rPr lang="en-US" sz="1600" u="none">
                  <a:solidFill>
                    <a:sysClr val="windowText" lastClr="000000"/>
                  </a:solidFill>
                  <a:effectLst/>
                  <a:latin typeface="+mn-lt"/>
                  <a:ea typeface="+mn-ea"/>
                  <a:cs typeface="+mn-cs"/>
                </a:rPr>
                <a:t> describing the methodology underlying the SC-GHG estimates, and all other files related to their</a:t>
              </a:r>
              <a:r>
                <a:rPr lang="en-US" sz="1600" u="none" baseline="0">
                  <a:solidFill>
                    <a:sysClr val="windowText" lastClr="000000"/>
                  </a:solidFill>
                  <a:effectLst/>
                  <a:latin typeface="+mn-lt"/>
                  <a:ea typeface="+mn-ea"/>
                  <a:cs typeface="+mn-cs"/>
                </a:rPr>
                <a:t> development are available on EPA's webpage: </a:t>
              </a:r>
              <a:r>
                <a:rPr lang="en-US" sz="1600" u="sng">
                  <a:solidFill>
                    <a:srgbClr val="0000FF"/>
                  </a:solidFill>
                  <a:effectLst/>
                  <a:latin typeface="+mn-lt"/>
                  <a:ea typeface="+mn-ea"/>
                  <a:cs typeface="+mn-cs"/>
                </a:rPr>
                <a:t>https://www.epa.gov/environmental-economics/scghg</a:t>
              </a:r>
              <a:r>
                <a:rPr lang="en-US" sz="1600" u="none">
                  <a:solidFill>
                    <a:schemeClr val="dk1"/>
                  </a:solidFill>
                  <a:effectLst/>
                  <a:latin typeface="+mn-lt"/>
                  <a:ea typeface="+mn-ea"/>
                  <a:cs typeface="+mn-cs"/>
                </a:rPr>
                <a:t>.</a:t>
              </a: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The table</a:t>
              </a:r>
              <a:r>
                <a:rPr lang="en-US" sz="1600" baseline="0">
                  <a:solidFill>
                    <a:schemeClr val="dk1"/>
                  </a:solidFill>
                  <a:effectLst/>
                  <a:latin typeface="+mn-lt"/>
                  <a:ea typeface="+mn-ea"/>
                  <a:cs typeface="+mn-cs"/>
                </a:rPr>
                <a:t> below </a:t>
              </a:r>
              <a:r>
                <a:rPr lang="en-US" sz="1600">
                  <a:solidFill>
                    <a:schemeClr val="dk1"/>
                  </a:solidFill>
                  <a:effectLst/>
                  <a:latin typeface="+mn-lt"/>
                  <a:ea typeface="+mn-ea"/>
                  <a:cs typeface="+mn-cs"/>
                </a:rPr>
                <a:t>summarizes the averaged certainty-equivalent estimates of the social cost of carbon (SC-CO</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 the social cost of methane (SC-CH</a:t>
              </a:r>
              <a:r>
                <a:rPr lang="en-US" sz="1600" baseline="-25000">
                  <a:solidFill>
                    <a:schemeClr val="dk1"/>
                  </a:solidFill>
                  <a:effectLst/>
                  <a:latin typeface="+mn-lt"/>
                  <a:ea typeface="+mn-ea"/>
                  <a:cs typeface="+mn-cs"/>
                </a:rPr>
                <a:t>4</a:t>
              </a:r>
              <a:r>
                <a:rPr lang="en-US" sz="1600">
                  <a:solidFill>
                    <a:schemeClr val="dk1"/>
                  </a:solidFill>
                  <a:effectLst/>
                  <a:latin typeface="+mn-lt"/>
                  <a:ea typeface="+mn-ea"/>
                  <a:cs typeface="+mn-cs"/>
                </a:rPr>
                <a:t>), and the social cost of nitrous oxide (SC-N</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O), (collectively referred to as the “social cost of greenhouse gases” (SC-GHG)), rounded to two significant figures, under three near-term Ramsey discount rates for emissions years 2020 through 2080. This table illustrates</a:t>
              </a:r>
              <a:r>
                <a:rPr lang="en-US" sz="1600" baseline="0">
                  <a:solidFill>
                    <a:schemeClr val="dk1"/>
                  </a:solidFill>
                  <a:effectLst/>
                  <a:latin typeface="+mn-lt"/>
                  <a:ea typeface="+mn-ea"/>
                  <a:cs typeface="+mn-cs"/>
                </a:rPr>
                <a:t> the magnitude of these estimates.</a:t>
              </a: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The SC-GHG is the monetary value of the net harm to society from emitting a metric ton of that GHG into the atmosphere in a given year. </a:t>
              </a:r>
              <a:r>
                <a:rPr kumimoji="0" lang="en-US" sz="1600" b="0" i="0" u="none" strike="noStrike" kern="0" cap="none" spc="0" normalizeH="0" baseline="0" noProof="0">
                  <a:ln>
                    <a:noFill/>
                  </a:ln>
                  <a:solidFill>
                    <a:prstClr val="black"/>
                  </a:solidFill>
                  <a:effectLst/>
                  <a:uLnTx/>
                  <a:uFillTx/>
                  <a:latin typeface="+mn-lt"/>
                  <a:ea typeface="+mn-ea"/>
                  <a:cs typeface="+mn-cs"/>
                </a:rPr>
                <a:t>The SC-GHG is also the societal net benefit of reducing emissions of the GHG by a metric ton. </a:t>
              </a:r>
              <a:r>
                <a:rPr lang="en-US" sz="1600">
                  <a:solidFill>
                    <a:schemeClr val="dk1"/>
                  </a:solidFill>
                  <a:effectLst/>
                  <a:latin typeface="+mn-lt"/>
                  <a:ea typeface="+mn-ea"/>
                  <a:cs typeface="+mn-cs"/>
                </a:rPr>
                <a:t>In principle, the SC-GHG is a comprehensive metric that includes the value of all future climate change impacts (both negative and positive), including changes in net agricultural productivity, human health effects, property damage from increased flood risk, changes in the frequency and severity of natural disasters, disruption of energy systems, risk of conflict, environmental migration, and the value of ecosystem services. In practice, data and modeling limitations restrain the ability of SC-GHG estimates to include all physical, ecological, and economic impacts of climate change, implicitly assigning a value of zero to the omitted climate damages. The estimates are, therefore, a partial accounting of climate change impacts and likely underestimate the marginal benefits of abatement.  </a:t>
              </a:r>
            </a:p>
            <a:p>
              <a:endParaRPr lang="en-US" sz="1600" u="none" strike="noStrike">
                <a:solidFill>
                  <a:schemeClr val="dk1"/>
                </a:solidFill>
                <a:effectLst/>
                <a:latin typeface="+mn-lt"/>
                <a:ea typeface="+mn-ea"/>
                <a:cs typeface="+mn-cs"/>
              </a:endParaRPr>
            </a:p>
            <a:p>
              <a:r>
                <a:rPr lang="en-US" sz="1600">
                  <a:solidFill>
                    <a:schemeClr val="dk1"/>
                  </a:solidFill>
                  <a:effectLst/>
                  <a:latin typeface="+mn-lt"/>
                  <a:ea typeface="+mn-ea"/>
                  <a:cs typeface="+mn-cs"/>
                </a:rPr>
                <a:t>SC-GHG estimates are gas specific because one metric ton of CO</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 CH</a:t>
              </a:r>
              <a:r>
                <a:rPr lang="en-US" sz="1600" baseline="-25000">
                  <a:solidFill>
                    <a:schemeClr val="dk1"/>
                  </a:solidFill>
                  <a:effectLst/>
                  <a:latin typeface="+mn-lt"/>
                  <a:ea typeface="+mn-ea"/>
                  <a:cs typeface="+mn-cs"/>
                </a:rPr>
                <a:t>4</a:t>
              </a:r>
              <a:r>
                <a:rPr lang="en-US" sz="1600">
                  <a:solidFill>
                    <a:schemeClr val="dk1"/>
                  </a:solidFill>
                  <a:effectLst/>
                  <a:latin typeface="+mn-lt"/>
                  <a:ea typeface="+mn-ea"/>
                  <a:cs typeface="+mn-cs"/>
                </a:rPr>
                <a:t>, N</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O, or other GHG differ in the temporal pathway of their impact on society, through both climate mediated effects of emissions (temperature, sea level rise, etc.) and non-climate mediated effects of emissions (e.g., carbon fertilization effects and ocean acidification due to CO</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 emissions, tropospheric ozone formation due to CH</a:t>
              </a:r>
              <a:r>
                <a:rPr lang="en-US" sz="1600" baseline="-25000">
                  <a:solidFill>
                    <a:schemeClr val="dk1"/>
                  </a:solidFill>
                  <a:effectLst/>
                  <a:latin typeface="+mn-lt"/>
                  <a:ea typeface="+mn-ea"/>
                  <a:cs typeface="+mn-cs"/>
                </a:rPr>
                <a:t>4</a:t>
              </a:r>
              <a:r>
                <a:rPr lang="en-US" sz="1600">
                  <a:solidFill>
                    <a:schemeClr val="dk1"/>
                  </a:solidFill>
                  <a:effectLst/>
                  <a:latin typeface="+mn-lt"/>
                  <a:ea typeface="+mn-ea"/>
                  <a:cs typeface="+mn-cs"/>
                </a:rPr>
                <a:t> emissions).</a:t>
              </a:r>
            </a:p>
            <a:p>
              <a:endParaRPr lang="en-US" sz="1600" u="none" strike="noStrike">
                <a:solidFill>
                  <a:schemeClr val="dk1"/>
                </a:solidFill>
                <a:effectLst/>
                <a:latin typeface="+mn-lt"/>
                <a:ea typeface="+mn-ea"/>
                <a:cs typeface="+mn-cs"/>
              </a:endParaRPr>
            </a:p>
            <a:p>
              <a:r>
                <a:rPr lang="en-US" sz="1600" b="1" u="none" strike="noStrike">
                  <a:solidFill>
                    <a:schemeClr val="dk1"/>
                  </a:solidFill>
                  <a:effectLst/>
                  <a:latin typeface="+mn-lt"/>
                  <a:ea typeface="+mn-ea"/>
                  <a:cs typeface="+mn-cs"/>
                </a:rPr>
                <a:t>Calculating</a:t>
              </a:r>
              <a:r>
                <a:rPr lang="en-US" sz="1600" b="1" u="none" strike="noStrike" baseline="0">
                  <a:solidFill>
                    <a:schemeClr val="dk1"/>
                  </a:solidFill>
                  <a:effectLst/>
                  <a:latin typeface="+mn-lt"/>
                  <a:ea typeface="+mn-ea"/>
                  <a:cs typeface="+mn-cs"/>
                </a:rPr>
                <a:t> the Present Value and Annualized Values using the SC-GHG</a:t>
              </a:r>
              <a:endParaRPr lang="en-US" sz="1600" b="1" u="none" strike="noStrike">
                <a:solidFill>
                  <a:schemeClr val="dk1"/>
                </a:solidFill>
                <a:effectLst/>
                <a:latin typeface="+mn-lt"/>
                <a:ea typeface="+mn-ea"/>
                <a:cs typeface="+mn-cs"/>
              </a:endParaRPr>
            </a:p>
            <a:p>
              <a:endParaRPr lang="en-US" sz="1600" u="none" strike="noStrike">
                <a:solidFill>
                  <a:schemeClr val="dk1"/>
                </a:solidFill>
                <a:effectLst/>
                <a:latin typeface="+mn-lt"/>
                <a:ea typeface="+mn-ea"/>
                <a:cs typeface="+mn-cs"/>
              </a:endParaRPr>
            </a:p>
            <a:p>
              <a:r>
                <a:rPr lang="en-US" sz="1600">
                  <a:solidFill>
                    <a:schemeClr val="dk1"/>
                  </a:solidFill>
                  <a:effectLst/>
                  <a:latin typeface="+mn-lt"/>
                  <a:ea typeface="+mn-ea"/>
                  <a:cs typeface="+mn-cs"/>
                </a:rPr>
                <a:t>The gas-specific SC-GHG estimate, </a:t>
              </a:r>
              <a14:m>
                <m:oMath xmlns:m="http://schemas.openxmlformats.org/officeDocument/2006/math">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𝑠𝑐𝑔h</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𝑔</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sub>
                  </m:sSub>
                </m:oMath>
              </a14:m>
              <a:r>
                <a:rPr lang="en-US" sz="1600">
                  <a:solidFill>
                    <a:schemeClr val="dk1"/>
                  </a:solidFill>
                  <a:effectLst/>
                  <a:latin typeface="+mn-lt"/>
                  <a:ea typeface="+mn-ea"/>
                  <a:cs typeface="+mn-cs"/>
                </a:rPr>
                <a:t>, represents the future damages associated with </a:t>
              </a:r>
              <a:r>
                <a:rPr lang="en-US" sz="1600" i="1">
                  <a:solidFill>
                    <a:schemeClr val="dk1"/>
                  </a:solidFill>
                  <a:effectLst/>
                  <a:latin typeface="+mn-lt"/>
                  <a:ea typeface="+mn-ea"/>
                  <a:cs typeface="+mn-cs"/>
                </a:rPr>
                <a:t>one additional metric ton </a:t>
              </a:r>
              <a:r>
                <a:rPr lang="en-US" sz="1600">
                  <a:solidFill>
                    <a:schemeClr val="dk1"/>
                  </a:solidFill>
                  <a:effectLst/>
                  <a:latin typeface="+mn-lt"/>
                  <a:ea typeface="+mn-ea"/>
                  <a:cs typeface="+mn-cs"/>
                </a:rPr>
                <a:t>of emissions of the </a:t>
              </a:r>
              <a:r>
                <a:rPr lang="en-US" sz="1600" baseline="0">
                  <a:solidFill>
                    <a:schemeClr val="dk1"/>
                  </a:solidFill>
                  <a:effectLst/>
                  <a:latin typeface="+mn-lt"/>
                  <a:ea typeface="+mn-ea"/>
                  <a:cs typeface="+mn-cs"/>
                </a:rPr>
                <a:t>gas,</a:t>
              </a:r>
              <a:r>
                <a:rPr lang="en-US" sz="1600">
                  <a:solidFill>
                    <a:schemeClr val="dk1"/>
                  </a:solidFill>
                  <a:effectLst/>
                  <a:latin typeface="+mn-lt"/>
                  <a:ea typeface="+mn-ea"/>
                  <a:cs typeface="+mn-cs"/>
                </a:rPr>
                <a:t> released in some year, </a:t>
              </a:r>
              <a14:m>
                <m:oMath xmlns:m="http://schemas.openxmlformats.org/officeDocument/2006/math">
                  <m:r>
                    <a:rPr lang="en-US" sz="1600" i="1">
                      <a:solidFill>
                        <a:schemeClr val="dk1"/>
                      </a:solidFill>
                      <a:effectLst/>
                      <a:latin typeface="Cambria Math" panose="02040503050406030204" pitchFamily="18" charset="0"/>
                      <a:ea typeface="+mn-ea"/>
                      <a:cs typeface="+mn-cs"/>
                    </a:rPr>
                    <m:t>𝜏</m:t>
                  </m:r>
                </m:oMath>
              </a14:m>
              <a:r>
                <a:rPr lang="en-US" sz="1600">
                  <a:solidFill>
                    <a:schemeClr val="dk1"/>
                  </a:solidFill>
                  <a:effectLst/>
                  <a:latin typeface="+mn-lt"/>
                  <a:ea typeface="+mn-ea"/>
                  <a:cs typeface="+mn-cs"/>
                </a:rPr>
                <a:t>, and discounted back to that emission year. For example, the </a:t>
              </a:r>
              <a:r>
                <a:rPr kumimoji="0" lang="en-US" sz="1600" b="0" i="0" u="none" strike="noStrike" kern="0" cap="none" spc="0" normalizeH="0" baseline="0" noProof="0">
                  <a:ln>
                    <a:noFill/>
                  </a:ln>
                  <a:solidFill>
                    <a:prstClr val="black"/>
                  </a:solidFill>
                  <a:effectLst/>
                  <a:uLnTx/>
                  <a:uFillTx/>
                  <a:latin typeface="+mn-lt"/>
                  <a:ea typeface="+mn-ea"/>
                  <a:cs typeface="+mn-cs"/>
                </a:rPr>
                <a:t>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of $2,400 for 2030 in the table above (using a near-term discount rate of 2%) reflects the future damages of one additional ton of methane emitted in 2030 and </a:t>
              </a:r>
              <a:r>
                <a:rPr kumimoji="0" lang="en-US" sz="1600" b="0" i="1" u="sng" strike="noStrike" kern="0" cap="none" spc="0" normalizeH="0" baseline="0" noProof="0">
                  <a:ln>
                    <a:noFill/>
                  </a:ln>
                  <a:solidFill>
                    <a:prstClr val="black"/>
                  </a:solidFill>
                  <a:effectLst/>
                  <a:uLnTx/>
                  <a:uFillTx/>
                  <a:latin typeface="+mn-lt"/>
                  <a:ea typeface="+mn-ea"/>
                  <a:cs typeface="+mn-cs"/>
                </a:rPr>
                <a:t>discounted back to 2030</a:t>
              </a:r>
              <a:r>
                <a:rPr kumimoji="0" lang="en-US" sz="1600" b="0" i="0" u="none" strike="noStrike" kern="0" cap="none" spc="0" normalizeH="0" baseline="0" noProof="0">
                  <a:ln>
                    <a:noFill/>
                  </a:ln>
                  <a:solidFill>
                    <a:prstClr val="black"/>
                  </a:solidFill>
                  <a:effectLst/>
                  <a:uLnTx/>
                  <a:uFillTx/>
                  <a:latin typeface="+mn-lt"/>
                  <a:ea typeface="+mn-ea"/>
                  <a:cs typeface="+mn-cs"/>
                </a:rPr>
                <a:t>. </a:t>
              </a:r>
            </a:p>
            <a:p>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Multiplying the change in emissions for a future year by the SC-GHG for that year yields the monetized value of future emission changes from the perspective of that year.  We refer to this as an “</a:t>
              </a:r>
              <a:r>
                <a:rPr lang="en-US" sz="1600" u="sng">
                  <a:solidFill>
                    <a:schemeClr val="dk1"/>
                  </a:solidFill>
                  <a:effectLst/>
                  <a:latin typeface="+mn-lt"/>
                  <a:ea typeface="+mn-ea"/>
                  <a:cs typeface="+mn-cs"/>
                </a:rPr>
                <a:t>undiscounted</a:t>
              </a:r>
              <a:r>
                <a:rPr lang="en-US" sz="1600">
                  <a:solidFill>
                    <a:schemeClr val="dk1"/>
                  </a:solidFill>
                  <a:effectLst/>
                  <a:latin typeface="+mn-lt"/>
                  <a:ea typeface="+mn-ea"/>
                  <a:cs typeface="+mn-cs"/>
                </a:rPr>
                <a:t>, monetized value of emissions changes for that future year”. The undiscounted, monetized value must then be discounted back to the present value year to obtain the present value of the damages. This produces the “</a:t>
              </a:r>
              <a:r>
                <a:rPr lang="en-US" sz="1600" u="sng">
                  <a:solidFill>
                    <a:schemeClr val="dk1"/>
                  </a:solidFill>
                  <a:effectLst/>
                  <a:latin typeface="+mn-lt"/>
                  <a:ea typeface="+mn-ea"/>
                  <a:cs typeface="+mn-cs"/>
                </a:rPr>
                <a:t>discounted</a:t>
              </a:r>
              <a:r>
                <a:rPr lang="en-US" sz="1600">
                  <a:solidFill>
                    <a:schemeClr val="dk1"/>
                  </a:solidFill>
                  <a:effectLst/>
                  <a:latin typeface="+mn-lt"/>
                  <a:ea typeface="+mn-ea"/>
                  <a:cs typeface="+mn-cs"/>
                </a:rPr>
                <a:t>, monetized value of emissions changes for present year.” </a:t>
              </a:r>
              <a:endParaRPr lang="en-US" sz="1600">
                <a:effectLst/>
              </a:endParaRP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To calculate the monetized value of damages from some specific</a:t>
              </a:r>
              <a:r>
                <a:rPr lang="en-US" sz="1600" baseline="0">
                  <a:solidFill>
                    <a:schemeClr val="dk1"/>
                  </a:solidFill>
                  <a:effectLst/>
                  <a:latin typeface="+mn-lt"/>
                  <a:ea typeface="+mn-ea"/>
                  <a:cs typeface="+mn-cs"/>
                </a:rPr>
                <a:t> amount of </a:t>
              </a:r>
              <a:r>
                <a:rPr lang="en-US" sz="1600">
                  <a:solidFill>
                    <a:schemeClr val="dk1"/>
                  </a:solidFill>
                  <a:effectLst/>
                  <a:latin typeface="+mn-lt"/>
                  <a:ea typeface="+mn-ea"/>
                  <a:cs typeface="+mn-cs"/>
                </a:rPr>
                <a:t>emissions changes,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𝑥</m:t>
                      </m:r>
                    </m:e>
                    <m:sub>
                      <m:r>
                        <a:rPr kumimoji="0" lang="en-US" sz="1600" b="0" i="1" u="none" strike="noStrike" kern="0" cap="none" spc="0" normalizeH="0" baseline="-25000" noProof="0">
                          <a:ln>
                            <a:noFill/>
                          </a:ln>
                          <a:solidFill>
                            <a:prstClr val="black"/>
                          </a:solidFill>
                          <a:effectLst/>
                          <a:uLnTx/>
                          <a:uFillTx/>
                          <a:latin typeface="Cambria Math" panose="02040503050406030204" pitchFamily="18" charset="0"/>
                          <a:ea typeface="+mn-ea"/>
                          <a:cs typeface="+mn-cs"/>
                        </a:rPr>
                        <m:t>𝜏</m:t>
                      </m:r>
                    </m:sub>
                  </m:sSub>
                </m:oMath>
              </a14:m>
              <a:r>
                <a:rPr kumimoji="0" lang="en-US" sz="1600" b="0" i="0" u="none" strike="noStrike" kern="0" cap="none" spc="0" normalizeH="0" baseline="0" noProof="0">
                  <a:ln>
                    <a:noFill/>
                  </a:ln>
                  <a:solidFill>
                    <a:prstClr val="black"/>
                  </a:solidFill>
                  <a:effectLst/>
                  <a:uLnTx/>
                  <a:uFillTx/>
                  <a:latin typeface="+mn-lt"/>
                  <a:ea typeface="+mn-ea"/>
                  <a:cs typeface="+mn-cs"/>
                </a:rPr>
                <a:t>,</a:t>
              </a:r>
              <a:r>
                <a:rPr lang="en-US" sz="1600">
                  <a:solidFill>
                    <a:schemeClr val="dk1"/>
                  </a:solidFill>
                  <a:effectLst/>
                  <a:latin typeface="+mn-lt"/>
                  <a:ea typeface="+mn-ea"/>
                  <a:cs typeface="+mn-cs"/>
                </a:rPr>
                <a:t> in year </a:t>
              </a:r>
              <a14:m>
                <m:oMath xmlns:m="http://schemas.openxmlformats.org/officeDocument/2006/math">
                  <m:r>
                    <a:rPr lang="en-US" sz="1600" i="1">
                      <a:solidFill>
                        <a:schemeClr val="dk1"/>
                      </a:solidFill>
                      <a:effectLst/>
                      <a:latin typeface="Cambria Math" panose="02040503050406030204" pitchFamily="18" charset="0"/>
                      <a:ea typeface="+mn-ea"/>
                      <a:cs typeface="+mn-cs"/>
                    </a:rPr>
                    <m:t>𝜏</m:t>
                  </m:r>
                </m:oMath>
              </a14:m>
              <a:r>
                <a:rPr lang="en-US" sz="1600">
                  <a:solidFill>
                    <a:schemeClr val="dk1"/>
                  </a:solidFill>
                  <a:effectLst/>
                  <a:latin typeface="+mn-lt"/>
                  <a:ea typeface="+mn-ea"/>
                  <a:cs typeface="+mn-cs"/>
                </a:rPr>
                <a:t> discounted back to the present value year, denoted as year 0, additional steps are required. For example,</a:t>
              </a:r>
              <a:r>
                <a:rPr lang="en-US" sz="1600" baseline="0">
                  <a:solidFill>
                    <a:schemeClr val="dk1"/>
                  </a:solidFill>
                  <a:effectLst/>
                  <a:latin typeface="+mn-lt"/>
                  <a:ea typeface="+mn-ea"/>
                  <a:cs typeface="+mn-cs"/>
                </a:rPr>
                <a:t> the 2023 Final Oil and Gas Rule is expected to reduce about 4.5 million metric tons of methane in 2030, and the RIA discounted values back to 2021. The additional steps necessary to calculate the present value, </a:t>
              </a:r>
              <a14:m>
                <m:oMath xmlns:m="http://schemas.openxmlformats.org/officeDocument/2006/math">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𝑝</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𝑣</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0</m:t>
                      </m:r>
                    </m:sub>
                  </m:sSub>
                </m:oMath>
              </a14:m>
              <a:r>
                <a:rPr lang="en-US" sz="1600" baseline="0">
                  <a:solidFill>
                    <a:schemeClr val="dk1"/>
                  </a:solidFill>
                  <a:effectLst/>
                  <a:latin typeface="+mn-lt"/>
                  <a:ea typeface="+mn-ea"/>
                  <a:cs typeface="+mn-cs"/>
                </a:rPr>
                <a:t>, </a:t>
              </a:r>
              <a:r>
                <a:rPr kumimoji="0" lang="en-US" sz="1600" b="0" i="0" u="none" strike="noStrike" kern="0" cap="none" spc="0" normalizeH="0" baseline="0" noProof="0">
                  <a:ln>
                    <a:noFill/>
                  </a:ln>
                  <a:solidFill>
                    <a:prstClr val="black"/>
                  </a:solidFill>
                  <a:effectLst/>
                  <a:uLnTx/>
                  <a:uFillTx/>
                  <a:latin typeface="+mn-lt"/>
                  <a:ea typeface="+mn-ea"/>
                  <a:cs typeface="+mn-cs"/>
                </a:rPr>
                <a:t>of emissions changes,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𝑥</m:t>
                      </m:r>
                    </m:e>
                    <m:sub>
                      <m:r>
                        <a:rPr kumimoji="0" lang="en-US" sz="1600" b="0" i="1" u="none" strike="noStrike" kern="0" cap="none" spc="0" normalizeH="0" baseline="-25000" noProof="0">
                          <a:ln>
                            <a:noFill/>
                          </a:ln>
                          <a:solidFill>
                            <a:prstClr val="black"/>
                          </a:solidFill>
                          <a:effectLst/>
                          <a:uLnTx/>
                          <a:uFillTx/>
                          <a:latin typeface="Cambria Math" panose="02040503050406030204" pitchFamily="18" charset="0"/>
                          <a:ea typeface="+mn-ea"/>
                          <a:cs typeface="+mn-cs"/>
                        </a:rPr>
                        <m:t>𝜏</m:t>
                      </m:r>
                    </m:sub>
                  </m:sSub>
                </m:oMath>
              </a14:m>
              <a:r>
                <a:rPr kumimoji="0" lang="en-US" sz="1600" b="0" i="0" u="none" strike="noStrike" kern="0" cap="none" spc="0" normalizeH="0" baseline="0" noProof="0">
                  <a:ln>
                    <a:noFill/>
                  </a:ln>
                  <a:solidFill>
                    <a:prstClr val="black"/>
                  </a:solidFill>
                  <a:effectLst/>
                  <a:uLnTx/>
                  <a:uFillTx/>
                  <a:latin typeface="+mn-lt"/>
                  <a:ea typeface="+mn-ea"/>
                  <a:cs typeface="+mn-cs"/>
                </a:rPr>
                <a:t>, in year </a:t>
              </a:r>
              <a14:m>
                <m:oMath xmlns:m="http://schemas.openxmlformats.org/officeDocument/2006/math">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oMath>
              </a14:m>
              <a:r>
                <a:rPr kumimoji="0" lang="en-US" sz="1600" b="0" i="0" u="none" strike="noStrike" kern="0" cap="none" spc="0" normalizeH="0" baseline="0" noProof="0">
                  <a:ln>
                    <a:noFill/>
                  </a:ln>
                  <a:solidFill>
                    <a:prstClr val="black"/>
                  </a:solidFill>
                  <a:effectLst/>
                  <a:uLnTx/>
                  <a:uFillTx/>
                  <a:latin typeface="+mn-lt"/>
                  <a:ea typeface="+mn-ea"/>
                  <a:cs typeface="+mn-cs"/>
                </a:rPr>
                <a:t> discounted back to the present value year 0 are as follows.</a:t>
              </a:r>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pPr lvl="1"/>
              <a:r>
                <a:rPr kumimoji="0" lang="en-US" sz="1600" b="0" i="0" u="none" strike="noStrike" kern="0" cap="none" spc="0" normalizeH="0" baseline="0" noProof="0">
                  <a:ln>
                    <a:noFill/>
                  </a:ln>
                  <a:solidFill>
                    <a:prstClr val="black"/>
                  </a:solidFill>
                  <a:effectLst/>
                  <a:uLnTx/>
                  <a:uFillTx/>
                  <a:latin typeface="+mn-lt"/>
                  <a:ea typeface="+mn-ea"/>
                  <a:cs typeface="+mn-cs"/>
                </a:rPr>
                <a:t>•  First, the annual, unrounded SC-CO</a:t>
              </a:r>
              <a:r>
                <a:rPr kumimoji="0" lang="en-US" sz="1600" b="0" i="0" u="none" strike="noStrike" kern="0" cap="none" spc="0" normalizeH="0" baseline="-25000" noProof="0">
                  <a:ln>
                    <a:noFill/>
                  </a:ln>
                  <a:solidFill>
                    <a:prstClr val="black"/>
                  </a:solidFill>
                  <a:effectLst/>
                  <a:uLnTx/>
                  <a:uFillTx/>
                  <a:latin typeface="+mn-lt"/>
                  <a:ea typeface="+mn-ea"/>
                  <a:cs typeface="+mn-cs"/>
                </a:rPr>
                <a:t>2</a:t>
              </a:r>
              <a:r>
                <a:rPr kumimoji="0" lang="en-US" sz="1600" b="0" i="0" u="none" strike="noStrike" kern="0" cap="none" spc="0" normalizeH="0" baseline="0" noProof="0">
                  <a:ln>
                    <a:noFill/>
                  </a:ln>
                  <a:solidFill>
                    <a:prstClr val="black"/>
                  </a:solidFill>
                  <a:effectLst/>
                  <a:uLnTx/>
                  <a:uFillTx/>
                  <a:latin typeface="+mn-lt"/>
                  <a:ea typeface="+mn-ea"/>
                  <a:cs typeface="+mn-cs"/>
                </a:rPr>
                <a:t>, 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and SC-N</a:t>
              </a:r>
              <a:r>
                <a:rPr kumimoji="0" lang="en-US" sz="1600" b="0" i="0" u="none" strike="noStrike" kern="0" cap="none" spc="0" normalizeH="0" baseline="-25000" noProof="0">
                  <a:ln>
                    <a:noFill/>
                  </a:ln>
                  <a:solidFill>
                    <a:prstClr val="black"/>
                  </a:solidFill>
                  <a:effectLst/>
                  <a:uLnTx/>
                  <a:uFillTx/>
                  <a:latin typeface="+mn-lt"/>
                  <a:ea typeface="+mn-ea"/>
                  <a:cs typeface="+mn-cs"/>
                </a:rPr>
                <a:t>2</a:t>
              </a:r>
              <a:r>
                <a:rPr kumimoji="0" lang="en-US" sz="1600" b="0" i="0" u="none" strike="noStrike" kern="0" cap="none" spc="0" normalizeH="0" baseline="0" noProof="0">
                  <a:ln>
                    <a:noFill/>
                  </a:ln>
                  <a:solidFill>
                    <a:prstClr val="black"/>
                  </a:solidFill>
                  <a:effectLst/>
                  <a:uLnTx/>
                  <a:uFillTx/>
                  <a:latin typeface="+mn-lt"/>
                  <a:ea typeface="+mn-ea"/>
                  <a:cs typeface="+mn-cs"/>
                </a:rPr>
                <a:t>O estimates provided in Appendix A.5 of </a:t>
              </a:r>
              <a:r>
                <a:rPr kumimoji="0" lang="en-US" sz="1600" b="0" i="0" u="none" strike="noStrike" kern="0" cap="none" spc="0" normalizeH="0" baseline="0" noProof="0">
                  <a:ln>
                    <a:noFill/>
                  </a:ln>
                  <a:solidFill>
                    <a:sysClr val="windowText" lastClr="000000"/>
                  </a:solidFill>
                  <a:effectLst/>
                  <a:uLnTx/>
                  <a:uFillTx/>
                  <a:latin typeface="+mn-lt"/>
                  <a:ea typeface="+mn-ea"/>
                  <a:cs typeface="+mn-cs"/>
                </a:rPr>
                <a:t>EPA's Report on the Social Cost of Greenhouse Gases are reported in 2020 dollars. This means that the SC-GHG values reflect the purchasing power of a dollar in 2020. If an analysis reports its cost and benefits in a different dollar year, </a:t>
              </a:r>
              <a14:m>
                <m:oMath xmlns:m="http://schemas.openxmlformats.org/officeDocument/2006/math">
                  <m:r>
                    <a:rPr kumimoji="0" lang="en-US" sz="1600" b="0" i="1"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m:t>𝛾</m:t>
                  </m:r>
                </m:oMath>
              </a14:m>
              <a:r>
                <a:rPr kumimoji="0" lang="en-US" sz="1600" b="0" i="0" u="none" strike="noStrike" kern="0" cap="none" spc="0" normalizeH="0" baseline="0" noProof="0">
                  <a:ln>
                    <a:noFill/>
                  </a:ln>
                  <a:solidFill>
                    <a:sysClr val="windowText" lastClr="000000"/>
                  </a:solidFill>
                  <a:effectLst/>
                  <a:uLnTx/>
                  <a:uFillTx/>
                  <a:latin typeface="+mn-lt"/>
                  <a:ea typeface="+mn-ea"/>
                  <a:cs typeface="+mn-cs"/>
                </a:rPr>
                <a:t>, then the SC-GHG must be adjusted to reflect the purchasing power for that dollar year. By convention, this adjustment is done using the Gross Domestic Product (GDP) implicit price deflator,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𝑑</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𝛾</m:t>
                      </m:r>
                    </m:sub>
                  </m:sSub>
                </m:oMath>
              </a14:m>
              <a:r>
                <a:rPr kumimoji="0" lang="en-US" sz="1600" b="0" i="0" u="none" strike="noStrike" kern="0" cap="none" spc="0" normalizeH="0" baseline="0" noProof="0">
                  <a:ln>
                    <a:noFill/>
                  </a:ln>
                  <a:solidFill>
                    <a:sysClr val="windowText" lastClr="000000"/>
                  </a:solidFill>
                  <a:effectLst/>
                  <a:uLnTx/>
                  <a:uFillTx/>
                  <a:latin typeface="+mn-lt"/>
                  <a:ea typeface="+mn-ea"/>
                  <a:cs typeface="+mn-cs"/>
                </a:rPr>
                <a:t>. The SC-GHG, adjusted to reflect a different dollar year, 𝛾, is given by: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𝑑</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𝛾</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𝑠𝑐𝑔h</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𝑔</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sub>
                  </m:sSub>
                </m:oMath>
              </a14:m>
              <a:r>
                <a:rPr kumimoji="0" lang="en-US" sz="1600" b="0" i="0" u="none" strike="noStrike" kern="0" cap="none" spc="0" normalizeH="0" baseline="0" noProof="0">
                  <a:ln>
                    <a:noFill/>
                  </a:ln>
                  <a:solidFill>
                    <a:prstClr val="black"/>
                  </a:solidFill>
                  <a:effectLst/>
                  <a:uLnTx/>
                  <a:uFillTx/>
                  <a:latin typeface="+mn-lt"/>
                  <a:ea typeface="+mn-ea"/>
                  <a:cs typeface="+mn-cs"/>
                </a:rPr>
                <a:t>). For example, the Oil and Gas Rule reported costs and benefits in 2019 dollars, so the annual, unrounded 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values were multiplied by 0.987 to reflect the values in 2019 dollars. </a:t>
              </a:r>
              <a:endParaRPr kumimoji="0" lang="en-US" sz="1600" b="0" i="0" u="none" strike="noStrike" kern="0" cap="none" spc="0" normalizeH="0" baseline="0" noProof="0">
                <a:ln>
                  <a:noFill/>
                </a:ln>
                <a:solidFill>
                  <a:sysClr val="windowText" lastClr="000000"/>
                </a:solidFill>
                <a:effectLst/>
                <a:uLnTx/>
                <a:uFillTx/>
                <a:latin typeface="+mn-lt"/>
                <a:ea typeface="+mn-ea"/>
                <a:cs typeface="+mn-cs"/>
              </a:endParaRPr>
            </a:p>
            <a:p>
              <a:pPr lvl="1"/>
              <a:endParaRPr lang="en-US" sz="1600" u="none">
                <a:solidFill>
                  <a:sysClr val="windowText" lastClr="000000"/>
                </a:solidFill>
                <a:effectLst/>
                <a:latin typeface="+mn-lt"/>
                <a:ea typeface="+mn-ea"/>
                <a:cs typeface="+mn-cs"/>
              </a:endParaRPr>
            </a:p>
            <a:p>
              <a:pPr lvl="1"/>
              <a:r>
                <a:rPr lang="en-US" sz="1600" u="none">
                  <a:solidFill>
                    <a:sysClr val="windowText" lastClr="000000"/>
                  </a:solidFill>
                  <a:effectLst/>
                  <a:latin typeface="+mn-lt"/>
                  <a:ea typeface="+mn-ea"/>
                  <a:cs typeface="+mn-cs"/>
                </a:rPr>
                <a:t>•</a:t>
              </a:r>
              <a:r>
                <a:rPr lang="en-US" sz="1600" u="none" baseline="0">
                  <a:solidFill>
                    <a:sysClr val="windowText" lastClr="000000"/>
                  </a:solidFill>
                  <a:effectLst/>
                  <a:latin typeface="+mn-lt"/>
                  <a:ea typeface="+mn-ea"/>
                  <a:cs typeface="+mn-cs"/>
                </a:rPr>
                <a:t>  </a:t>
              </a:r>
              <a:r>
                <a:rPr lang="en-US" sz="1600" u="none">
                  <a:solidFill>
                    <a:sysClr val="windowText" lastClr="000000"/>
                  </a:solidFill>
                  <a:effectLst/>
                  <a:latin typeface="+mn-lt"/>
                  <a:ea typeface="+mn-ea"/>
                  <a:cs typeface="+mn-cs"/>
                </a:rPr>
                <a:t>Second, the emissions changes in a future year, </a:t>
              </a:r>
              <a14:m>
                <m:oMath xmlns:m="http://schemas.openxmlformats.org/officeDocument/2006/math">
                  <m:sSub>
                    <m:sSubPr>
                      <m:ctrlPr>
                        <a:rPr lang="en-US" sz="1600" i="1" u="none">
                          <a:solidFill>
                            <a:sysClr val="windowText" lastClr="000000"/>
                          </a:solidFill>
                          <a:effectLst/>
                          <a:latin typeface="Cambria Math" panose="02040503050406030204" pitchFamily="18" charset="0"/>
                          <a:ea typeface="+mn-ea"/>
                          <a:cs typeface="+mn-cs"/>
                        </a:rPr>
                      </m:ctrlPr>
                    </m:sSubPr>
                    <m:e>
                      <m:r>
                        <a:rPr lang="en-US" sz="1600" i="1" u="none">
                          <a:solidFill>
                            <a:sysClr val="windowText" lastClr="000000"/>
                          </a:solidFill>
                          <a:effectLst/>
                          <a:latin typeface="Cambria Math" panose="02040503050406030204" pitchFamily="18" charset="0"/>
                          <a:ea typeface="+mn-ea"/>
                          <a:cs typeface="+mn-cs"/>
                        </a:rPr>
                        <m:t>𝑥</m:t>
                      </m:r>
                    </m:e>
                    <m:sub>
                      <m:r>
                        <a:rPr lang="en-US" sz="1600" i="1" u="none" baseline="-25000">
                          <a:solidFill>
                            <a:sysClr val="windowText" lastClr="000000"/>
                          </a:solidFill>
                          <a:effectLst/>
                          <a:latin typeface="Cambria Math" panose="02040503050406030204" pitchFamily="18" charset="0"/>
                          <a:ea typeface="+mn-ea"/>
                          <a:cs typeface="+mn-cs"/>
                        </a:rPr>
                        <m:t>𝜏</m:t>
                      </m:r>
                    </m:sub>
                  </m:sSub>
                </m:oMath>
              </a14:m>
              <a:r>
                <a:rPr lang="en-US" sz="1600" u="none">
                  <a:solidFill>
                    <a:sysClr val="windowText" lastClr="000000"/>
                  </a:solidFill>
                  <a:effectLst/>
                  <a:latin typeface="+mn-lt"/>
                  <a:ea typeface="+mn-ea"/>
                  <a:cs typeface="+mn-cs"/>
                </a:rPr>
                <a:t>, from a policy action are multiplied by </a:t>
              </a:r>
              <a:r>
                <a:rPr lang="en-US" sz="1600">
                  <a:solidFill>
                    <a:schemeClr val="dk1"/>
                  </a:solidFill>
                  <a:effectLst/>
                  <a:latin typeface="+mn-lt"/>
                  <a:ea typeface="+mn-ea"/>
                  <a:cs typeface="+mn-cs"/>
                </a:rPr>
                <a:t>the SC-GHG in that future year, </a:t>
              </a:r>
              <a14:m>
                <m:oMath xmlns:m="http://schemas.openxmlformats.org/officeDocument/2006/math">
                  <m:r>
                    <a:rPr lang="en-US" sz="1600" i="1">
                      <a:solidFill>
                        <a:schemeClr val="dk1"/>
                      </a:solidFill>
                      <a:effectLst/>
                      <a:latin typeface="Cambria Math" panose="02040503050406030204" pitchFamily="18" charset="0"/>
                      <a:ea typeface="+mn-ea"/>
                      <a:cs typeface="+mn-cs"/>
                    </a:rPr>
                    <m:t>𝑠𝑐𝑔h</m:t>
                  </m:r>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𝑔</m:t>
                      </m:r>
                    </m:e>
                    <m:sub>
                      <m:r>
                        <a:rPr lang="en-US" sz="1600" i="1">
                          <a:solidFill>
                            <a:schemeClr val="dk1"/>
                          </a:solidFill>
                          <a:effectLst/>
                          <a:latin typeface="Cambria Math" panose="02040503050406030204" pitchFamily="18" charset="0"/>
                          <a:ea typeface="+mn-ea"/>
                          <a:cs typeface="+mn-cs"/>
                        </a:rPr>
                        <m:t>𝜏</m:t>
                      </m:r>
                    </m:sub>
                  </m:sSub>
                </m:oMath>
              </a14:m>
              <a:r>
                <a:rPr lang="en-US" sz="1600">
                  <a:solidFill>
                    <a:schemeClr val="dk1"/>
                  </a:solidFill>
                  <a:effectLst/>
                  <a:latin typeface="+mn-lt"/>
                  <a:ea typeface="+mn-ea"/>
                  <a:cs typeface="+mn-cs"/>
                </a:rPr>
                <a:t>, to the obtain the future monetized net damages associated with those emissions. (</a:t>
              </a:r>
              <a14:m>
                <m:oMath xmlns:m="http://schemas.openxmlformats.org/officeDocument/2006/math">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𝑥</m:t>
                      </m:r>
                    </m:e>
                    <m:sub>
                      <m:r>
                        <a:rPr lang="en-US" sz="1600" i="1">
                          <a:solidFill>
                            <a:schemeClr val="dk1"/>
                          </a:solidFill>
                          <a:effectLst/>
                          <a:latin typeface="Cambria Math" panose="02040503050406030204" pitchFamily="18" charset="0"/>
                          <a:ea typeface="+mn-ea"/>
                          <a:cs typeface="+mn-cs"/>
                        </a:rPr>
                        <m:t>𝜏</m:t>
                      </m:r>
                    </m:sub>
                  </m:sSub>
                  <m:r>
                    <a:rPr lang="en-US" sz="1600" i="1">
                      <a:solidFill>
                        <a:schemeClr val="dk1"/>
                      </a:solidFill>
                      <a:effectLst/>
                      <a:latin typeface="Cambria Math" panose="02040503050406030204" pitchFamily="18" charset="0"/>
                      <a:ea typeface="+mn-ea"/>
                      <a:cs typeface="+mn-cs"/>
                    </a:rPr>
                    <m:t>∙</m:t>
                  </m:r>
                  <m:sSub>
                    <m:sSubPr>
                      <m:ctrlPr>
                        <a:rPr lang="en-US" sz="1600" i="1">
                          <a:solidFill>
                            <a:schemeClr val="dk1"/>
                          </a:solidFill>
                          <a:effectLst/>
                          <a:latin typeface="Cambria Math" panose="02040503050406030204" pitchFamily="18" charset="0"/>
                          <a:ea typeface="+mn-ea"/>
                          <a:cs typeface="+mn-cs"/>
                        </a:rPr>
                      </m:ctrlPr>
                    </m:sSubPr>
                    <m:e>
                      <m:r>
                        <a:rPr lang="en-US" sz="1600" b="0" i="1">
                          <a:solidFill>
                            <a:schemeClr val="dk1"/>
                          </a:solidFill>
                          <a:effectLst/>
                          <a:latin typeface="Cambria Math" panose="02040503050406030204" pitchFamily="18" charset="0"/>
                          <a:ea typeface="+mn-ea"/>
                          <a:cs typeface="+mn-cs"/>
                        </a:rPr>
                        <m:t>𝑑</m:t>
                      </m:r>
                    </m:e>
                    <m:sub>
                      <m:r>
                        <a:rPr lang="en-US" sz="1600" i="1">
                          <a:solidFill>
                            <a:schemeClr val="dk1"/>
                          </a:solidFill>
                          <a:effectLst/>
                          <a:latin typeface="Cambria Math" panose="02040503050406030204" pitchFamily="18" charset="0"/>
                          <a:ea typeface="Cambria Math" panose="02040503050406030204" pitchFamily="18" charset="0"/>
                          <a:cs typeface="+mn-cs"/>
                        </a:rPr>
                        <m:t>𝛾</m:t>
                      </m:r>
                    </m:sub>
                  </m:sSub>
                  <m:r>
                    <a:rPr lang="en-US" sz="1600" i="1">
                      <a:solidFill>
                        <a:schemeClr val="dk1"/>
                      </a:solidFill>
                      <a:effectLst/>
                      <a:latin typeface="Cambria Math" panose="02040503050406030204" pitchFamily="18" charset="0"/>
                      <a:ea typeface="Cambria Math" panose="02040503050406030204" pitchFamily="18" charset="0"/>
                      <a:cs typeface="+mn-cs"/>
                    </a:rPr>
                    <m:t>∙</m:t>
                  </m:r>
                  <m:r>
                    <a:rPr lang="en-US" sz="1600" i="1">
                      <a:solidFill>
                        <a:schemeClr val="dk1"/>
                      </a:solidFill>
                      <a:effectLst/>
                      <a:latin typeface="Cambria Math" panose="02040503050406030204" pitchFamily="18" charset="0"/>
                      <a:ea typeface="+mn-ea"/>
                      <a:cs typeface="+mn-cs"/>
                    </a:rPr>
                    <m:t>𝑠𝑐𝑔h</m:t>
                  </m:r>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𝑔</m:t>
                      </m:r>
                    </m:e>
                    <m:sub>
                      <m:r>
                        <a:rPr lang="en-US" sz="1600" i="1">
                          <a:solidFill>
                            <a:schemeClr val="dk1"/>
                          </a:solidFill>
                          <a:effectLst/>
                          <a:latin typeface="Cambria Math" panose="02040503050406030204" pitchFamily="18" charset="0"/>
                          <a:ea typeface="+mn-ea"/>
                          <a:cs typeface="+mn-cs"/>
                        </a:rPr>
                        <m:t>𝜏</m:t>
                      </m:r>
                    </m:sub>
                  </m:sSub>
                </m:oMath>
              </a14:m>
              <a:r>
                <a:rPr lang="en-US" sz="1600">
                  <a:solidFill>
                    <a:schemeClr val="dk1"/>
                  </a:solidFill>
                  <a:effectLst/>
                  <a:latin typeface="+mn-lt"/>
                  <a:ea typeface="+mn-ea"/>
                  <a:cs typeface="+mn-cs"/>
                </a:rPr>
                <a:t>) is the undiscounted, monetized value of emissions changes for that future year. In our example, </a:t>
              </a:r>
              <a:r>
                <a:rPr kumimoji="0" lang="en-US" sz="1600" b="0" i="0" u="none" strike="noStrike" kern="0" cap="none" spc="0" normalizeH="0" baseline="0" noProof="0">
                  <a:ln>
                    <a:noFill/>
                  </a:ln>
                  <a:solidFill>
                    <a:prstClr val="black"/>
                  </a:solidFill>
                  <a:effectLst/>
                  <a:uLnTx/>
                  <a:uFillTx/>
                  <a:latin typeface="+mn-lt"/>
                  <a:ea typeface="+mn-ea"/>
                  <a:cs typeface="+mn-cs"/>
                </a:rPr>
                <a:t>4.5 million metric tons of methane reduced in 2030 is multiplied times the GDP deflator of 0.987 times the 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of $2,400 for 2030, to obtain an undiscounted, monetized benefit of about $10.7 billion in 2030 (in 2019 dollars). </a:t>
              </a:r>
              <a:endParaRPr lang="en-US" sz="1600">
                <a:solidFill>
                  <a:schemeClr val="dk1"/>
                </a:solidFill>
                <a:effectLst/>
                <a:latin typeface="+mn-lt"/>
                <a:ea typeface="+mn-ea"/>
                <a:cs typeface="+mn-cs"/>
              </a:endParaRPr>
            </a:p>
            <a:p>
              <a:pPr lvl="1"/>
              <a:endParaRPr lang="en-US" sz="1600">
                <a:solidFill>
                  <a:schemeClr val="dk1"/>
                </a:solidFill>
                <a:effectLst/>
                <a:latin typeface="+mn-lt"/>
                <a:ea typeface="+mn-ea"/>
                <a:cs typeface="+mn-cs"/>
              </a:endParaRPr>
            </a:p>
            <a:p>
              <a:pPr lvl="1"/>
              <a:r>
                <a:rPr lang="en-US" sz="1600">
                  <a:solidFill>
                    <a:schemeClr val="dk1"/>
                  </a:solidFill>
                  <a:effectLst/>
                  <a:latin typeface="+mn-lt"/>
                  <a:ea typeface="+mn-ea"/>
                  <a:cs typeface="+mn-cs"/>
                </a:rPr>
                <a:t>•</a:t>
              </a:r>
              <a:r>
                <a:rPr lang="en-US" sz="1600" baseline="0">
                  <a:solidFill>
                    <a:schemeClr val="dk1"/>
                  </a:solidFill>
                  <a:effectLst/>
                  <a:latin typeface="+mn-lt"/>
                  <a:ea typeface="+mn-ea"/>
                  <a:cs typeface="+mn-cs"/>
                </a:rPr>
                <a:t> Third</a:t>
              </a:r>
              <a:r>
                <a:rPr lang="en-US" sz="1600">
                  <a:solidFill>
                    <a:schemeClr val="dk1"/>
                  </a:solidFill>
                  <a:effectLst/>
                  <a:latin typeface="+mn-lt"/>
                  <a:ea typeface="+mn-ea"/>
                  <a:cs typeface="+mn-cs"/>
                </a:rPr>
                <a:t>, the</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undiscounted,</a:t>
              </a:r>
              <a:r>
                <a:rPr lang="en-US" sz="1600" baseline="0">
                  <a:solidFill>
                    <a:schemeClr val="dk1"/>
                  </a:solidFill>
                  <a:effectLst/>
                  <a:latin typeface="+mn-lt"/>
                  <a:ea typeface="+mn-ea"/>
                  <a:cs typeface="+mn-cs"/>
                </a:rPr>
                <a:t> monetized</a:t>
              </a:r>
              <a:r>
                <a:rPr lang="en-US" sz="1600">
                  <a:solidFill>
                    <a:schemeClr val="dk1"/>
                  </a:solidFill>
                  <a:effectLst/>
                  <a:latin typeface="+mn-lt"/>
                  <a:ea typeface="+mn-ea"/>
                  <a:cs typeface="+mn-cs"/>
                </a:rPr>
                <a:t> values need to be discounted back to the present value year to obtain the present value of the damages, </a:t>
              </a:r>
              <a14:m>
                <m:oMath xmlns:m="http://schemas.openxmlformats.org/officeDocument/2006/math">
                  <m:r>
                    <a:rPr lang="en-US" sz="1600" i="1">
                      <a:solidFill>
                        <a:schemeClr val="dk1"/>
                      </a:solidFill>
                      <a:effectLst/>
                      <a:latin typeface="Cambria Math" panose="02040503050406030204" pitchFamily="18" charset="0"/>
                      <a:ea typeface="+mn-ea"/>
                      <a:cs typeface="+mn-cs"/>
                    </a:rPr>
                    <m:t>𝑝</m:t>
                  </m:r>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𝑣</m:t>
                      </m:r>
                    </m:e>
                    <m:sub>
                      <m:r>
                        <a:rPr lang="en-US" sz="1600" i="1">
                          <a:solidFill>
                            <a:schemeClr val="dk1"/>
                          </a:solidFill>
                          <a:effectLst/>
                          <a:latin typeface="Cambria Math" panose="02040503050406030204" pitchFamily="18" charset="0"/>
                          <a:ea typeface="+mn-ea"/>
                          <a:cs typeface="+mn-cs"/>
                        </a:rPr>
                        <m:t>0</m:t>
                      </m:r>
                    </m:sub>
                  </m:sSub>
                </m:oMath>
              </a14:m>
              <a:r>
                <a:rPr lang="en-US" sz="1600">
                  <a:solidFill>
                    <a:schemeClr val="dk1"/>
                  </a:solidFill>
                  <a:effectLst/>
                  <a:latin typeface="+mn-lt"/>
                  <a:ea typeface="+mn-ea"/>
                  <a:cs typeface="+mn-cs"/>
                </a:rPr>
                <a:t>, using the discount factor </a:t>
              </a:r>
              <a14:m>
                <m:oMath xmlns:m="http://schemas.openxmlformats.org/officeDocument/2006/math">
                  <m:acc>
                    <m:accPr>
                      <m:chr m:val="̃"/>
                      <m:ctrlPr>
                        <a:rPr lang="en-US" sz="1600" i="1">
                          <a:solidFill>
                            <a:schemeClr val="dk1"/>
                          </a:solidFill>
                          <a:effectLst/>
                          <a:latin typeface="Cambria Math" panose="02040503050406030204" pitchFamily="18" charset="0"/>
                          <a:ea typeface="+mn-ea"/>
                          <a:cs typeface="+mn-cs"/>
                        </a:rPr>
                      </m:ctrlPr>
                    </m:accPr>
                    <m:e>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𝛿</m:t>
                          </m:r>
                        </m:e>
                        <m:sub>
                          <m:r>
                            <a:rPr lang="en-US" sz="1600" i="1">
                              <a:solidFill>
                                <a:schemeClr val="dk1"/>
                              </a:solidFill>
                              <a:effectLst/>
                              <a:latin typeface="Cambria Math" panose="02040503050406030204" pitchFamily="18" charset="0"/>
                              <a:ea typeface="+mn-ea"/>
                              <a:cs typeface="+mn-cs"/>
                            </a:rPr>
                            <m:t>𝜏</m:t>
                          </m:r>
                        </m:sub>
                      </m:sSub>
                    </m:e>
                  </m:acc>
                </m:oMath>
              </a14:m>
              <a:r>
                <a:rPr lang="en-US" sz="1600">
                  <a:solidFill>
                    <a:schemeClr val="dk1"/>
                  </a:solidFill>
                  <a:effectLst/>
                  <a:latin typeface="+mn-lt"/>
                  <a:ea typeface="+mn-ea"/>
                  <a:cs typeface="+mn-cs"/>
                </a:rPr>
                <a:t>.  The discounted, monetized value of emissions changes in present value terms for the emissions in year 𝜏 if given by:</a:t>
              </a:r>
              <a:r>
                <a:rPr lang="en-US" sz="1600" baseline="0">
                  <a:solidFill>
                    <a:schemeClr val="dk1"/>
                  </a:solidFill>
                  <a:effectLst/>
                  <a:latin typeface="+mn-lt"/>
                  <a:ea typeface="+mn-ea"/>
                  <a:cs typeface="+mn-cs"/>
                </a:rPr>
                <a:t> </a:t>
              </a:r>
              <a14:m>
                <m:oMath xmlns:m="http://schemas.openxmlformats.org/officeDocument/2006/math">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𝑝</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𝑣</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0</m:t>
                      </m:r>
                    </m:sub>
                  </m:sSub>
                </m:oMath>
              </a14:m>
              <a:r>
                <a:rPr lang="en-US" sz="1600">
                  <a:solidFill>
                    <a:schemeClr val="dk1"/>
                  </a:solidFill>
                  <a:effectLst/>
                  <a:latin typeface="+mn-lt"/>
                  <a:ea typeface="+mn-ea"/>
                  <a:cs typeface="+mn-cs"/>
                </a:rPr>
                <a:t> = (</a:t>
              </a:r>
              <a14:m>
                <m:oMath xmlns:m="http://schemas.openxmlformats.org/officeDocument/2006/math">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𝑥</m:t>
                      </m:r>
                    </m:e>
                    <m:sub>
                      <m:r>
                        <a:rPr lang="en-US" sz="1600" i="1">
                          <a:solidFill>
                            <a:schemeClr val="dk1"/>
                          </a:solidFill>
                          <a:effectLst/>
                          <a:latin typeface="Cambria Math" panose="02040503050406030204" pitchFamily="18" charset="0"/>
                          <a:ea typeface="+mn-ea"/>
                          <a:cs typeface="+mn-cs"/>
                        </a:rPr>
                        <m:t>𝜏</m:t>
                      </m:r>
                    </m:sub>
                  </m:sSub>
                  <m:r>
                    <a:rPr lang="en-US" sz="1600" i="1">
                      <a:solidFill>
                        <a:schemeClr val="dk1"/>
                      </a:solidFill>
                      <a:effectLst/>
                      <a:latin typeface="Cambria Math" panose="02040503050406030204" pitchFamily="18" charset="0"/>
                      <a:ea typeface="+mn-ea"/>
                      <a:cs typeface="+mn-cs"/>
                    </a:rPr>
                    <m:t>∙</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𝑑</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𝛾</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lang="en-US" sz="1600" i="1">
                      <a:solidFill>
                        <a:schemeClr val="dk1"/>
                      </a:solidFill>
                      <a:effectLst/>
                      <a:latin typeface="Cambria Math" panose="02040503050406030204" pitchFamily="18" charset="0"/>
                      <a:ea typeface="+mn-ea"/>
                      <a:cs typeface="+mn-cs"/>
                    </a:rPr>
                    <m:t>𝑠𝑐𝑔h</m:t>
                  </m:r>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𝑔</m:t>
                      </m:r>
                    </m:e>
                    <m:sub>
                      <m:r>
                        <a:rPr lang="en-US" sz="1600" i="1">
                          <a:solidFill>
                            <a:schemeClr val="dk1"/>
                          </a:solidFill>
                          <a:effectLst/>
                          <a:latin typeface="Cambria Math" panose="02040503050406030204" pitchFamily="18" charset="0"/>
                          <a:ea typeface="+mn-ea"/>
                          <a:cs typeface="+mn-cs"/>
                        </a:rPr>
                        <m:t>𝜏</m:t>
                      </m:r>
                    </m:sub>
                  </m:sSub>
                  <m:r>
                    <a:rPr lang="en-US" sz="1600" i="1">
                      <a:solidFill>
                        <a:schemeClr val="dk1"/>
                      </a:solidFill>
                      <a:effectLst/>
                      <a:latin typeface="Cambria Math" panose="02040503050406030204" pitchFamily="18" charset="0"/>
                      <a:ea typeface="+mn-ea"/>
                      <a:cs typeface="+mn-cs"/>
                    </a:rPr>
                    <m:t>∙</m:t>
                  </m:r>
                  <m:acc>
                    <m:accPr>
                      <m:chr m:val="̃"/>
                      <m:ctrlPr>
                        <a:rPr lang="en-US" sz="1600" i="1">
                          <a:solidFill>
                            <a:schemeClr val="dk1"/>
                          </a:solidFill>
                          <a:effectLst/>
                          <a:latin typeface="Cambria Math" panose="02040503050406030204" pitchFamily="18" charset="0"/>
                          <a:ea typeface="+mn-ea"/>
                          <a:cs typeface="+mn-cs"/>
                        </a:rPr>
                      </m:ctrlPr>
                    </m:accPr>
                    <m:e>
                      <m:sSub>
                        <m:sSubPr>
                          <m:ctrlPr>
                            <a:rPr lang="en-US" sz="1600" i="1">
                              <a:solidFill>
                                <a:schemeClr val="dk1"/>
                              </a:solidFill>
                              <a:effectLst/>
                              <a:latin typeface="Cambria Math" panose="02040503050406030204" pitchFamily="18" charset="0"/>
                              <a:ea typeface="+mn-ea"/>
                              <a:cs typeface="+mn-cs"/>
                            </a:rPr>
                          </m:ctrlPr>
                        </m:sSubPr>
                        <m:e>
                          <m:r>
                            <a:rPr lang="en-US" sz="1600" i="1">
                              <a:solidFill>
                                <a:schemeClr val="dk1"/>
                              </a:solidFill>
                              <a:effectLst/>
                              <a:latin typeface="Cambria Math" panose="02040503050406030204" pitchFamily="18" charset="0"/>
                              <a:ea typeface="+mn-ea"/>
                              <a:cs typeface="+mn-cs"/>
                            </a:rPr>
                            <m:t>𝛿</m:t>
                          </m:r>
                        </m:e>
                        <m:sub>
                          <m:r>
                            <a:rPr lang="en-US" sz="1600" i="1">
                              <a:solidFill>
                                <a:schemeClr val="dk1"/>
                              </a:solidFill>
                              <a:effectLst/>
                              <a:latin typeface="Cambria Math" panose="02040503050406030204" pitchFamily="18" charset="0"/>
                              <a:ea typeface="+mn-ea"/>
                              <a:cs typeface="+mn-cs"/>
                            </a:rPr>
                            <m:t>𝜏</m:t>
                          </m:r>
                        </m:sub>
                      </m:sSub>
                    </m:e>
                  </m:acc>
                </m:oMath>
              </a14:m>
              <a:r>
                <a:rPr lang="en-US" sz="1600">
                  <a:solidFill>
                    <a:schemeClr val="dk1"/>
                  </a:solidFill>
                  <a:effectLst/>
                  <a:latin typeface="+mn-lt"/>
                  <a:ea typeface="+mn-ea"/>
                  <a:cs typeface="+mn-cs"/>
                </a:rPr>
                <a:t>)</a:t>
              </a:r>
              <a:r>
                <a:rPr lang="en-US" sz="1600" baseline="0">
                  <a:solidFill>
                    <a:schemeClr val="dk1"/>
                  </a:solidFill>
                  <a:effectLst/>
                  <a:latin typeface="+mn-lt"/>
                  <a:ea typeface="+mn-ea"/>
                  <a:cs typeface="+mn-cs"/>
                </a:rPr>
                <a:t>. Continuing with our example, if we use a constant discount rate of 2%, the discount factor from 2030 to 2021 is </a:t>
              </a:r>
              <a14:m>
                <m:oMath xmlns:m="http://schemas.openxmlformats.org/officeDocument/2006/math">
                  <m:acc>
                    <m:accPr>
                      <m:chr m:val="̅"/>
                      <m:ctrlPr>
                        <a:rPr lang="en-US" sz="1600" i="1" baseline="0">
                          <a:solidFill>
                            <a:schemeClr val="dk1"/>
                          </a:solidFill>
                          <a:effectLst/>
                          <a:latin typeface="Cambria Math" panose="02040503050406030204" pitchFamily="18" charset="0"/>
                          <a:ea typeface="+mn-ea"/>
                          <a:cs typeface="+mn-cs"/>
                        </a:rPr>
                      </m:ctrlPr>
                    </m:accPr>
                    <m:e>
                      <m:r>
                        <a:rPr lang="en-US" sz="1600" i="1" baseline="0">
                          <a:solidFill>
                            <a:schemeClr val="dk1"/>
                          </a:solidFill>
                          <a:effectLst/>
                          <a:latin typeface="Cambria Math" panose="02040503050406030204" pitchFamily="18" charset="0"/>
                          <a:ea typeface="+mn-ea"/>
                          <a:cs typeface="+mn-cs"/>
                        </a:rPr>
                        <m:t>𝛿</m:t>
                      </m:r>
                    </m:e>
                  </m:acc>
                  <m:r>
                    <a:rPr lang="en-US" sz="1600" b="0" i="1" baseline="0">
                      <a:solidFill>
                        <a:schemeClr val="dk1"/>
                      </a:solidFill>
                      <a:effectLst/>
                      <a:latin typeface="Cambria Math" panose="02040503050406030204" pitchFamily="18" charset="0"/>
                      <a:ea typeface="+mn-ea"/>
                      <a:cs typeface="+mn-cs"/>
                    </a:rPr>
                    <m:t>=</m:t>
                  </m:r>
                  <m:sSup>
                    <m:sSupPr>
                      <m:ctrlPr>
                        <a:rPr lang="en-US" sz="1600" b="0" i="1" baseline="0">
                          <a:solidFill>
                            <a:schemeClr val="dk1"/>
                          </a:solidFill>
                          <a:effectLst/>
                          <a:latin typeface="Cambria Math" panose="02040503050406030204" pitchFamily="18" charset="0"/>
                          <a:ea typeface="+mn-ea"/>
                          <a:cs typeface="+mn-cs"/>
                        </a:rPr>
                      </m:ctrlPr>
                    </m:sSupPr>
                    <m:e>
                      <m:d>
                        <m:dPr>
                          <m:ctrlPr>
                            <a:rPr lang="en-US" sz="1600" b="0" i="1" baseline="0">
                              <a:solidFill>
                                <a:schemeClr val="dk1"/>
                              </a:solidFill>
                              <a:effectLst/>
                              <a:latin typeface="Cambria Math" panose="02040503050406030204" pitchFamily="18" charset="0"/>
                              <a:ea typeface="+mn-ea"/>
                              <a:cs typeface="+mn-cs"/>
                            </a:rPr>
                          </m:ctrlPr>
                        </m:dPr>
                        <m:e>
                          <m:f>
                            <m:fPr>
                              <m:ctrlPr>
                                <a:rPr lang="en-US" sz="1600" b="0" i="1" baseline="0">
                                  <a:solidFill>
                                    <a:schemeClr val="dk1"/>
                                  </a:solidFill>
                                  <a:effectLst/>
                                  <a:latin typeface="Cambria Math" panose="02040503050406030204" pitchFamily="18" charset="0"/>
                                  <a:ea typeface="+mn-ea"/>
                                  <a:cs typeface="+mn-cs"/>
                                </a:rPr>
                              </m:ctrlPr>
                            </m:fPr>
                            <m:num>
                              <m:r>
                                <a:rPr lang="en-US" sz="1600" b="0" i="1" baseline="0">
                                  <a:solidFill>
                                    <a:schemeClr val="dk1"/>
                                  </a:solidFill>
                                  <a:effectLst/>
                                  <a:latin typeface="Cambria Math" panose="02040503050406030204" pitchFamily="18" charset="0"/>
                                  <a:ea typeface="+mn-ea"/>
                                  <a:cs typeface="+mn-cs"/>
                                </a:rPr>
                                <m:t>1</m:t>
                              </m:r>
                            </m:num>
                            <m:den>
                              <m:r>
                                <a:rPr lang="en-US" sz="1600" b="0" i="1" baseline="0">
                                  <a:solidFill>
                                    <a:schemeClr val="dk1"/>
                                  </a:solidFill>
                                  <a:effectLst/>
                                  <a:latin typeface="Cambria Math" panose="02040503050406030204" pitchFamily="18" charset="0"/>
                                  <a:ea typeface="+mn-ea"/>
                                  <a:cs typeface="+mn-cs"/>
                                </a:rPr>
                                <m:t>1+2%</m:t>
                              </m:r>
                            </m:den>
                          </m:f>
                        </m:e>
                      </m:d>
                    </m:e>
                    <m:sup>
                      <m:r>
                        <a:rPr lang="en-US" sz="1600" b="0" i="1" baseline="0">
                          <a:solidFill>
                            <a:schemeClr val="dk1"/>
                          </a:solidFill>
                          <a:effectLst/>
                          <a:latin typeface="Cambria Math" panose="02040503050406030204" pitchFamily="18" charset="0"/>
                          <a:ea typeface="+mn-ea"/>
                          <a:cs typeface="+mn-cs"/>
                        </a:rPr>
                        <m:t>(2030−2021)</m:t>
                      </m:r>
                    </m:sup>
                  </m:sSup>
                </m:oMath>
              </a14:m>
              <a:r>
                <a:rPr lang="en-US" sz="1600">
                  <a:solidFill>
                    <a:schemeClr val="dk1"/>
                  </a:solidFill>
                  <a:effectLst/>
                  <a:latin typeface="+mn-lt"/>
                  <a:ea typeface="+mn-ea"/>
                  <a:cs typeface="+mn-cs"/>
                </a:rPr>
                <a:t> = 0.837. Therefore, $10.7 billion times 0.837 produces a present value</a:t>
              </a:r>
              <a:r>
                <a:rPr lang="en-US" sz="1600" baseline="0">
                  <a:solidFill>
                    <a:schemeClr val="dk1"/>
                  </a:solidFill>
                  <a:effectLst/>
                  <a:latin typeface="+mn-lt"/>
                  <a:ea typeface="+mn-ea"/>
                  <a:cs typeface="+mn-cs"/>
                </a:rPr>
                <a:t> (in 2021) of </a:t>
              </a:r>
              <a:r>
                <a:rPr lang="en-US" sz="1600">
                  <a:solidFill>
                    <a:schemeClr val="dk1"/>
                  </a:solidFill>
                  <a:effectLst/>
                  <a:latin typeface="+mn-lt"/>
                  <a:ea typeface="+mn-ea"/>
                  <a:cs typeface="+mn-cs"/>
                </a:rPr>
                <a:t>about $9 billion (in 2019 dollars)</a:t>
              </a:r>
              <a:r>
                <a:rPr lang="en-US" sz="1600" baseline="0">
                  <a:solidFill>
                    <a:schemeClr val="dk1"/>
                  </a:solidFill>
                  <a:effectLst/>
                  <a:latin typeface="+mn-lt"/>
                  <a:ea typeface="+mn-ea"/>
                  <a:cs typeface="+mn-cs"/>
                </a:rPr>
                <a:t> in benefits from the emissions reducutions in 2030.</a:t>
              </a:r>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The total present value of benefits from a policy action is the sum of the discounted, monetized values for each year the policy produces emission changes. For example, the Oil and Gas Rule predicts methane emission reductions from 2024 to 2038. The total present value of benefits for the Oil and Gas rule using a constant 2% discount rate was about $110 billion, calculated as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𝑝𝑣</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0</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nary>
                    <m:naryPr>
                      <m:chr m:val="∑"/>
                      <m:limLoc m:val="subSup"/>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naryPr>
                    <m:sub>
                      <m:r>
                        <m:rPr>
                          <m:brk m:alnAt="25"/>
                        </m:r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𝜏</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m:rPr>
                          <m:brk m:alnAt="25"/>
                        </m:r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2</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024</m:t>
                      </m:r>
                    </m:sub>
                    <m:sup>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2038</m:t>
                      </m:r>
                    </m:sup>
                    <m:e>
                      <m:d>
                        <m:d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𝑝𝑣</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0,</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𝜏</m:t>
                              </m:r>
                            </m:sub>
                          </m:sSub>
                        </m:e>
                      </m:d>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nary>
                        <m:naryPr>
                          <m:chr m:val="∑"/>
                          <m:limLoc m:val="subSup"/>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naryPr>
                        <m:sub>
                          <m:r>
                            <m:rPr>
                              <m:brk m:alnAt="25"/>
                            </m:r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𝜏</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m:rPr>
                              <m:brk m:alnAt="25"/>
                            </m:r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2</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024</m:t>
                          </m:r>
                        </m:sub>
                        <m:sup>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2038</m:t>
                          </m:r>
                        </m:sup>
                        <m:e>
                          <m:d>
                            <m:d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dPr>
                            <m:e>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𝑥</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𝜏</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sSubPr>
                                <m:e>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𝑑</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𝛾</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𝑠𝑐𝑔h𝑔</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𝜏</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sSubPr>
                                <m:e>
                                  <m:acc>
                                    <m:accPr>
                                      <m:chr m:val="̅"/>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ctrlPr>
                                    </m:acc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𝛿</m:t>
                                      </m:r>
                                    </m:e>
                                  </m:acc>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m:t>𝜏</m:t>
                                  </m:r>
                                </m:sub>
                              </m:sSub>
                            </m:e>
                          </m:d>
                        </m:e>
                      </m:nary>
                    </m:e>
                  </m:nary>
                </m:oMath>
              </a14:m>
              <a:r>
                <a:rPr kumimoji="0" lang="en-US" sz="1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prstClr val="black"/>
                </a:solidFill>
                <a:effectLst/>
                <a:uLnTx/>
                <a:uFillTx/>
                <a:latin typeface="+mn-lt"/>
                <a:ea typeface="+mn-ea"/>
                <a:cs typeface="+mn-cs"/>
              </a:endParaRPr>
            </a:p>
            <a:p>
              <a:r>
                <a:rPr lang="en-US" sz="1600">
                  <a:solidFill>
                    <a:schemeClr val="dk1"/>
                  </a:solidFill>
                  <a:effectLst/>
                  <a:latin typeface="+mn-lt"/>
                  <a:ea typeface="+mn-ea"/>
                  <a:cs typeface="+mn-cs"/>
                </a:rPr>
                <a:t>Sometimes</a:t>
              </a:r>
              <a:r>
                <a:rPr lang="en-US" sz="1600" baseline="0">
                  <a:solidFill>
                    <a:schemeClr val="dk1"/>
                  </a:solidFill>
                  <a:effectLst/>
                  <a:latin typeface="+mn-lt"/>
                  <a:ea typeface="+mn-ea"/>
                  <a:cs typeface="+mn-cs"/>
                </a:rPr>
                <a:t> it is useful to report the cost or benefits as annualized values. An annualized value is an illustrative cost or benefit which, if incurred over the same number of years as the length of the analysis, would produce the same net present value (NPV) as the original time-varying stream of undiscounted, monetized costs or benefits. If a constant discount rate is used, t</a:t>
              </a:r>
              <a:r>
                <a:rPr lang="en-US" sz="1600">
                  <a:effectLst/>
                  <a:latin typeface="+mn-lt"/>
                </a:rPr>
                <a:t>he annualized value can be obtained using Excel's PMT function or the annualized </a:t>
              </a:r>
              <a:r>
                <a:rPr lang="en-US" sz="1600" i="0">
                  <a:effectLst/>
                  <a:latin typeface="+mn-lt"/>
                </a:rPr>
                <a:t>cost formula </a:t>
              </a:r>
              <a:r>
                <a:rPr lang="en-US" sz="1600" i="0">
                  <a:effectLst/>
                  <a:latin typeface="GaramondPremrPro-It"/>
                  <a:ea typeface="Cambria" panose="02040503050406030204" pitchFamily="18" charset="0"/>
                  <a:cs typeface="GaramondPremrPro-It"/>
                </a:rPr>
                <a:t>when there is initial cost at t=0</a:t>
              </a:r>
              <a:r>
                <a:rPr lang="en-US" sz="1600" i="0">
                  <a:effectLst/>
                  <a:latin typeface="Cambria" panose="02040503050406030204" pitchFamily="18" charset="0"/>
                  <a:ea typeface="Cambria" panose="02040503050406030204" pitchFamily="18" charset="0"/>
                  <a:cs typeface="Arial" panose="020B0604020202020204" pitchFamily="34" charset="0"/>
                </a:rPr>
                <a:t> </a:t>
              </a:r>
              <a:r>
                <a:rPr lang="en-US" sz="1600" i="0">
                  <a:effectLst/>
                  <a:latin typeface="+mn-lt"/>
                </a:rPr>
                <a:t>in </a:t>
              </a:r>
              <a:r>
                <a:rPr lang="en-US" sz="1600" i="0" u="sng">
                  <a:solidFill>
                    <a:srgbClr val="0000FF"/>
                  </a:solidFill>
                  <a:effectLst/>
                  <a:latin typeface="+mn-lt"/>
                </a:rPr>
                <a:t>EPA's Guidel</a:t>
              </a:r>
              <a:r>
                <a:rPr lang="en-US" sz="1600" u="sng">
                  <a:solidFill>
                    <a:srgbClr val="0000FF"/>
                  </a:solidFill>
                  <a:effectLst/>
                  <a:latin typeface="+mn-lt"/>
                </a:rPr>
                <a:t>ines for Preparing Economic Analyses</a:t>
              </a:r>
              <a:r>
                <a:rPr lang="en-US" sz="1600">
                  <a:effectLst/>
                  <a:latin typeface="+mn-lt"/>
                </a:rPr>
                <a:t> (Chapter 6, page 6-3, equation (4)). The annualized value for 15 years (the same number of years as Oil</a:t>
              </a:r>
              <a:r>
                <a:rPr lang="en-US" sz="1600" baseline="0">
                  <a:effectLst/>
                  <a:latin typeface="+mn-lt"/>
                </a:rPr>
                <a:t> and Gas Rule, 2024-2038) and </a:t>
              </a:r>
              <a:r>
                <a:rPr lang="en-US" sz="1600">
                  <a:effectLst/>
                  <a:latin typeface="+mn-lt"/>
                </a:rPr>
                <a:t>a 2% discount rate reported in the Oil and Gas rule was $8.5 billion.</a:t>
              </a:r>
              <a:r>
                <a:rPr lang="en-US" sz="1600" baseline="30000">
                  <a:effectLst/>
                  <a:latin typeface="+mn-lt"/>
                </a:rPr>
                <a:t>1</a:t>
              </a:r>
            </a:p>
            <a:p>
              <a:endParaRPr lang="en-US" sz="1600">
                <a:effectLst/>
                <a:latin typeface="+mn-lt"/>
              </a:endParaRPr>
            </a:p>
            <a:p>
              <a:endParaRPr lang="en-US" sz="1600">
                <a:effectLst/>
                <a:latin typeface="+mn-lt"/>
              </a:endParaRPr>
            </a:p>
            <a:p>
              <a:r>
                <a:rPr lang="en-US" sz="1600" b="1" u="none">
                  <a:solidFill>
                    <a:schemeClr val="dk1"/>
                  </a:solidFill>
                  <a:effectLst/>
                  <a:latin typeface="+mn-lt"/>
                  <a:ea typeface="+mn-ea"/>
                  <a:cs typeface="+mn-cs"/>
                </a:rPr>
                <a:t>Selecting the Appropriate Discount Rate</a:t>
              </a:r>
            </a:p>
            <a:p>
              <a:endParaRPr lang="en-US" sz="1600">
                <a:solidFill>
                  <a:schemeClr val="dk1"/>
                </a:solidFill>
                <a:effectLst/>
                <a:latin typeface="+mn-lt"/>
                <a:ea typeface="+mn-ea"/>
                <a:cs typeface="+mn-cs"/>
              </a:endParaRPr>
            </a:p>
            <a:p>
              <a:r>
                <a:rPr kumimoji="0" lang="en-US" sz="1600" b="0" i="0" u="none" strike="noStrike" kern="0" cap="none" spc="0" normalizeH="0" baseline="0" noProof="0">
                  <a:ln>
                    <a:noFill/>
                  </a:ln>
                  <a:solidFill>
                    <a:prstClr val="black"/>
                  </a:solidFill>
                  <a:effectLst/>
                  <a:uLnTx/>
                  <a:uFillTx/>
                  <a:latin typeface="+mn-lt"/>
                  <a:ea typeface="+mn-ea"/>
                  <a:cs typeface="+mn-cs"/>
                </a:rPr>
                <a:t>The discounting approach underlying the EPA's SC-GHG estimates rely on the Ramsey (1928) discounting formula,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𝑟</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𝑡</m:t>
                      </m:r>
                    </m:sub>
                  </m:s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𝜌</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m:t>
                  </m:r>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𝜂</m:t>
                  </m:r>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𝑔</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𝑡</m:t>
                      </m:r>
                    </m:sub>
                  </m:sSub>
                </m:oMath>
              </a14:m>
              <a:r>
                <a:rPr kumimoji="0" lang="en-US" sz="1600" b="0" i="0" u="none" strike="noStrike" kern="0" cap="none" spc="0" normalizeH="0" baseline="0" noProof="0">
                  <a:ln>
                    <a:noFill/>
                  </a:ln>
                  <a:solidFill>
                    <a:prstClr val="black"/>
                  </a:solidFill>
                  <a:effectLst/>
                  <a:uLnTx/>
                  <a:uFillTx/>
                  <a:latin typeface="+mn-lt"/>
                  <a:ea typeface="+mn-ea"/>
                  <a:cs typeface="+mn-cs"/>
                </a:rPr>
                <a:t>, to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account for the relationship between economic growth and discounting. The socioeconomic assumptions used to develop the SC-GHG included </a:t>
              </a:r>
              <a:r>
                <a:rPr lang="en-US" sz="1600">
                  <a:effectLst/>
                  <a:latin typeface="Calibri" panose="020F0502020204030204" pitchFamily="34" charset="0"/>
                  <a:ea typeface="Calibri" panose="020F0502020204030204" pitchFamily="34" charset="0"/>
                  <a:cs typeface="Arial" panose="020B0604020202020204" pitchFamily="34" charset="0"/>
                </a:rPr>
                <a:t>probabilistic projections for population, income, and GHG emissions,</a:t>
              </a:r>
              <a:r>
                <a:rPr lang="en-US" sz="1600" baseline="0">
                  <a:effectLst/>
                  <a:latin typeface="Calibri" panose="020F0502020204030204" pitchFamily="34" charset="0"/>
                  <a:ea typeface="Calibri" panose="020F0502020204030204" pitchFamily="34" charset="0"/>
                  <a:cs typeface="Arial" panose="020B0604020202020204" pitchFamily="34" charset="0"/>
                </a:rPr>
                <a:t> which included probabilistic projections of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future consumption growth rates</a:t>
              </a:r>
              <a:r>
                <a:rPr lang="en-US" sz="1600">
                  <a:effectLst/>
                  <a:latin typeface="Calibri" panose="020F0502020204030204" pitchFamily="34" charset="0"/>
                  <a:ea typeface="Calibri" panose="020F0502020204030204" pitchFamily="34" charset="0"/>
                  <a:cs typeface="Arial" panose="020B0604020202020204" pitchFamily="34" charset="0"/>
                </a:rPr>
                <a:t>.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If there is uncertainty in future consumption growth,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𝑔</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𝑡</m:t>
                      </m:r>
                    </m:sub>
                  </m:sSub>
                </m:oMath>
              </a14:m>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then </a:t>
              </a:r>
              <a:r>
                <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there is uncertainty over the discount rate over time.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EPA</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incorporated this uncertainty using the Monte Carlo technique of taking draws from probability distributions of </a:t>
              </a:r>
              <a14:m>
                <m:oMath xmlns:m="http://schemas.openxmlformats.org/officeDocument/2006/math">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𝑔</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𝑡</m:t>
                      </m:r>
                    </m:sub>
                  </m:sSub>
                </m:oMath>
              </a14:m>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a:t>
              </a:r>
              <a:r>
                <a:rPr kumimoji="0" lang="en-US" sz="1600" b="0" i="0" u="none" strike="noStrike" kern="0" cap="none" spc="0" normalizeH="0" baseline="0" noProof="0">
                  <a:ln>
                    <a:noFill/>
                  </a:ln>
                  <a:solidFill>
                    <a:schemeClr val="dk1"/>
                  </a:solidFill>
                  <a:effectLst/>
                  <a:uLnTx/>
                  <a:uFillTx/>
                  <a:latin typeface="Calibri" panose="020F0502020204030204" pitchFamily="34" charset="0"/>
                  <a:ea typeface="Calibri" panose="020F0502020204030204" pitchFamily="34" charset="0"/>
                  <a:cs typeface="Arial" panose="020B0604020202020204" pitchFamily="34" charset="0"/>
                </a:rPr>
                <a:t>making the </a:t>
              </a:r>
              <a:r>
                <a:rPr lang="en-US" sz="1600">
                  <a:effectLst/>
                  <a:latin typeface="Calibri" panose="020F0502020204030204" pitchFamily="34" charset="0"/>
                  <a:ea typeface="Calibri" panose="020F0502020204030204" pitchFamily="34" charset="0"/>
                  <a:cs typeface="Arial" panose="020B0604020202020204" pitchFamily="34" charset="0"/>
                </a:rPr>
                <a:t>Ramsey discount rate a dynamic parameter within the modeling framework. In developing the </a:t>
              </a:r>
              <a:r>
                <a:rPr lang="en-US" sz="1600" baseline="0">
                  <a:effectLst/>
                  <a:latin typeface="Calibri" panose="020F0502020204030204" pitchFamily="34" charset="0"/>
                  <a:ea typeface="Calibri" panose="020F0502020204030204" pitchFamily="34" charset="0"/>
                  <a:cs typeface="Arial" panose="020B0604020202020204" pitchFamily="34" charset="0"/>
                </a:rPr>
                <a:t>SC-GHG, </a:t>
              </a:r>
              <a:r>
                <a:rPr lang="en-US" sz="1600">
                  <a:solidFill>
                    <a:schemeClr val="dk1"/>
                  </a:solidFill>
                  <a:effectLst/>
                  <a:latin typeface="+mn-lt"/>
                  <a:ea typeface="+mn-ea"/>
                  <a:cs typeface="+mn-cs"/>
                </a:rPr>
                <a:t>each Monte Carlo scenario was discounted using calibrated </a:t>
              </a:r>
              <a14:m>
                <m:oMath xmlns:m="http://schemas.openxmlformats.org/officeDocument/2006/math">
                  <m:r>
                    <a:rPr lang="en-US" sz="1600" i="1">
                      <a:solidFill>
                        <a:schemeClr val="dk1"/>
                      </a:solidFill>
                      <a:effectLst/>
                      <a:latin typeface="Cambria Math" panose="02040503050406030204" pitchFamily="18" charset="0"/>
                      <a:ea typeface="+mn-ea"/>
                      <a:cs typeface="+mn-cs"/>
                    </a:rPr>
                    <m:t>𝜌</m:t>
                  </m:r>
                </m:oMath>
              </a14:m>
              <a:r>
                <a:rPr lang="en-US" sz="1600">
                  <a:solidFill>
                    <a:schemeClr val="dk1"/>
                  </a:solidFill>
                  <a:effectLst/>
                  <a:latin typeface="+mn-lt"/>
                  <a:ea typeface="+mn-ea"/>
                  <a:cs typeface="+mn-cs"/>
                </a:rPr>
                <a:t> and </a:t>
              </a:r>
              <a14:m>
                <m:oMath xmlns:m="http://schemas.openxmlformats.org/officeDocument/2006/math">
                  <m:r>
                    <a:rPr lang="en-US" sz="1600" i="1">
                      <a:solidFill>
                        <a:schemeClr val="dk1"/>
                      </a:solidFill>
                      <a:effectLst/>
                      <a:latin typeface="Cambria Math" panose="02040503050406030204" pitchFamily="18" charset="0"/>
                      <a:ea typeface="+mn-ea"/>
                      <a:cs typeface="+mn-cs"/>
                    </a:rPr>
                    <m:t>𝜂</m:t>
                  </m:r>
                </m:oMath>
              </a14:m>
              <a:r>
                <a:rPr lang="en-US" sz="1600">
                  <a:solidFill>
                    <a:schemeClr val="dk1"/>
                  </a:solidFill>
                  <a:effectLst/>
                  <a:latin typeface="+mn-lt"/>
                  <a:ea typeface="+mn-ea"/>
                  <a:cs typeface="+mn-cs"/>
                </a:rPr>
                <a:t> values and the specific consumption growth rate for that scenario. This uncertainty is summarized by the certainty-equivalent</a:t>
              </a:r>
              <a:r>
                <a:rPr lang="en-US" sz="1600" baseline="0">
                  <a:solidFill>
                    <a:schemeClr val="dk1"/>
                  </a:solidFill>
                  <a:effectLst/>
                  <a:latin typeface="+mn-lt"/>
                  <a:ea typeface="+mn-ea"/>
                  <a:cs typeface="+mn-cs"/>
                </a:rPr>
                <a:t> rate</a:t>
              </a:r>
              <a:r>
                <a:rPr kumimoji="0" lang="en-US" sz="1600" b="0" i="0" u="none" strike="noStrike" kern="0" cap="none" spc="0" normalizeH="0" baseline="0" noProof="0">
                  <a:ln>
                    <a:noFill/>
                  </a:ln>
                  <a:solidFill>
                    <a:prstClr val="black"/>
                  </a:solidFill>
                  <a:effectLst/>
                  <a:uLnTx/>
                  <a:uFillTx/>
                  <a:latin typeface="+mn-lt"/>
                  <a:ea typeface="+mn-ea"/>
                  <a:cs typeface="+mn-cs"/>
                </a:rPr>
                <a:t>, </a:t>
              </a:r>
              <a14:m>
                <m:oMath xmlns:m="http://schemas.openxmlformats.org/officeDocument/2006/math">
                  <m:acc>
                    <m:accPr>
                      <m:chr m:val="̃"/>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accPr>
                    <m:e>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𝛿</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sub>
                      </m:sSub>
                    </m:e>
                  </m:acc>
                </m:oMath>
              </a14:m>
              <a:r>
                <a:rPr lang="en-US" sz="1600" baseline="0">
                  <a:solidFill>
                    <a:schemeClr val="dk1"/>
                  </a:solidFill>
                  <a:effectLst/>
                  <a:latin typeface="+mn-lt"/>
                  <a:ea typeface="+mn-ea"/>
                  <a:cs typeface="+mn-cs"/>
                </a:rPr>
                <a:t>, which is the </a:t>
              </a:r>
              <a:r>
                <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constant discount rate (specific to the particular damage year, </a:t>
              </a:r>
              <a14:m>
                <m:oMath xmlns:m="http://schemas.openxmlformats.org/officeDocument/2006/math">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oMath>
              </a14:m>
              <a:r>
                <a:rPr kumimoji="0" lang="en-US" sz="1600" b="0" i="0" u="none" strike="noStrike" kern="0" cap="none" spc="0" normalizeH="0" baseline="0" noProof="0">
                  <a:ln>
                    <a:noFill/>
                  </a:ln>
                  <a:solidFill>
                    <a:prstClr val="black"/>
                  </a:solidFill>
                  <a:effectLst/>
                  <a:uLnTx/>
                  <a:uFillTx/>
                  <a:latin typeface="+mn-lt"/>
                  <a:ea typeface="+mn-ea"/>
                  <a:cs typeface="+mn-cs"/>
                </a:rPr>
                <a:t>)</a:t>
              </a:r>
              <a:r>
                <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that yields the same result as the average of all of the uncertain outcomes across Monte Carlo trials.</a:t>
              </a:r>
            </a:p>
            <a:p>
              <a:endPar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r>
                <a:rPr kumimoji="0" lang="en-US" sz="1600" b="0" i="0" u="none" strike="noStrike" kern="0" cap="none" spc="0" normalizeH="0" baseline="0" noProof="0">
                  <a:ln>
                    <a:noFill/>
                  </a:ln>
                  <a:solidFill>
                    <a:prstClr val="black"/>
                  </a:solidFill>
                  <a:effectLst/>
                  <a:uLnTx/>
                  <a:uFillTx/>
                  <a:latin typeface="+mn-lt"/>
                  <a:ea typeface="+mn-ea"/>
                  <a:cs typeface="+mn-cs"/>
                </a:rPr>
                <a:t>The 𝜌 and 𝜂 parameters for the Ramsey equation were calibrated so that </a:t>
              </a:r>
            </a:p>
            <a:p>
              <a:endParaRPr kumimoji="0" lang="en-US" sz="1600" b="0" i="0" u="none" strike="noStrike" kern="0" cap="none" spc="0" normalizeH="0" baseline="0" noProof="0">
                <a:ln>
                  <a:noFill/>
                </a:ln>
                <a:solidFill>
                  <a:prstClr val="black"/>
                </a:solidFill>
                <a:effectLst/>
                <a:uLnTx/>
                <a:uFillTx/>
                <a:latin typeface="+mn-lt"/>
                <a:ea typeface="+mn-ea"/>
                <a:cs typeface="+mn-cs"/>
              </a:endParaRPr>
            </a:p>
            <a:p>
              <a:pPr lvl="1"/>
              <a:r>
                <a:rPr kumimoji="0" lang="en-US" sz="1600" b="0" i="0" u="none" strike="noStrike" kern="0" cap="none" spc="0" normalizeH="0" baseline="0" noProof="0">
                  <a:ln>
                    <a:noFill/>
                  </a:ln>
                  <a:solidFill>
                    <a:prstClr val="black"/>
                  </a:solidFill>
                  <a:effectLst/>
                  <a:uLnTx/>
                  <a:uFillTx/>
                  <a:latin typeface="+mn-lt"/>
                  <a:ea typeface="+mn-ea"/>
                  <a:cs typeface="+mn-cs"/>
                </a:rPr>
                <a:t>(1) the decline in the certainty-equivalent discount rate matches the latest empirical evidence on interest rate uncertainty estimated by Bauer and Rudebusch (2020, 2023), and </a:t>
              </a:r>
            </a:p>
            <a:p>
              <a:pPr lvl="1"/>
              <a:endParaRPr kumimoji="0" lang="en-US" sz="1600" b="0" i="0" u="none" strike="noStrike" kern="0" cap="none" spc="0" normalizeH="0" baseline="0" noProof="0">
                <a:ln>
                  <a:noFill/>
                </a:ln>
                <a:solidFill>
                  <a:prstClr val="black"/>
                </a:solidFill>
                <a:effectLst/>
                <a:uLnTx/>
                <a:uFillTx/>
                <a:latin typeface="+mn-lt"/>
                <a:ea typeface="+mn-ea"/>
                <a:cs typeface="+mn-cs"/>
              </a:endParaRPr>
            </a:p>
            <a:p>
              <a:pPr lvl="1"/>
              <a:r>
                <a:rPr kumimoji="0" lang="en-US" sz="1600" b="0" i="0" u="none" strike="noStrike" kern="0" cap="none" spc="0" normalizeH="0" baseline="0" noProof="0">
                  <a:ln>
                    <a:noFill/>
                  </a:ln>
                  <a:solidFill>
                    <a:prstClr val="black"/>
                  </a:solidFill>
                  <a:effectLst/>
                  <a:uLnTx/>
                  <a:uFillTx/>
                  <a:latin typeface="+mn-lt"/>
                  <a:ea typeface="+mn-ea"/>
                  <a:cs typeface="+mn-cs"/>
                </a:rPr>
                <a:t>(2) the average of the certainty-equivalent discount rate over the first decade matches a near-term consumption rate of interest. Uncertainty in this starting rate is addressed by using three near-term target rates (1.5%, 2.0%, and 2.5%) based on multiple lines of evidence on observed real market interest rates. </a:t>
              </a:r>
              <a:endPar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endPar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The correct discount factor to use when discounting the SC-GHG estimates is the certainty-equivalent discount factor, </a:t>
              </a:r>
              <a14:m>
                <m:oMath xmlns:m="http://schemas.openxmlformats.org/officeDocument/2006/math">
                  <m:acc>
                    <m:accPr>
                      <m:chr m:val="̃"/>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accPr>
                    <m:e>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𝛿</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sub>
                      </m:sSub>
                    </m:e>
                  </m:acc>
                </m:oMath>
              </a14:m>
              <a:r>
                <a:rPr kumimoji="0" lang="en-US" sz="1600" b="0" i="0" u="none" strike="noStrike" kern="0" cap="none" spc="0" normalizeH="0" baseline="0" noProof="0">
                  <a:ln>
                    <a:noFill/>
                  </a:ln>
                  <a:solidFill>
                    <a:prstClr val="black"/>
                  </a:solidFill>
                  <a:effectLst/>
                  <a:uLnTx/>
                  <a:uFillTx/>
                  <a:latin typeface="+mn-lt"/>
                  <a:ea typeface="+mn-ea"/>
                  <a:cs typeface="+mn-cs"/>
                </a:rPr>
                <a:t>. This is because the SC-GHG estimates are certainty-equivalent values that account for the uncertainty in future consumption per capita, and the certainty-equivalent discount factor incorporates this uncertainty. Discounting the SC-GHG estimates using a constant discount rate equal to the near-term target rate would not capture the uncertainty in consumption per capita for that year.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While applying the certainty-equivalent discount factor would ensure a full accounting of scenario uncertainty, this process introduces substantial complexity in the calculations, which may not be warranted in all situations. For analyses with moderate time frames (e.g., 30 years or less), the difference between discounting from the year of emissions to the year of analysis using a constant discount rate equal to the near-term target rate, and discounting using the certainty-equivalent discount factor, </a:t>
              </a:r>
              <a14:m>
                <m:oMath xmlns:m="http://schemas.openxmlformats.org/officeDocument/2006/math">
                  <m:acc>
                    <m:accPr>
                      <m:chr m:val="̃"/>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accPr>
                    <m:e>
                      <m:sSub>
                        <m:sSubPr>
                          <m:ctrlP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ctrlPr>
                        </m:sSubPr>
                        <m:e>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𝛿</m:t>
                          </m:r>
                        </m:e>
                        <m:sub>
                          <m:r>
                            <a:rPr kumimoji="0" lang="en-US" sz="1600" b="0" i="1" u="none" strike="noStrike" kern="0" cap="none" spc="0" normalizeH="0" baseline="0" noProof="0">
                              <a:ln>
                                <a:noFill/>
                              </a:ln>
                              <a:solidFill>
                                <a:prstClr val="black"/>
                              </a:solidFill>
                              <a:effectLst/>
                              <a:uLnTx/>
                              <a:uFillTx/>
                              <a:latin typeface="Cambria Math" panose="02040503050406030204" pitchFamily="18" charset="0"/>
                              <a:ea typeface="+mn-ea"/>
                              <a:cs typeface="+mn-cs"/>
                            </a:rPr>
                            <m:t>𝜏</m:t>
                          </m:r>
                        </m:sub>
                      </m:sSub>
                    </m:e>
                  </m:acc>
                </m:oMath>
              </a14:m>
              <a:r>
                <a:rPr kumimoji="0" lang="en-US" sz="1600" b="0" i="0" u="none" strike="noStrike" kern="0" cap="none" spc="0" normalizeH="0" baseline="0" noProof="0">
                  <a:ln>
                    <a:noFill/>
                  </a:ln>
                  <a:solidFill>
                    <a:prstClr val="black"/>
                  </a:solidFill>
                  <a:effectLst/>
                  <a:uLnTx/>
                  <a:uFillTx/>
                  <a:latin typeface="+mn-lt"/>
                  <a:ea typeface="+mn-ea"/>
                  <a:cs typeface="+mn-cs"/>
                </a:rPr>
                <a:t> will be small (</a:t>
              </a:r>
              <a:r>
                <a:rPr kumimoji="0" lang="en-US" sz="1600" b="0" i="0" u="sng" strike="noStrike" kern="0" cap="none" spc="0" normalizeH="0" baseline="0" noProof="0">
                  <a:ln>
                    <a:noFill/>
                  </a:ln>
                  <a:solidFill>
                    <a:srgbClr val="0000FF"/>
                  </a:solidFill>
                  <a:effectLst/>
                  <a:uLnTx/>
                  <a:uFillTx/>
                  <a:latin typeface="+mn-lt"/>
                  <a:ea typeface="+mn-ea"/>
                  <a:cs typeface="+mn-cs"/>
                </a:rPr>
                <a:t>EPA 2023</a:t>
              </a:r>
              <a:r>
                <a:rPr kumimoji="0" lang="en-US" sz="1600" b="0" i="0" u="none" strike="noStrike" kern="0" cap="none" spc="0" normalizeH="0" baseline="0" noProof="0">
                  <a:ln>
                    <a:noFill/>
                  </a:ln>
                  <a:solidFill>
                    <a:prstClr val="black"/>
                  </a:solidFill>
                  <a:effectLst/>
                  <a:uLnTx/>
                  <a:uFillTx/>
                  <a:latin typeface="+mn-lt"/>
                  <a:ea typeface="+mn-ea"/>
                  <a:cs typeface="+mn-cs"/>
                </a:rPr>
                <a:t>, page 150, Figure A.3.1.). For example, if the present value year is 2024, using the near-term target rate to discount back from the year of emissions instead of the certainty-equivalent discount factor will underestimate the present value of emission reductions by less than 1% for the first ten years of future emissions.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Therefore, for most analyses, constant discounting using the near-term target rate provides a close approximation of the present value from a policy action. </a:t>
              </a:r>
              <a:r>
                <a:rPr lang="en-US" sz="1600" b="0" i="0" baseline="0">
                  <a:solidFill>
                    <a:schemeClr val="dk1"/>
                  </a:solidFill>
                  <a:effectLst/>
                  <a:latin typeface="+mn-lt"/>
                  <a:ea typeface="+mn-ea"/>
                  <a:cs typeface="+mn-cs"/>
                </a:rPr>
                <a:t>This is what is provided in the constant rate tab in this workbook. For policies with estimated emissions changes occuring over a longer time frame</a:t>
              </a:r>
              <a:r>
                <a:rPr kumimoji="0" lang="en-US" sz="1600" b="0" i="0" u="none" strike="noStrike" kern="0" cap="none" spc="0" normalizeH="0" baseline="0" noProof="0">
                  <a:ln>
                    <a:noFill/>
                  </a:ln>
                  <a:solidFill>
                    <a:prstClr val="black"/>
                  </a:solidFill>
                  <a:effectLst/>
                  <a:uLnTx/>
                  <a:uFillTx/>
                  <a:latin typeface="+mn-lt"/>
                  <a:ea typeface="+mn-ea"/>
                  <a:cs typeface="+mn-cs"/>
                </a:rPr>
                <a:t>, analysts may consider using the certainty-equivalent discount rates developed using the Ramsey discount rate schedule. We recommend analysts contact NCEE for assistance in these situations. </a:t>
              </a:r>
            </a:p>
            <a:p>
              <a:r>
                <a:rPr lang="en-US" sz="1600" i="1">
                  <a:solidFill>
                    <a:schemeClr val="dk1"/>
                  </a:solidFill>
                  <a:effectLst/>
                  <a:latin typeface="+mn-lt"/>
                  <a:ea typeface="+mn-ea"/>
                  <a:cs typeface="+mn-cs"/>
                </a:rPr>
                <a:t> </a:t>
              </a:r>
            </a:p>
            <a:p>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The annualized value for a constant discount rate can be obtained using Excel's PMT function or the annualized cost formula when there is initial cost at t=0 in EPA's </a:t>
              </a:r>
              <a:r>
                <a:rPr lang="en-US" sz="1100" i="1">
                  <a:solidFill>
                    <a:schemeClr val="dk1"/>
                  </a:solidFill>
                  <a:effectLst/>
                  <a:latin typeface="+mn-lt"/>
                  <a:ea typeface="+mn-ea"/>
                  <a:cs typeface="+mn-cs"/>
                </a:rPr>
                <a:t>Guidelines for Preparing Economic Analyses</a:t>
              </a:r>
              <a:r>
                <a:rPr lang="en-US" sz="1100">
                  <a:solidFill>
                    <a:schemeClr val="dk1"/>
                  </a:solidFill>
                  <a:effectLst/>
                  <a:latin typeface="+mn-lt"/>
                  <a:ea typeface="+mn-ea"/>
                  <a:cs typeface="+mn-cs"/>
                </a:rPr>
                <a:t>. By convention, annualization is done for the same number of periods </a:t>
              </a:r>
              <a:r>
                <a:rPr lang="en-US" sz="1100" b="0" i="0" baseline="0">
                  <a:solidFill>
                    <a:schemeClr val="dk1"/>
                  </a:solidFill>
                  <a:effectLst/>
                  <a:latin typeface="+mn-lt"/>
                  <a:ea typeface="+mn-ea"/>
                  <a:cs typeface="+mn-cs"/>
                </a:rPr>
                <a:t>as the length of the analysis, but the </a:t>
              </a:r>
              <a:r>
                <a:rPr lang="en-US" sz="1100">
                  <a:solidFill>
                    <a:schemeClr val="dk1"/>
                  </a:solidFill>
                  <a:effectLst/>
                  <a:latin typeface="+mn-lt"/>
                  <a:ea typeface="+mn-ea"/>
                  <a:cs typeface="+mn-cs"/>
                </a:rPr>
                <a:t>default approach of Excel's PMT function assumes that </a:t>
              </a:r>
              <a:r>
                <a:rPr lang="en-US" sz="1100" i="1" u="sng">
                  <a:solidFill>
                    <a:schemeClr val="dk1"/>
                  </a:solidFill>
                  <a:effectLst/>
                  <a:latin typeface="+mn-lt"/>
                  <a:ea typeface="+mn-ea"/>
                  <a:cs typeface="+mn-cs"/>
                </a:rPr>
                <a:t>the annualized value begins in the first year after the present value year</a:t>
              </a:r>
              <a:r>
                <a:rPr lang="en-US" sz="1100">
                  <a:solidFill>
                    <a:schemeClr val="dk1"/>
                  </a:solidFill>
                  <a:effectLst/>
                  <a:latin typeface="+mn-lt"/>
                  <a:ea typeface="+mn-ea"/>
                  <a:cs typeface="+mn-cs"/>
                </a:rPr>
                <a:t>. In the illustrative example for the Oil and Gas Rule, the analysis period is 2024-2038</a:t>
              </a:r>
              <a:r>
                <a:rPr lang="en-US" sz="1100" baseline="0">
                  <a:solidFill>
                    <a:schemeClr val="dk1"/>
                  </a:solidFill>
                  <a:effectLst/>
                  <a:latin typeface="+mn-lt"/>
                  <a:ea typeface="+mn-ea"/>
                  <a:cs typeface="+mn-cs"/>
                </a:rPr>
                <a:t> (15 years)</a:t>
              </a:r>
              <a:r>
                <a:rPr lang="en-US" sz="1100">
                  <a:solidFill>
                    <a:schemeClr val="dk1"/>
                  </a:solidFill>
                  <a:effectLst/>
                  <a:latin typeface="+mn-lt"/>
                  <a:ea typeface="+mn-ea"/>
                  <a:cs typeface="+mn-cs"/>
                </a:rPr>
                <a:t>, but the annualized value implicitly assumes  a period of 2022-2036 (also 15 years). So, the annualized value for the rule, calculated</a:t>
              </a:r>
              <a:r>
                <a:rPr lang="en-US" sz="1100" baseline="0">
                  <a:solidFill>
                    <a:schemeClr val="dk1"/>
                  </a:solidFill>
                  <a:effectLst/>
                  <a:latin typeface="+mn-lt"/>
                  <a:ea typeface="+mn-ea"/>
                  <a:cs typeface="+mn-cs"/>
                </a:rPr>
                <a:t> by the PMT function and reported in the RIA, </a:t>
              </a:r>
              <a:r>
                <a:rPr lang="en-US" sz="1100">
                  <a:solidFill>
                    <a:schemeClr val="dk1"/>
                  </a:solidFill>
                  <a:effectLst/>
                  <a:latin typeface="+mn-lt"/>
                  <a:ea typeface="+mn-ea"/>
                  <a:cs typeface="+mn-cs"/>
                </a:rPr>
                <a:t>is $8.5</a:t>
              </a:r>
              <a:r>
                <a:rPr lang="en-US" sz="1100" baseline="0">
                  <a:solidFill>
                    <a:schemeClr val="dk1"/>
                  </a:solidFill>
                  <a:effectLst/>
                  <a:latin typeface="+mn-lt"/>
                  <a:ea typeface="+mn-ea"/>
                  <a:cs typeface="+mn-cs"/>
                </a:rPr>
                <a:t> billion. (To see, enter "=PMT(2%,15,110)"in Excel. It will produce a value of about $8.5 billion.) </a:t>
              </a:r>
              <a:r>
                <a:rPr lang="en-US" sz="1100">
                  <a:solidFill>
                    <a:schemeClr val="dk1"/>
                  </a:solidFill>
                  <a:effectLst/>
                  <a:latin typeface="+mn-lt"/>
                  <a:ea typeface="+mn-ea"/>
                  <a:cs typeface="+mn-cs"/>
                </a:rPr>
                <a:t>This means</a:t>
              </a:r>
              <a:r>
                <a:rPr lang="en-US" sz="1100" baseline="0">
                  <a:solidFill>
                    <a:schemeClr val="dk1"/>
                  </a:solidFill>
                  <a:effectLst/>
                  <a:latin typeface="+mn-lt"/>
                  <a:ea typeface="+mn-ea"/>
                  <a:cs typeface="+mn-cs"/>
                </a:rPr>
                <a:t> that </a:t>
              </a:r>
              <a:r>
                <a:rPr lang="en-US" sz="1100" b="0" i="0" baseline="0">
                  <a:solidFill>
                    <a:schemeClr val="dk1"/>
                  </a:solidFill>
                  <a:effectLst/>
                  <a:latin typeface="+mn-lt"/>
                  <a:ea typeface="+mn-ea"/>
                  <a:cs typeface="+mn-cs"/>
                </a:rPr>
                <a:t>$8.5 billion per year from 2022-2036, </a:t>
              </a:r>
              <a:r>
                <a:rPr lang="en-US" sz="1100">
                  <a:solidFill>
                    <a:schemeClr val="dk1"/>
                  </a:solidFill>
                  <a:effectLst/>
                  <a:latin typeface="+mn-lt"/>
                  <a:ea typeface="+mn-ea"/>
                  <a:cs typeface="+mn-cs"/>
                </a:rPr>
                <a:t>discounted at 2, produces the same present value of $110 billion as the actual stream of monetized benefits for the period 2024-2038, discounted</a:t>
              </a:r>
              <a:r>
                <a:rPr lang="en-US" sz="1100" baseline="0">
                  <a:solidFill>
                    <a:schemeClr val="dk1"/>
                  </a:solidFill>
                  <a:effectLst/>
                  <a:latin typeface="+mn-lt"/>
                  <a:ea typeface="+mn-ea"/>
                  <a:cs typeface="+mn-cs"/>
                </a:rPr>
                <a:t> at 2%</a:t>
              </a:r>
              <a:r>
                <a:rPr lang="en-US" sz="1100">
                  <a:solidFill>
                    <a:schemeClr val="dk1"/>
                  </a:solidFill>
                  <a:effectLst/>
                  <a:latin typeface="+mn-lt"/>
                  <a:ea typeface="+mn-ea"/>
                  <a:cs typeface="+mn-cs"/>
                </a:rPr>
                <a:t>.</a:t>
              </a:r>
              <a:endParaRPr lang="en-US" sz="1600">
                <a:solidFill>
                  <a:schemeClr val="dk1"/>
                </a:solidFill>
                <a:effectLst/>
                <a:latin typeface="+mn-lt"/>
                <a:ea typeface="+mn-ea"/>
                <a:cs typeface="+mn-cs"/>
              </a:endParaRPr>
            </a:p>
            <a:p>
              <a:br>
                <a:rPr lang="en-US" sz="1600" i="1">
                  <a:solidFill>
                    <a:schemeClr val="dk1"/>
                  </a:solidFill>
                  <a:effectLst/>
                  <a:latin typeface="+mn-lt"/>
                  <a:ea typeface="+mn-ea"/>
                  <a:cs typeface="+mn-cs"/>
                </a:rPr>
              </a:br>
              <a:r>
                <a:rPr lang="en-US" sz="1600" i="1">
                  <a:solidFill>
                    <a:schemeClr val="dk1"/>
                  </a:solidFill>
                  <a:effectLst/>
                  <a:latin typeface="+mn-lt"/>
                  <a:ea typeface="+mn-ea"/>
                  <a:cs typeface="+mn-cs"/>
                </a:rPr>
                <a:t> </a:t>
              </a:r>
            </a:p>
            <a:p>
              <a:endParaRPr lang="en-US" sz="1600"/>
            </a:p>
          </xdr:txBody>
        </xdr:sp>
      </mc:Choice>
      <mc:Fallback xmlns="">
        <xdr:sp macro="" textlink="">
          <xdr:nvSpPr>
            <xdr:cNvPr id="202" name="TextBox 1">
              <a:extLst>
                <a:ext uri="{FF2B5EF4-FFF2-40B4-BE49-F238E27FC236}">
                  <a16:creationId xmlns:a16="http://schemas.microsoft.com/office/drawing/2014/main" id="{99FD9930-1373-4BA1-9357-BD754AF96F71}"/>
                </a:ext>
              </a:extLst>
            </xdr:cNvPr>
            <xdr:cNvSpPr txBox="1">
              <a:spLocks noChangeAspect="1"/>
            </xdr:cNvSpPr>
          </xdr:nvSpPr>
          <xdr:spPr>
            <a:xfrm>
              <a:off x="8973" y="0"/>
              <a:ext cx="12535186" cy="3862431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2800">
                  <a:solidFill>
                    <a:schemeClr val="dk1"/>
                  </a:solidFill>
                  <a:effectLst/>
                  <a:latin typeface="+mn-lt"/>
                  <a:ea typeface="+mn-ea"/>
                  <a:cs typeface="+mn-cs"/>
                </a:rPr>
                <a:t>EPA Social Cost</a:t>
              </a:r>
              <a:r>
                <a:rPr lang="en-US" sz="2800" baseline="0">
                  <a:solidFill>
                    <a:schemeClr val="dk1"/>
                  </a:solidFill>
                  <a:effectLst/>
                  <a:latin typeface="+mn-lt"/>
                  <a:ea typeface="+mn-ea"/>
                  <a:cs typeface="+mn-cs"/>
                </a:rPr>
                <a:t> of Greenhouse Gases Application Workbook</a:t>
              </a:r>
            </a:p>
            <a:p>
              <a:pPr marL="0" marR="0" lvl="0" indent="0" algn="ctr" defTabSz="914400" eaLnBrk="1" fontAlgn="auto" latinLnBrk="0" hangingPunct="1">
                <a:lnSpc>
                  <a:spcPct val="100000"/>
                </a:lnSpc>
                <a:spcBef>
                  <a:spcPts val="0"/>
                </a:spcBef>
                <a:spcAft>
                  <a:spcPts val="0"/>
                </a:spcAft>
                <a:buClrTx/>
                <a:buSzTx/>
                <a:buFontTx/>
                <a:buNone/>
                <a:tabLst/>
                <a:defRPr/>
              </a:pPr>
              <a:r>
                <a:rPr lang="en-US" sz="2800" baseline="0">
                  <a:solidFill>
                    <a:schemeClr val="dk1"/>
                  </a:solidFill>
                  <a:effectLst/>
                  <a:latin typeface="+mn-lt"/>
                  <a:ea typeface="+mn-ea"/>
                  <a:cs typeface="+mn-cs"/>
                </a:rPr>
                <a:t>Technical Background</a:t>
              </a:r>
              <a:endParaRPr lang="en-US" sz="28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b="1" u="none">
                  <a:solidFill>
                    <a:schemeClr val="dk1"/>
                  </a:solidFill>
                  <a:effectLst/>
                  <a:latin typeface="+mn-lt"/>
                  <a:ea typeface="+mn-ea"/>
                  <a:cs typeface="+mn-cs"/>
                </a:rPr>
                <a:t>Overview of Social Cost of Greenhous Gases (SC-GHG)</a:t>
              </a: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In December 2023, i</a:t>
              </a:r>
              <a:r>
                <a:rPr lang="en-US" sz="1600" b="0" i="0">
                  <a:solidFill>
                    <a:schemeClr val="dk1"/>
                  </a:solidFill>
                  <a:effectLst/>
                  <a:latin typeface="+mn-lt"/>
                  <a:ea typeface="+mn-ea"/>
                  <a:cs typeface="+mn-cs"/>
                </a:rPr>
                <a:t>n the regulatory impact analysis of EPA’s Final Rulemaking</a:t>
              </a:r>
              <a:r>
                <a:rPr lang="en-US" sz="1600" b="0" i="1">
                  <a:solidFill>
                    <a:schemeClr val="dk1"/>
                  </a:solidFill>
                  <a:effectLst/>
                  <a:latin typeface="+mn-lt"/>
                  <a:ea typeface="+mn-ea"/>
                  <a:cs typeface="+mn-cs"/>
                </a:rPr>
                <a:t>, Standards of Performace for</a:t>
              </a:r>
              <a:r>
                <a:rPr lang="en-US" sz="1600" b="0" i="1" baseline="0">
                  <a:solidFill>
                    <a:schemeClr val="dk1"/>
                  </a:solidFill>
                  <a:effectLst/>
                  <a:latin typeface="+mn-lt"/>
                  <a:ea typeface="+mn-ea"/>
                  <a:cs typeface="+mn-cs"/>
                </a:rPr>
                <a:t> New, Reconstructed, and Modified Sources and Emissions Guidelines for Existing Sources: Oil and Natural Gas Sector Climate Review</a:t>
              </a:r>
              <a:r>
                <a:rPr lang="en-US" sz="1600" b="0" i="0" baseline="0">
                  <a:solidFill>
                    <a:schemeClr val="dk1"/>
                  </a:solidFill>
                  <a:effectLst/>
                  <a:latin typeface="+mn-lt"/>
                  <a:ea typeface="+mn-ea"/>
                  <a:cs typeface="+mn-cs"/>
                </a:rPr>
                <a:t>, </a:t>
              </a:r>
              <a:r>
                <a:rPr lang="en-US" sz="1600" b="0" i="0">
                  <a:solidFill>
                    <a:schemeClr val="dk1"/>
                  </a:solidFill>
                  <a:effectLst/>
                  <a:latin typeface="+mn-lt"/>
                  <a:ea typeface="+mn-ea"/>
                  <a:cs typeface="+mn-cs"/>
                </a:rPr>
                <a:t>EPA estimated the climate benefits of the rule using a new set of Social Cost of Greenhouse Gas (SC-GHG) estimates. These estimates incorporate recent research addressing recommendations of the National Academies of Science, Engineering, and Medicine (2017), responses to public comments on an earlier sensitivity analysis using draft SC-GHG estimates included in the December 2022 supplemental proposed rulemaking, and comments from a 2023 external peer review of the accompanying technical report. The technical report, </a:t>
              </a:r>
              <a:r>
                <a:rPr lang="en-US" sz="1600" u="sng">
                  <a:solidFill>
                    <a:srgbClr val="0000FF"/>
                  </a:solidFill>
                  <a:effectLst/>
                  <a:latin typeface="+mn-lt"/>
                  <a:ea typeface="+mn-ea"/>
                  <a:cs typeface="+mn-cs"/>
                </a:rPr>
                <a:t>Report on the Social Cost of Greenhouse Gases: Estimates Incorporating Recent Scientific Advances,</a:t>
              </a:r>
              <a:r>
                <a:rPr lang="en-US" sz="1600" u="none">
                  <a:solidFill>
                    <a:sysClr val="windowText" lastClr="000000"/>
                  </a:solidFill>
                  <a:effectLst/>
                  <a:latin typeface="+mn-lt"/>
                  <a:ea typeface="+mn-ea"/>
                  <a:cs typeface="+mn-cs"/>
                </a:rPr>
                <a:t> describing the methodology underlying the SC-GHG estimates, and all other files related to their</a:t>
              </a:r>
              <a:r>
                <a:rPr lang="en-US" sz="1600" u="none" baseline="0">
                  <a:solidFill>
                    <a:sysClr val="windowText" lastClr="000000"/>
                  </a:solidFill>
                  <a:effectLst/>
                  <a:latin typeface="+mn-lt"/>
                  <a:ea typeface="+mn-ea"/>
                  <a:cs typeface="+mn-cs"/>
                </a:rPr>
                <a:t> development are available on EPA's webpage: </a:t>
              </a:r>
              <a:r>
                <a:rPr lang="en-US" sz="1600" u="sng">
                  <a:solidFill>
                    <a:srgbClr val="0000FF"/>
                  </a:solidFill>
                  <a:effectLst/>
                  <a:latin typeface="+mn-lt"/>
                  <a:ea typeface="+mn-ea"/>
                  <a:cs typeface="+mn-cs"/>
                </a:rPr>
                <a:t>https://www.epa.gov/environmental-economics/scghg</a:t>
              </a:r>
              <a:r>
                <a:rPr lang="en-US" sz="1600" u="none">
                  <a:solidFill>
                    <a:schemeClr val="dk1"/>
                  </a:solidFill>
                  <a:effectLst/>
                  <a:latin typeface="+mn-lt"/>
                  <a:ea typeface="+mn-ea"/>
                  <a:cs typeface="+mn-cs"/>
                </a:rPr>
                <a:t>.</a:t>
              </a: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The table</a:t>
              </a:r>
              <a:r>
                <a:rPr lang="en-US" sz="1600" baseline="0">
                  <a:solidFill>
                    <a:schemeClr val="dk1"/>
                  </a:solidFill>
                  <a:effectLst/>
                  <a:latin typeface="+mn-lt"/>
                  <a:ea typeface="+mn-ea"/>
                  <a:cs typeface="+mn-cs"/>
                </a:rPr>
                <a:t> below </a:t>
              </a:r>
              <a:r>
                <a:rPr lang="en-US" sz="1600">
                  <a:solidFill>
                    <a:schemeClr val="dk1"/>
                  </a:solidFill>
                  <a:effectLst/>
                  <a:latin typeface="+mn-lt"/>
                  <a:ea typeface="+mn-ea"/>
                  <a:cs typeface="+mn-cs"/>
                </a:rPr>
                <a:t>summarizes the averaged certainty-equivalent estimates of the social cost of carbon (SC-CO</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 the social cost of methane (SC-CH</a:t>
              </a:r>
              <a:r>
                <a:rPr lang="en-US" sz="1600" baseline="-25000">
                  <a:solidFill>
                    <a:schemeClr val="dk1"/>
                  </a:solidFill>
                  <a:effectLst/>
                  <a:latin typeface="+mn-lt"/>
                  <a:ea typeface="+mn-ea"/>
                  <a:cs typeface="+mn-cs"/>
                </a:rPr>
                <a:t>4</a:t>
              </a:r>
              <a:r>
                <a:rPr lang="en-US" sz="1600">
                  <a:solidFill>
                    <a:schemeClr val="dk1"/>
                  </a:solidFill>
                  <a:effectLst/>
                  <a:latin typeface="+mn-lt"/>
                  <a:ea typeface="+mn-ea"/>
                  <a:cs typeface="+mn-cs"/>
                </a:rPr>
                <a:t>), and the social cost of nitrous oxide (SC-N</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O), (collectively referred to as the “social cost of greenhouse gases” (SC-GHG)), rounded to two significant figures, under three near-term Ramsey discount rates for emissions years 2020 through 2080. This table illustrates</a:t>
              </a:r>
              <a:r>
                <a:rPr lang="en-US" sz="1600" baseline="0">
                  <a:solidFill>
                    <a:schemeClr val="dk1"/>
                  </a:solidFill>
                  <a:effectLst/>
                  <a:latin typeface="+mn-lt"/>
                  <a:ea typeface="+mn-ea"/>
                  <a:cs typeface="+mn-cs"/>
                </a:rPr>
                <a:t> the magnitude of these estimates.</a:t>
              </a: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The SC-GHG is the monetary value of the net harm to society from emitting a metric ton of that GHG into the atmosphere in a given year. </a:t>
              </a:r>
              <a:r>
                <a:rPr kumimoji="0" lang="en-US" sz="1600" b="0" i="0" u="none" strike="noStrike" kern="0" cap="none" spc="0" normalizeH="0" baseline="0" noProof="0">
                  <a:ln>
                    <a:noFill/>
                  </a:ln>
                  <a:solidFill>
                    <a:prstClr val="black"/>
                  </a:solidFill>
                  <a:effectLst/>
                  <a:uLnTx/>
                  <a:uFillTx/>
                  <a:latin typeface="+mn-lt"/>
                  <a:ea typeface="+mn-ea"/>
                  <a:cs typeface="+mn-cs"/>
                </a:rPr>
                <a:t>The SC-GHG is also the societal net benefit of reducing emissions of the GHG by a metric ton. </a:t>
              </a:r>
              <a:r>
                <a:rPr lang="en-US" sz="1600">
                  <a:solidFill>
                    <a:schemeClr val="dk1"/>
                  </a:solidFill>
                  <a:effectLst/>
                  <a:latin typeface="+mn-lt"/>
                  <a:ea typeface="+mn-ea"/>
                  <a:cs typeface="+mn-cs"/>
                </a:rPr>
                <a:t>In principle, the SC-GHG is a comprehensive metric that includes the value of all future climate change impacts (both negative and positive), including changes in net agricultural productivity, human health effects, property damage from increased flood risk, changes in the frequency and severity of natural disasters, disruption of energy systems, risk of conflict, environmental migration, and the value of ecosystem services. In practice, data and modeling limitations restrain the ability of SC-GHG estimates to include all physical, ecological, and economic impacts of climate change, implicitly assigning a value of zero to the omitted climate damages. The estimates are, therefore, a partial accounting of climate change impacts and likely underestimate the marginal benefits of abatement.  </a:t>
              </a:r>
            </a:p>
            <a:p>
              <a:endParaRPr lang="en-US" sz="1600" u="none" strike="noStrike">
                <a:solidFill>
                  <a:schemeClr val="dk1"/>
                </a:solidFill>
                <a:effectLst/>
                <a:latin typeface="+mn-lt"/>
                <a:ea typeface="+mn-ea"/>
                <a:cs typeface="+mn-cs"/>
              </a:endParaRPr>
            </a:p>
            <a:p>
              <a:r>
                <a:rPr lang="en-US" sz="1600">
                  <a:solidFill>
                    <a:schemeClr val="dk1"/>
                  </a:solidFill>
                  <a:effectLst/>
                  <a:latin typeface="+mn-lt"/>
                  <a:ea typeface="+mn-ea"/>
                  <a:cs typeface="+mn-cs"/>
                </a:rPr>
                <a:t>SC-GHG estimates are gas specific because one metric ton of CO</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 CH</a:t>
              </a:r>
              <a:r>
                <a:rPr lang="en-US" sz="1600" baseline="-25000">
                  <a:solidFill>
                    <a:schemeClr val="dk1"/>
                  </a:solidFill>
                  <a:effectLst/>
                  <a:latin typeface="+mn-lt"/>
                  <a:ea typeface="+mn-ea"/>
                  <a:cs typeface="+mn-cs"/>
                </a:rPr>
                <a:t>4</a:t>
              </a:r>
              <a:r>
                <a:rPr lang="en-US" sz="1600">
                  <a:solidFill>
                    <a:schemeClr val="dk1"/>
                  </a:solidFill>
                  <a:effectLst/>
                  <a:latin typeface="+mn-lt"/>
                  <a:ea typeface="+mn-ea"/>
                  <a:cs typeface="+mn-cs"/>
                </a:rPr>
                <a:t>, N</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O, or other GHG differ in the temporal pathway of their impact on society, through both climate mediated effects of emissions (temperature, sea level rise, etc.) and non-climate mediated effects of emissions (e.g., carbon fertilization effects and ocean acidification due to CO</a:t>
              </a:r>
              <a:r>
                <a:rPr lang="en-US" sz="1600" baseline="-25000">
                  <a:solidFill>
                    <a:schemeClr val="dk1"/>
                  </a:solidFill>
                  <a:effectLst/>
                  <a:latin typeface="+mn-lt"/>
                  <a:ea typeface="+mn-ea"/>
                  <a:cs typeface="+mn-cs"/>
                </a:rPr>
                <a:t>2</a:t>
              </a:r>
              <a:r>
                <a:rPr lang="en-US" sz="1600">
                  <a:solidFill>
                    <a:schemeClr val="dk1"/>
                  </a:solidFill>
                  <a:effectLst/>
                  <a:latin typeface="+mn-lt"/>
                  <a:ea typeface="+mn-ea"/>
                  <a:cs typeface="+mn-cs"/>
                </a:rPr>
                <a:t> emissions, tropospheric ozone formation due to CH</a:t>
              </a:r>
              <a:r>
                <a:rPr lang="en-US" sz="1600" baseline="-25000">
                  <a:solidFill>
                    <a:schemeClr val="dk1"/>
                  </a:solidFill>
                  <a:effectLst/>
                  <a:latin typeface="+mn-lt"/>
                  <a:ea typeface="+mn-ea"/>
                  <a:cs typeface="+mn-cs"/>
                </a:rPr>
                <a:t>4</a:t>
              </a:r>
              <a:r>
                <a:rPr lang="en-US" sz="1600">
                  <a:solidFill>
                    <a:schemeClr val="dk1"/>
                  </a:solidFill>
                  <a:effectLst/>
                  <a:latin typeface="+mn-lt"/>
                  <a:ea typeface="+mn-ea"/>
                  <a:cs typeface="+mn-cs"/>
                </a:rPr>
                <a:t> emissions).</a:t>
              </a:r>
            </a:p>
            <a:p>
              <a:endParaRPr lang="en-US" sz="1600" u="none" strike="noStrike">
                <a:solidFill>
                  <a:schemeClr val="dk1"/>
                </a:solidFill>
                <a:effectLst/>
                <a:latin typeface="+mn-lt"/>
                <a:ea typeface="+mn-ea"/>
                <a:cs typeface="+mn-cs"/>
              </a:endParaRPr>
            </a:p>
            <a:p>
              <a:r>
                <a:rPr lang="en-US" sz="1600" b="1" u="none" strike="noStrike">
                  <a:solidFill>
                    <a:schemeClr val="dk1"/>
                  </a:solidFill>
                  <a:effectLst/>
                  <a:latin typeface="+mn-lt"/>
                  <a:ea typeface="+mn-ea"/>
                  <a:cs typeface="+mn-cs"/>
                </a:rPr>
                <a:t>Calculating</a:t>
              </a:r>
              <a:r>
                <a:rPr lang="en-US" sz="1600" b="1" u="none" strike="noStrike" baseline="0">
                  <a:solidFill>
                    <a:schemeClr val="dk1"/>
                  </a:solidFill>
                  <a:effectLst/>
                  <a:latin typeface="+mn-lt"/>
                  <a:ea typeface="+mn-ea"/>
                  <a:cs typeface="+mn-cs"/>
                </a:rPr>
                <a:t> the Present Value and Annualized Values using the SC-GHG</a:t>
              </a:r>
              <a:endParaRPr lang="en-US" sz="1600" b="1" u="none" strike="noStrike">
                <a:solidFill>
                  <a:schemeClr val="dk1"/>
                </a:solidFill>
                <a:effectLst/>
                <a:latin typeface="+mn-lt"/>
                <a:ea typeface="+mn-ea"/>
                <a:cs typeface="+mn-cs"/>
              </a:endParaRPr>
            </a:p>
            <a:p>
              <a:endParaRPr lang="en-US" sz="1600" u="none" strike="noStrike">
                <a:solidFill>
                  <a:schemeClr val="dk1"/>
                </a:solidFill>
                <a:effectLst/>
                <a:latin typeface="+mn-lt"/>
                <a:ea typeface="+mn-ea"/>
                <a:cs typeface="+mn-cs"/>
              </a:endParaRPr>
            </a:p>
            <a:p>
              <a:r>
                <a:rPr lang="en-US" sz="1600">
                  <a:solidFill>
                    <a:schemeClr val="dk1"/>
                  </a:solidFill>
                  <a:effectLst/>
                  <a:latin typeface="+mn-lt"/>
                  <a:ea typeface="+mn-ea"/>
                  <a:cs typeface="+mn-cs"/>
                </a:rPr>
                <a:t>The gas-specific SC-GHG estimate,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𝑠𝑐𝑔ℎ𝑔_𝜏</a:t>
              </a:r>
              <a:r>
                <a:rPr lang="en-US" sz="1600">
                  <a:solidFill>
                    <a:schemeClr val="dk1"/>
                  </a:solidFill>
                  <a:effectLst/>
                  <a:latin typeface="+mn-lt"/>
                  <a:ea typeface="+mn-ea"/>
                  <a:cs typeface="+mn-cs"/>
                </a:rPr>
                <a:t>, represents the future damages associated with </a:t>
              </a:r>
              <a:r>
                <a:rPr lang="en-US" sz="1600" i="1">
                  <a:solidFill>
                    <a:schemeClr val="dk1"/>
                  </a:solidFill>
                  <a:effectLst/>
                  <a:latin typeface="+mn-lt"/>
                  <a:ea typeface="+mn-ea"/>
                  <a:cs typeface="+mn-cs"/>
                </a:rPr>
                <a:t>one additional metric ton </a:t>
              </a:r>
              <a:r>
                <a:rPr lang="en-US" sz="1600">
                  <a:solidFill>
                    <a:schemeClr val="dk1"/>
                  </a:solidFill>
                  <a:effectLst/>
                  <a:latin typeface="+mn-lt"/>
                  <a:ea typeface="+mn-ea"/>
                  <a:cs typeface="+mn-cs"/>
                </a:rPr>
                <a:t>of emissions of the </a:t>
              </a:r>
              <a:r>
                <a:rPr lang="en-US" sz="1600" baseline="0">
                  <a:solidFill>
                    <a:schemeClr val="dk1"/>
                  </a:solidFill>
                  <a:effectLst/>
                  <a:latin typeface="+mn-lt"/>
                  <a:ea typeface="+mn-ea"/>
                  <a:cs typeface="+mn-cs"/>
                </a:rPr>
                <a:t>gas,</a:t>
              </a:r>
              <a:r>
                <a:rPr lang="en-US" sz="1600">
                  <a:solidFill>
                    <a:schemeClr val="dk1"/>
                  </a:solidFill>
                  <a:effectLst/>
                  <a:latin typeface="+mn-lt"/>
                  <a:ea typeface="+mn-ea"/>
                  <a:cs typeface="+mn-cs"/>
                </a:rPr>
                <a:t> released in some year, </a:t>
              </a:r>
              <a:r>
                <a:rPr lang="en-US" sz="1600" i="0">
                  <a:solidFill>
                    <a:schemeClr val="dk1"/>
                  </a:solidFill>
                  <a:effectLst/>
                  <a:latin typeface="Cambria Math" panose="02040503050406030204" pitchFamily="18" charset="0"/>
                  <a:ea typeface="+mn-ea"/>
                  <a:cs typeface="+mn-cs"/>
                </a:rPr>
                <a:t>𝜏</a:t>
              </a:r>
              <a:r>
                <a:rPr lang="en-US" sz="1600">
                  <a:solidFill>
                    <a:schemeClr val="dk1"/>
                  </a:solidFill>
                  <a:effectLst/>
                  <a:latin typeface="+mn-lt"/>
                  <a:ea typeface="+mn-ea"/>
                  <a:cs typeface="+mn-cs"/>
                </a:rPr>
                <a:t>, and discounted back to that emission year. For example, the </a:t>
              </a:r>
              <a:r>
                <a:rPr kumimoji="0" lang="en-US" sz="1600" b="0" i="0" u="none" strike="noStrike" kern="0" cap="none" spc="0" normalizeH="0" baseline="0" noProof="0">
                  <a:ln>
                    <a:noFill/>
                  </a:ln>
                  <a:solidFill>
                    <a:prstClr val="black"/>
                  </a:solidFill>
                  <a:effectLst/>
                  <a:uLnTx/>
                  <a:uFillTx/>
                  <a:latin typeface="+mn-lt"/>
                  <a:ea typeface="+mn-ea"/>
                  <a:cs typeface="+mn-cs"/>
                </a:rPr>
                <a:t>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of $2,400 for 2030 in the table above (using a near-term discount rate of 2%) reflects the future damages of one additional ton of methane emitted in 2030 and </a:t>
              </a:r>
              <a:r>
                <a:rPr kumimoji="0" lang="en-US" sz="1600" b="0" i="1" u="sng" strike="noStrike" kern="0" cap="none" spc="0" normalizeH="0" baseline="0" noProof="0">
                  <a:ln>
                    <a:noFill/>
                  </a:ln>
                  <a:solidFill>
                    <a:prstClr val="black"/>
                  </a:solidFill>
                  <a:effectLst/>
                  <a:uLnTx/>
                  <a:uFillTx/>
                  <a:latin typeface="+mn-lt"/>
                  <a:ea typeface="+mn-ea"/>
                  <a:cs typeface="+mn-cs"/>
                </a:rPr>
                <a:t>discounted back to 2030</a:t>
              </a:r>
              <a:r>
                <a:rPr kumimoji="0" lang="en-US" sz="1600" b="0" i="0" u="none" strike="noStrike" kern="0" cap="none" spc="0" normalizeH="0" baseline="0" noProof="0">
                  <a:ln>
                    <a:noFill/>
                  </a:ln>
                  <a:solidFill>
                    <a:prstClr val="black"/>
                  </a:solidFill>
                  <a:effectLst/>
                  <a:uLnTx/>
                  <a:uFillTx/>
                  <a:latin typeface="+mn-lt"/>
                  <a:ea typeface="+mn-ea"/>
                  <a:cs typeface="+mn-cs"/>
                </a:rPr>
                <a:t>. </a:t>
              </a:r>
            </a:p>
            <a:p>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600">
                  <a:solidFill>
                    <a:schemeClr val="dk1"/>
                  </a:solidFill>
                  <a:effectLst/>
                  <a:latin typeface="+mn-lt"/>
                  <a:ea typeface="+mn-ea"/>
                  <a:cs typeface="+mn-cs"/>
                </a:rPr>
                <a:t>Multiplying the change in emissions for a future year by the SC-GHG for that year yields the monetized value of future emission changes from the perspective of that year.  We refer to this as an “</a:t>
              </a:r>
              <a:r>
                <a:rPr lang="en-US" sz="1600" u="sng">
                  <a:solidFill>
                    <a:schemeClr val="dk1"/>
                  </a:solidFill>
                  <a:effectLst/>
                  <a:latin typeface="+mn-lt"/>
                  <a:ea typeface="+mn-ea"/>
                  <a:cs typeface="+mn-cs"/>
                </a:rPr>
                <a:t>undiscounted</a:t>
              </a:r>
              <a:r>
                <a:rPr lang="en-US" sz="1600">
                  <a:solidFill>
                    <a:schemeClr val="dk1"/>
                  </a:solidFill>
                  <a:effectLst/>
                  <a:latin typeface="+mn-lt"/>
                  <a:ea typeface="+mn-ea"/>
                  <a:cs typeface="+mn-cs"/>
                </a:rPr>
                <a:t>, monetized value of emissions changes for that future year”. The undiscounted, monetized value must then be discounted back to the present value year to obtain the present value of the damages. This produces the “</a:t>
              </a:r>
              <a:r>
                <a:rPr lang="en-US" sz="1600" u="sng">
                  <a:solidFill>
                    <a:schemeClr val="dk1"/>
                  </a:solidFill>
                  <a:effectLst/>
                  <a:latin typeface="+mn-lt"/>
                  <a:ea typeface="+mn-ea"/>
                  <a:cs typeface="+mn-cs"/>
                </a:rPr>
                <a:t>discounted</a:t>
              </a:r>
              <a:r>
                <a:rPr lang="en-US" sz="1600">
                  <a:solidFill>
                    <a:schemeClr val="dk1"/>
                  </a:solidFill>
                  <a:effectLst/>
                  <a:latin typeface="+mn-lt"/>
                  <a:ea typeface="+mn-ea"/>
                  <a:cs typeface="+mn-cs"/>
                </a:rPr>
                <a:t>, monetized value of emissions changes for present year.” </a:t>
              </a:r>
              <a:endParaRPr lang="en-US" sz="1600">
                <a:effectLst/>
              </a:endParaRPr>
            </a:p>
            <a:p>
              <a:endParaRPr lang="en-US" sz="1600">
                <a:solidFill>
                  <a:schemeClr val="dk1"/>
                </a:solidFill>
                <a:effectLst/>
                <a:latin typeface="+mn-lt"/>
                <a:ea typeface="+mn-ea"/>
                <a:cs typeface="+mn-cs"/>
              </a:endParaRPr>
            </a:p>
            <a:p>
              <a:r>
                <a:rPr lang="en-US" sz="1600">
                  <a:solidFill>
                    <a:schemeClr val="dk1"/>
                  </a:solidFill>
                  <a:effectLst/>
                  <a:latin typeface="+mn-lt"/>
                  <a:ea typeface="+mn-ea"/>
                  <a:cs typeface="+mn-cs"/>
                </a:rPr>
                <a:t>To calculate the monetized value of damages from some specific</a:t>
              </a:r>
              <a:r>
                <a:rPr lang="en-US" sz="1600" baseline="0">
                  <a:solidFill>
                    <a:schemeClr val="dk1"/>
                  </a:solidFill>
                  <a:effectLst/>
                  <a:latin typeface="+mn-lt"/>
                  <a:ea typeface="+mn-ea"/>
                  <a:cs typeface="+mn-cs"/>
                </a:rPr>
                <a:t> amount of </a:t>
              </a:r>
              <a:r>
                <a:rPr lang="en-US" sz="1600">
                  <a:solidFill>
                    <a:schemeClr val="dk1"/>
                  </a:solidFill>
                  <a:effectLst/>
                  <a:latin typeface="+mn-lt"/>
                  <a:ea typeface="+mn-ea"/>
                  <a:cs typeface="+mn-cs"/>
                </a:rPr>
                <a:t>emissions changes,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𝑥_</a:t>
              </a:r>
              <a:r>
                <a:rPr kumimoji="0" lang="en-US" sz="1600" b="0" i="0" u="none" strike="noStrike" kern="0" cap="none" spc="0" normalizeH="0" baseline="-25000" noProof="0">
                  <a:ln>
                    <a:noFill/>
                  </a:ln>
                  <a:solidFill>
                    <a:prstClr val="black"/>
                  </a:solidFill>
                  <a:effectLst/>
                  <a:uLnTx/>
                  <a:uFillTx/>
                  <a:latin typeface="Cambria Math" panose="02040503050406030204" pitchFamily="18" charset="0"/>
                  <a:ea typeface="+mn-ea"/>
                  <a:cs typeface="+mn-cs"/>
                </a:rPr>
                <a:t>𝜏</a:t>
              </a:r>
              <a:r>
                <a:rPr kumimoji="0" lang="en-US" sz="1600" b="0" i="0" u="none" strike="noStrike" kern="0" cap="none" spc="0" normalizeH="0" baseline="0" noProof="0">
                  <a:ln>
                    <a:noFill/>
                  </a:ln>
                  <a:solidFill>
                    <a:prstClr val="black"/>
                  </a:solidFill>
                  <a:effectLst/>
                  <a:uLnTx/>
                  <a:uFillTx/>
                  <a:latin typeface="+mn-lt"/>
                  <a:ea typeface="+mn-ea"/>
                  <a:cs typeface="+mn-cs"/>
                </a:rPr>
                <a:t>,</a:t>
              </a:r>
              <a:r>
                <a:rPr lang="en-US" sz="1600">
                  <a:solidFill>
                    <a:schemeClr val="dk1"/>
                  </a:solidFill>
                  <a:effectLst/>
                  <a:latin typeface="+mn-lt"/>
                  <a:ea typeface="+mn-ea"/>
                  <a:cs typeface="+mn-cs"/>
                </a:rPr>
                <a:t> in year </a:t>
              </a:r>
              <a:r>
                <a:rPr lang="en-US" sz="1600" i="0">
                  <a:solidFill>
                    <a:schemeClr val="dk1"/>
                  </a:solidFill>
                  <a:effectLst/>
                  <a:latin typeface="Cambria Math" panose="02040503050406030204" pitchFamily="18" charset="0"/>
                  <a:ea typeface="+mn-ea"/>
                  <a:cs typeface="+mn-cs"/>
                </a:rPr>
                <a:t>𝜏</a:t>
              </a:r>
              <a:r>
                <a:rPr lang="en-US" sz="1600">
                  <a:solidFill>
                    <a:schemeClr val="dk1"/>
                  </a:solidFill>
                  <a:effectLst/>
                  <a:latin typeface="+mn-lt"/>
                  <a:ea typeface="+mn-ea"/>
                  <a:cs typeface="+mn-cs"/>
                </a:rPr>
                <a:t> discounted back to the present value year, denoted as year 0, additional steps are required. For example,</a:t>
              </a:r>
              <a:r>
                <a:rPr lang="en-US" sz="1600" baseline="0">
                  <a:solidFill>
                    <a:schemeClr val="dk1"/>
                  </a:solidFill>
                  <a:effectLst/>
                  <a:latin typeface="+mn-lt"/>
                  <a:ea typeface="+mn-ea"/>
                  <a:cs typeface="+mn-cs"/>
                </a:rPr>
                <a:t> the 2023 Final Oil and Gas Rule is expected to reduce about 4.5 million metric tons of methane in 2030, and the RIA discounted values back to 2021. The additional steps necessary to calculate the present value,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𝑝𝑣_0</a:t>
              </a:r>
              <a:r>
                <a:rPr lang="en-US" sz="1600" baseline="0">
                  <a:solidFill>
                    <a:schemeClr val="dk1"/>
                  </a:solidFill>
                  <a:effectLst/>
                  <a:latin typeface="+mn-lt"/>
                  <a:ea typeface="+mn-ea"/>
                  <a:cs typeface="+mn-cs"/>
                </a:rPr>
                <a:t>, </a:t>
              </a:r>
              <a:r>
                <a:rPr kumimoji="0" lang="en-US" sz="1600" b="0" i="0" u="none" strike="noStrike" kern="0" cap="none" spc="0" normalizeH="0" baseline="0" noProof="0">
                  <a:ln>
                    <a:noFill/>
                  </a:ln>
                  <a:solidFill>
                    <a:prstClr val="black"/>
                  </a:solidFill>
                  <a:effectLst/>
                  <a:uLnTx/>
                  <a:uFillTx/>
                  <a:latin typeface="+mn-lt"/>
                  <a:ea typeface="+mn-ea"/>
                  <a:cs typeface="+mn-cs"/>
                </a:rPr>
                <a:t>of emissions changes,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𝑥_</a:t>
              </a:r>
              <a:r>
                <a:rPr kumimoji="0" lang="en-US" sz="1600" b="0" i="0" u="none" strike="noStrike" kern="0" cap="none" spc="0" normalizeH="0" baseline="-25000" noProof="0">
                  <a:ln>
                    <a:noFill/>
                  </a:ln>
                  <a:solidFill>
                    <a:prstClr val="black"/>
                  </a:solidFill>
                  <a:effectLst/>
                  <a:uLnTx/>
                  <a:uFillTx/>
                  <a:latin typeface="Cambria Math" panose="02040503050406030204" pitchFamily="18" charset="0"/>
                  <a:ea typeface="+mn-ea"/>
                  <a:cs typeface="+mn-cs"/>
                </a:rPr>
                <a:t>𝜏</a:t>
              </a:r>
              <a:r>
                <a:rPr kumimoji="0" lang="en-US" sz="1600" b="0" i="0" u="none" strike="noStrike" kern="0" cap="none" spc="0" normalizeH="0" baseline="0" noProof="0">
                  <a:ln>
                    <a:noFill/>
                  </a:ln>
                  <a:solidFill>
                    <a:prstClr val="black"/>
                  </a:solidFill>
                  <a:effectLst/>
                  <a:uLnTx/>
                  <a:uFillTx/>
                  <a:latin typeface="+mn-lt"/>
                  <a:ea typeface="+mn-ea"/>
                  <a:cs typeface="+mn-cs"/>
                </a:rPr>
                <a:t>, in year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𝜏</a:t>
              </a:r>
              <a:r>
                <a:rPr kumimoji="0" lang="en-US" sz="1600" b="0" i="0" u="none" strike="noStrike" kern="0" cap="none" spc="0" normalizeH="0" baseline="0" noProof="0">
                  <a:ln>
                    <a:noFill/>
                  </a:ln>
                  <a:solidFill>
                    <a:prstClr val="black"/>
                  </a:solidFill>
                  <a:effectLst/>
                  <a:uLnTx/>
                  <a:uFillTx/>
                  <a:latin typeface="+mn-lt"/>
                  <a:ea typeface="+mn-ea"/>
                  <a:cs typeface="+mn-cs"/>
                </a:rPr>
                <a:t> discounted back to the present value year 0 are as follows.</a:t>
              </a:r>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pPr lvl="1"/>
              <a:r>
                <a:rPr kumimoji="0" lang="en-US" sz="1600" b="0" i="0" u="none" strike="noStrike" kern="0" cap="none" spc="0" normalizeH="0" baseline="0" noProof="0">
                  <a:ln>
                    <a:noFill/>
                  </a:ln>
                  <a:solidFill>
                    <a:prstClr val="black"/>
                  </a:solidFill>
                  <a:effectLst/>
                  <a:uLnTx/>
                  <a:uFillTx/>
                  <a:latin typeface="+mn-lt"/>
                  <a:ea typeface="+mn-ea"/>
                  <a:cs typeface="+mn-cs"/>
                </a:rPr>
                <a:t>•  First, the annual, unrounded SC-CO</a:t>
              </a:r>
              <a:r>
                <a:rPr kumimoji="0" lang="en-US" sz="1600" b="0" i="0" u="none" strike="noStrike" kern="0" cap="none" spc="0" normalizeH="0" baseline="-25000" noProof="0">
                  <a:ln>
                    <a:noFill/>
                  </a:ln>
                  <a:solidFill>
                    <a:prstClr val="black"/>
                  </a:solidFill>
                  <a:effectLst/>
                  <a:uLnTx/>
                  <a:uFillTx/>
                  <a:latin typeface="+mn-lt"/>
                  <a:ea typeface="+mn-ea"/>
                  <a:cs typeface="+mn-cs"/>
                </a:rPr>
                <a:t>2</a:t>
              </a:r>
              <a:r>
                <a:rPr kumimoji="0" lang="en-US" sz="1600" b="0" i="0" u="none" strike="noStrike" kern="0" cap="none" spc="0" normalizeH="0" baseline="0" noProof="0">
                  <a:ln>
                    <a:noFill/>
                  </a:ln>
                  <a:solidFill>
                    <a:prstClr val="black"/>
                  </a:solidFill>
                  <a:effectLst/>
                  <a:uLnTx/>
                  <a:uFillTx/>
                  <a:latin typeface="+mn-lt"/>
                  <a:ea typeface="+mn-ea"/>
                  <a:cs typeface="+mn-cs"/>
                </a:rPr>
                <a:t>, 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and SC-N</a:t>
              </a:r>
              <a:r>
                <a:rPr kumimoji="0" lang="en-US" sz="1600" b="0" i="0" u="none" strike="noStrike" kern="0" cap="none" spc="0" normalizeH="0" baseline="-25000" noProof="0">
                  <a:ln>
                    <a:noFill/>
                  </a:ln>
                  <a:solidFill>
                    <a:prstClr val="black"/>
                  </a:solidFill>
                  <a:effectLst/>
                  <a:uLnTx/>
                  <a:uFillTx/>
                  <a:latin typeface="+mn-lt"/>
                  <a:ea typeface="+mn-ea"/>
                  <a:cs typeface="+mn-cs"/>
                </a:rPr>
                <a:t>2</a:t>
              </a:r>
              <a:r>
                <a:rPr kumimoji="0" lang="en-US" sz="1600" b="0" i="0" u="none" strike="noStrike" kern="0" cap="none" spc="0" normalizeH="0" baseline="0" noProof="0">
                  <a:ln>
                    <a:noFill/>
                  </a:ln>
                  <a:solidFill>
                    <a:prstClr val="black"/>
                  </a:solidFill>
                  <a:effectLst/>
                  <a:uLnTx/>
                  <a:uFillTx/>
                  <a:latin typeface="+mn-lt"/>
                  <a:ea typeface="+mn-ea"/>
                  <a:cs typeface="+mn-cs"/>
                </a:rPr>
                <a:t>O estimates provided in Appendix A.5 of </a:t>
              </a:r>
              <a:r>
                <a:rPr kumimoji="0" lang="en-US" sz="1600" b="0" i="0" u="none" strike="noStrike" kern="0" cap="none" spc="0" normalizeH="0" baseline="0" noProof="0">
                  <a:ln>
                    <a:noFill/>
                  </a:ln>
                  <a:solidFill>
                    <a:sysClr val="windowText" lastClr="000000"/>
                  </a:solidFill>
                  <a:effectLst/>
                  <a:uLnTx/>
                  <a:uFillTx/>
                  <a:latin typeface="+mn-lt"/>
                  <a:ea typeface="+mn-ea"/>
                  <a:cs typeface="+mn-cs"/>
                </a:rPr>
                <a:t>EPA's Report on the Social Cost of Greenhouse Gases are reported in 2020 dollars. This means that the SC-GHG values reflect the purchasing power of a dollar in 2020. If an analysis reports its cost and benefits in a different dollar year, </a:t>
              </a:r>
              <a:r>
                <a:rPr kumimoji="0" lang="en-US" sz="1600" b="0" i="0" u="none" strike="noStrike" kern="0" cap="none" spc="0" normalizeH="0" baseline="0" noProof="0">
                  <a:ln>
                    <a:noFill/>
                  </a:ln>
                  <a:solidFill>
                    <a:sysClr val="windowText" lastClr="000000"/>
                  </a:solidFill>
                  <a:effectLst/>
                  <a:uLnTx/>
                  <a:uFillTx/>
                  <a:latin typeface="Cambria Math" panose="02040503050406030204" pitchFamily="18" charset="0"/>
                  <a:ea typeface="Cambria Math" panose="02040503050406030204" pitchFamily="18" charset="0"/>
                  <a:cs typeface="+mn-cs"/>
                </a:rPr>
                <a:t>𝛾</a:t>
              </a:r>
              <a:r>
                <a:rPr kumimoji="0" lang="en-US" sz="1600" b="0" i="0" u="none" strike="noStrike" kern="0" cap="none" spc="0" normalizeH="0" baseline="0" noProof="0">
                  <a:ln>
                    <a:noFill/>
                  </a:ln>
                  <a:solidFill>
                    <a:sysClr val="windowText" lastClr="000000"/>
                  </a:solidFill>
                  <a:effectLst/>
                  <a:uLnTx/>
                  <a:uFillTx/>
                  <a:latin typeface="+mn-lt"/>
                  <a:ea typeface="+mn-ea"/>
                  <a:cs typeface="+mn-cs"/>
                </a:rPr>
                <a:t>, then the SC-GHG must be adjusted to reflect the purchasing power for that dollar year. By convention, this adjustment is done using the Gross Domestic Product (GDP) implicit price deflator,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𝑑_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𝛾</a:t>
              </a:r>
              <a:r>
                <a:rPr kumimoji="0" lang="en-US" sz="1600" b="0" i="0" u="none" strike="noStrike" kern="0" cap="none" spc="0" normalizeH="0" baseline="0" noProof="0">
                  <a:ln>
                    <a:noFill/>
                  </a:ln>
                  <a:solidFill>
                    <a:sysClr val="windowText" lastClr="000000"/>
                  </a:solidFill>
                  <a:effectLst/>
                  <a:uLnTx/>
                  <a:uFillTx/>
                  <a:latin typeface="+mn-lt"/>
                  <a:ea typeface="+mn-ea"/>
                  <a:cs typeface="+mn-cs"/>
                </a:rPr>
                <a:t>. The SC-GHG, adjusted to reflect a different dollar year, 𝛾, is given by: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〖(𝑑〗_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𝛾∙</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𝑠𝑐𝑔ℎ𝑔_𝜏</a:t>
              </a:r>
              <a:r>
                <a:rPr kumimoji="0" lang="en-US" sz="1600" b="0" i="0" u="none" strike="noStrike" kern="0" cap="none" spc="0" normalizeH="0" baseline="0" noProof="0">
                  <a:ln>
                    <a:noFill/>
                  </a:ln>
                  <a:solidFill>
                    <a:prstClr val="black"/>
                  </a:solidFill>
                  <a:effectLst/>
                  <a:uLnTx/>
                  <a:uFillTx/>
                  <a:latin typeface="+mn-lt"/>
                  <a:ea typeface="+mn-ea"/>
                  <a:cs typeface="+mn-cs"/>
                </a:rPr>
                <a:t>). For example, the Oil and Gas Rule reported costs and benefits in 2019 dollars, so the annual, unrounded 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values were multiplied by 0.987 to reflect the values in 2019 dollars. </a:t>
              </a:r>
              <a:endParaRPr kumimoji="0" lang="en-US" sz="1600" b="0" i="0" u="none" strike="noStrike" kern="0" cap="none" spc="0" normalizeH="0" baseline="0" noProof="0">
                <a:ln>
                  <a:noFill/>
                </a:ln>
                <a:solidFill>
                  <a:sysClr val="windowText" lastClr="000000"/>
                </a:solidFill>
                <a:effectLst/>
                <a:uLnTx/>
                <a:uFillTx/>
                <a:latin typeface="+mn-lt"/>
                <a:ea typeface="+mn-ea"/>
                <a:cs typeface="+mn-cs"/>
              </a:endParaRPr>
            </a:p>
            <a:p>
              <a:pPr lvl="1"/>
              <a:endParaRPr lang="en-US" sz="1600" u="none">
                <a:solidFill>
                  <a:sysClr val="windowText" lastClr="000000"/>
                </a:solidFill>
                <a:effectLst/>
                <a:latin typeface="+mn-lt"/>
                <a:ea typeface="+mn-ea"/>
                <a:cs typeface="+mn-cs"/>
              </a:endParaRPr>
            </a:p>
            <a:p>
              <a:pPr lvl="1"/>
              <a:r>
                <a:rPr lang="en-US" sz="1600" u="none">
                  <a:solidFill>
                    <a:sysClr val="windowText" lastClr="000000"/>
                  </a:solidFill>
                  <a:effectLst/>
                  <a:latin typeface="+mn-lt"/>
                  <a:ea typeface="+mn-ea"/>
                  <a:cs typeface="+mn-cs"/>
                </a:rPr>
                <a:t>•</a:t>
              </a:r>
              <a:r>
                <a:rPr lang="en-US" sz="1600" u="none" baseline="0">
                  <a:solidFill>
                    <a:sysClr val="windowText" lastClr="000000"/>
                  </a:solidFill>
                  <a:effectLst/>
                  <a:latin typeface="+mn-lt"/>
                  <a:ea typeface="+mn-ea"/>
                  <a:cs typeface="+mn-cs"/>
                </a:rPr>
                <a:t>  </a:t>
              </a:r>
              <a:r>
                <a:rPr lang="en-US" sz="1600" u="none">
                  <a:solidFill>
                    <a:sysClr val="windowText" lastClr="000000"/>
                  </a:solidFill>
                  <a:effectLst/>
                  <a:latin typeface="+mn-lt"/>
                  <a:ea typeface="+mn-ea"/>
                  <a:cs typeface="+mn-cs"/>
                </a:rPr>
                <a:t>Second, the emissions changes in a future year, </a:t>
              </a:r>
              <a:r>
                <a:rPr lang="en-US" sz="1600" i="0" u="none">
                  <a:solidFill>
                    <a:sysClr val="windowText" lastClr="000000"/>
                  </a:solidFill>
                  <a:effectLst/>
                  <a:latin typeface="Cambria Math" panose="02040503050406030204" pitchFamily="18" charset="0"/>
                  <a:ea typeface="+mn-ea"/>
                  <a:cs typeface="+mn-cs"/>
                </a:rPr>
                <a:t>𝑥_</a:t>
              </a:r>
              <a:r>
                <a:rPr lang="en-US" sz="1600" i="0" u="none" baseline="-25000">
                  <a:solidFill>
                    <a:sysClr val="windowText" lastClr="000000"/>
                  </a:solidFill>
                  <a:effectLst/>
                  <a:latin typeface="Cambria Math" panose="02040503050406030204" pitchFamily="18" charset="0"/>
                  <a:ea typeface="+mn-ea"/>
                  <a:cs typeface="+mn-cs"/>
                </a:rPr>
                <a:t>𝜏</a:t>
              </a:r>
              <a:r>
                <a:rPr lang="en-US" sz="1600" u="none">
                  <a:solidFill>
                    <a:sysClr val="windowText" lastClr="000000"/>
                  </a:solidFill>
                  <a:effectLst/>
                  <a:latin typeface="+mn-lt"/>
                  <a:ea typeface="+mn-ea"/>
                  <a:cs typeface="+mn-cs"/>
                </a:rPr>
                <a:t>, from a policy action are multiplied by </a:t>
              </a:r>
              <a:r>
                <a:rPr lang="en-US" sz="1600">
                  <a:solidFill>
                    <a:schemeClr val="dk1"/>
                  </a:solidFill>
                  <a:effectLst/>
                  <a:latin typeface="+mn-lt"/>
                  <a:ea typeface="+mn-ea"/>
                  <a:cs typeface="+mn-cs"/>
                </a:rPr>
                <a:t>the SC-GHG in that future year, </a:t>
              </a:r>
              <a:r>
                <a:rPr lang="en-US" sz="1600" i="0">
                  <a:solidFill>
                    <a:schemeClr val="dk1"/>
                  </a:solidFill>
                  <a:effectLst/>
                  <a:latin typeface="Cambria Math" panose="02040503050406030204" pitchFamily="18" charset="0"/>
                  <a:ea typeface="+mn-ea"/>
                  <a:cs typeface="+mn-cs"/>
                </a:rPr>
                <a:t>𝑠𝑐𝑔ℎ𝑔_𝜏</a:t>
              </a:r>
              <a:r>
                <a:rPr lang="en-US" sz="1600">
                  <a:solidFill>
                    <a:schemeClr val="dk1"/>
                  </a:solidFill>
                  <a:effectLst/>
                  <a:latin typeface="+mn-lt"/>
                  <a:ea typeface="+mn-ea"/>
                  <a:cs typeface="+mn-cs"/>
                </a:rPr>
                <a:t>, to the obtain the future monetized net damages associated with those emissions. (</a:t>
              </a:r>
              <a:r>
                <a:rPr lang="en-US" sz="1600" i="0">
                  <a:solidFill>
                    <a:schemeClr val="dk1"/>
                  </a:solidFill>
                  <a:effectLst/>
                  <a:latin typeface="Cambria Math" panose="02040503050406030204" pitchFamily="18" charset="0"/>
                  <a:ea typeface="+mn-ea"/>
                  <a:cs typeface="+mn-cs"/>
                </a:rPr>
                <a:t>𝑥_𝜏∙</a:t>
              </a:r>
              <a:r>
                <a:rPr lang="en-US" sz="1600" b="0" i="0">
                  <a:solidFill>
                    <a:schemeClr val="dk1"/>
                  </a:solidFill>
                  <a:effectLst/>
                  <a:latin typeface="Cambria Math" panose="02040503050406030204" pitchFamily="18" charset="0"/>
                  <a:ea typeface="+mn-ea"/>
                  <a:cs typeface="+mn-cs"/>
                </a:rPr>
                <a:t>𝑑_</a:t>
              </a:r>
              <a:r>
                <a:rPr lang="en-US" sz="1600" i="0">
                  <a:solidFill>
                    <a:schemeClr val="dk1"/>
                  </a:solidFill>
                  <a:effectLst/>
                  <a:latin typeface="Cambria Math" panose="02040503050406030204" pitchFamily="18" charset="0"/>
                  <a:ea typeface="Cambria Math" panose="02040503050406030204" pitchFamily="18" charset="0"/>
                  <a:cs typeface="+mn-cs"/>
                </a:rPr>
                <a:t>𝛾∙</a:t>
              </a:r>
              <a:r>
                <a:rPr lang="en-US" sz="1600" i="0">
                  <a:solidFill>
                    <a:schemeClr val="dk1"/>
                  </a:solidFill>
                  <a:effectLst/>
                  <a:latin typeface="Cambria Math" panose="02040503050406030204" pitchFamily="18" charset="0"/>
                  <a:ea typeface="+mn-ea"/>
                  <a:cs typeface="+mn-cs"/>
                </a:rPr>
                <a:t>𝑠𝑐𝑔ℎ𝑔_𝜏</a:t>
              </a:r>
              <a:r>
                <a:rPr lang="en-US" sz="1600">
                  <a:solidFill>
                    <a:schemeClr val="dk1"/>
                  </a:solidFill>
                  <a:effectLst/>
                  <a:latin typeface="+mn-lt"/>
                  <a:ea typeface="+mn-ea"/>
                  <a:cs typeface="+mn-cs"/>
                </a:rPr>
                <a:t>) is the undiscounted, monetized value of emissions changes for that future year. In our example, </a:t>
              </a:r>
              <a:r>
                <a:rPr kumimoji="0" lang="en-US" sz="1600" b="0" i="0" u="none" strike="noStrike" kern="0" cap="none" spc="0" normalizeH="0" baseline="0" noProof="0">
                  <a:ln>
                    <a:noFill/>
                  </a:ln>
                  <a:solidFill>
                    <a:prstClr val="black"/>
                  </a:solidFill>
                  <a:effectLst/>
                  <a:uLnTx/>
                  <a:uFillTx/>
                  <a:latin typeface="+mn-lt"/>
                  <a:ea typeface="+mn-ea"/>
                  <a:cs typeface="+mn-cs"/>
                </a:rPr>
                <a:t>4.5 million metric tons of methane reduced in 2030 is multiplied times the GDP deflator of 0.987 times the SC-CH</a:t>
              </a:r>
              <a:r>
                <a:rPr kumimoji="0" lang="en-US" sz="1600" b="0" i="0" u="none" strike="noStrike" kern="0" cap="none" spc="0" normalizeH="0" baseline="-25000" noProof="0">
                  <a:ln>
                    <a:noFill/>
                  </a:ln>
                  <a:solidFill>
                    <a:prstClr val="black"/>
                  </a:solidFill>
                  <a:effectLst/>
                  <a:uLnTx/>
                  <a:uFillTx/>
                  <a:latin typeface="+mn-lt"/>
                  <a:ea typeface="+mn-ea"/>
                  <a:cs typeface="+mn-cs"/>
                </a:rPr>
                <a:t>4</a:t>
              </a:r>
              <a:r>
                <a:rPr kumimoji="0" lang="en-US" sz="1600" b="0" i="0" u="none" strike="noStrike" kern="0" cap="none" spc="0" normalizeH="0" baseline="0" noProof="0">
                  <a:ln>
                    <a:noFill/>
                  </a:ln>
                  <a:solidFill>
                    <a:prstClr val="black"/>
                  </a:solidFill>
                  <a:effectLst/>
                  <a:uLnTx/>
                  <a:uFillTx/>
                  <a:latin typeface="+mn-lt"/>
                  <a:ea typeface="+mn-ea"/>
                  <a:cs typeface="+mn-cs"/>
                </a:rPr>
                <a:t> of $2,400 for 2030, to obtain an undiscounted, monetized benefit of about $10.7 billion in 2030 (in 2019 dollars). </a:t>
              </a:r>
              <a:endParaRPr lang="en-US" sz="1600">
                <a:solidFill>
                  <a:schemeClr val="dk1"/>
                </a:solidFill>
                <a:effectLst/>
                <a:latin typeface="+mn-lt"/>
                <a:ea typeface="+mn-ea"/>
                <a:cs typeface="+mn-cs"/>
              </a:endParaRPr>
            </a:p>
            <a:p>
              <a:pPr lvl="1"/>
              <a:endParaRPr lang="en-US" sz="1600">
                <a:solidFill>
                  <a:schemeClr val="dk1"/>
                </a:solidFill>
                <a:effectLst/>
                <a:latin typeface="+mn-lt"/>
                <a:ea typeface="+mn-ea"/>
                <a:cs typeface="+mn-cs"/>
              </a:endParaRPr>
            </a:p>
            <a:p>
              <a:pPr lvl="1"/>
              <a:r>
                <a:rPr lang="en-US" sz="1600">
                  <a:solidFill>
                    <a:schemeClr val="dk1"/>
                  </a:solidFill>
                  <a:effectLst/>
                  <a:latin typeface="+mn-lt"/>
                  <a:ea typeface="+mn-ea"/>
                  <a:cs typeface="+mn-cs"/>
                </a:rPr>
                <a:t>•</a:t>
              </a:r>
              <a:r>
                <a:rPr lang="en-US" sz="1600" baseline="0">
                  <a:solidFill>
                    <a:schemeClr val="dk1"/>
                  </a:solidFill>
                  <a:effectLst/>
                  <a:latin typeface="+mn-lt"/>
                  <a:ea typeface="+mn-ea"/>
                  <a:cs typeface="+mn-cs"/>
                </a:rPr>
                <a:t> Third</a:t>
              </a:r>
              <a:r>
                <a:rPr lang="en-US" sz="1600">
                  <a:solidFill>
                    <a:schemeClr val="dk1"/>
                  </a:solidFill>
                  <a:effectLst/>
                  <a:latin typeface="+mn-lt"/>
                  <a:ea typeface="+mn-ea"/>
                  <a:cs typeface="+mn-cs"/>
                </a:rPr>
                <a:t>, the</a:t>
              </a:r>
              <a:r>
                <a:rPr lang="en-US" sz="1600" baseline="0">
                  <a:solidFill>
                    <a:schemeClr val="dk1"/>
                  </a:solidFill>
                  <a:effectLst/>
                  <a:latin typeface="+mn-lt"/>
                  <a:ea typeface="+mn-ea"/>
                  <a:cs typeface="+mn-cs"/>
                </a:rPr>
                <a:t> </a:t>
              </a:r>
              <a:r>
                <a:rPr lang="en-US" sz="1600">
                  <a:solidFill>
                    <a:schemeClr val="dk1"/>
                  </a:solidFill>
                  <a:effectLst/>
                  <a:latin typeface="+mn-lt"/>
                  <a:ea typeface="+mn-ea"/>
                  <a:cs typeface="+mn-cs"/>
                </a:rPr>
                <a:t>undiscounted,</a:t>
              </a:r>
              <a:r>
                <a:rPr lang="en-US" sz="1600" baseline="0">
                  <a:solidFill>
                    <a:schemeClr val="dk1"/>
                  </a:solidFill>
                  <a:effectLst/>
                  <a:latin typeface="+mn-lt"/>
                  <a:ea typeface="+mn-ea"/>
                  <a:cs typeface="+mn-cs"/>
                </a:rPr>
                <a:t> monetized</a:t>
              </a:r>
              <a:r>
                <a:rPr lang="en-US" sz="1600">
                  <a:solidFill>
                    <a:schemeClr val="dk1"/>
                  </a:solidFill>
                  <a:effectLst/>
                  <a:latin typeface="+mn-lt"/>
                  <a:ea typeface="+mn-ea"/>
                  <a:cs typeface="+mn-cs"/>
                </a:rPr>
                <a:t> values need to be discounted back to the present value year to obtain the present value of the damages, </a:t>
              </a:r>
              <a:r>
                <a:rPr lang="en-US" sz="1600" i="0">
                  <a:solidFill>
                    <a:schemeClr val="dk1"/>
                  </a:solidFill>
                  <a:effectLst/>
                  <a:latin typeface="Cambria Math" panose="02040503050406030204" pitchFamily="18" charset="0"/>
                  <a:ea typeface="+mn-ea"/>
                  <a:cs typeface="+mn-cs"/>
                </a:rPr>
                <a:t>𝑝𝑣_0</a:t>
              </a:r>
              <a:r>
                <a:rPr lang="en-US" sz="1600">
                  <a:solidFill>
                    <a:schemeClr val="dk1"/>
                  </a:solidFill>
                  <a:effectLst/>
                  <a:latin typeface="+mn-lt"/>
                  <a:ea typeface="+mn-ea"/>
                  <a:cs typeface="+mn-cs"/>
                </a:rPr>
                <a:t>, using the discount factor </a:t>
              </a:r>
              <a:r>
                <a:rPr lang="en-US" sz="1600" i="0">
                  <a:solidFill>
                    <a:schemeClr val="dk1"/>
                  </a:solidFill>
                  <a:effectLst/>
                  <a:latin typeface="Cambria Math" panose="02040503050406030204" pitchFamily="18" charset="0"/>
                  <a:ea typeface="+mn-ea"/>
                  <a:cs typeface="+mn-cs"/>
                </a:rPr>
                <a:t>(𝛿_𝜏 ) ̃</a:t>
              </a:r>
              <a:r>
                <a:rPr lang="en-US" sz="1600">
                  <a:solidFill>
                    <a:schemeClr val="dk1"/>
                  </a:solidFill>
                  <a:effectLst/>
                  <a:latin typeface="+mn-lt"/>
                  <a:ea typeface="+mn-ea"/>
                  <a:cs typeface="+mn-cs"/>
                </a:rPr>
                <a:t>.  The discounted, monetized value of emissions changes in present value terms for the emissions in year 𝜏 if given by:</a:t>
              </a:r>
              <a:r>
                <a:rPr lang="en-US" sz="1600" baseline="0">
                  <a:solidFill>
                    <a:schemeClr val="dk1"/>
                  </a:solidFill>
                  <a:effectLst/>
                  <a:latin typeface="+mn-lt"/>
                  <a:ea typeface="+mn-ea"/>
                  <a:cs typeface="+mn-cs"/>
                </a:rPr>
                <a:t>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𝑝𝑣_0</a:t>
              </a:r>
              <a:r>
                <a:rPr lang="en-US" sz="1600">
                  <a:solidFill>
                    <a:schemeClr val="dk1"/>
                  </a:solidFill>
                  <a:effectLst/>
                  <a:latin typeface="+mn-lt"/>
                  <a:ea typeface="+mn-ea"/>
                  <a:cs typeface="+mn-cs"/>
                </a:rPr>
                <a:t> = (</a:t>
              </a:r>
              <a:r>
                <a:rPr lang="en-US" sz="1600" i="0">
                  <a:solidFill>
                    <a:schemeClr val="dk1"/>
                  </a:solidFill>
                  <a:effectLst/>
                  <a:latin typeface="Cambria Math" panose="02040503050406030204" pitchFamily="18" charset="0"/>
                  <a:ea typeface="+mn-ea"/>
                  <a:cs typeface="+mn-cs"/>
                </a:rPr>
                <a:t>𝑥_𝜏∙</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𝑑_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𝛾∙</a:t>
              </a:r>
              <a:r>
                <a:rPr lang="en-US" sz="1600" i="0">
                  <a:solidFill>
                    <a:schemeClr val="dk1"/>
                  </a:solidFill>
                  <a:effectLst/>
                  <a:latin typeface="Cambria Math" panose="02040503050406030204" pitchFamily="18" charset="0"/>
                  <a:ea typeface="+mn-ea"/>
                  <a:cs typeface="+mn-cs"/>
                </a:rPr>
                <a:t>𝑠𝑐𝑔ℎ𝑔_𝜏∙(𝛿_𝜏 ) ̃</a:t>
              </a:r>
              <a:r>
                <a:rPr lang="en-US" sz="1600">
                  <a:solidFill>
                    <a:schemeClr val="dk1"/>
                  </a:solidFill>
                  <a:effectLst/>
                  <a:latin typeface="+mn-lt"/>
                  <a:ea typeface="+mn-ea"/>
                  <a:cs typeface="+mn-cs"/>
                </a:rPr>
                <a:t>)</a:t>
              </a:r>
              <a:r>
                <a:rPr lang="en-US" sz="1600" baseline="0">
                  <a:solidFill>
                    <a:schemeClr val="dk1"/>
                  </a:solidFill>
                  <a:effectLst/>
                  <a:latin typeface="+mn-lt"/>
                  <a:ea typeface="+mn-ea"/>
                  <a:cs typeface="+mn-cs"/>
                </a:rPr>
                <a:t>. Continuing with our example, if we use a constant discount rate of 2%, the discount factor from 2030 to 2021 is </a:t>
              </a:r>
              <a:r>
                <a:rPr lang="en-US" sz="1600" i="0" baseline="0">
                  <a:solidFill>
                    <a:schemeClr val="dk1"/>
                  </a:solidFill>
                  <a:effectLst/>
                  <a:latin typeface="Cambria Math" panose="02040503050406030204" pitchFamily="18" charset="0"/>
                  <a:ea typeface="+mn-ea"/>
                  <a:cs typeface="+mn-cs"/>
                </a:rPr>
                <a:t>𝛿 ̅</a:t>
              </a:r>
              <a:r>
                <a:rPr lang="en-US" sz="1600" b="0" i="0" baseline="0">
                  <a:solidFill>
                    <a:schemeClr val="dk1"/>
                  </a:solidFill>
                  <a:effectLst/>
                  <a:latin typeface="Cambria Math" panose="02040503050406030204" pitchFamily="18" charset="0"/>
                  <a:ea typeface="+mn-ea"/>
                  <a:cs typeface="+mn-cs"/>
                </a:rPr>
                <a:t>=(1/(1+2%))^((2030−2021))</a:t>
              </a:r>
              <a:r>
                <a:rPr lang="en-US" sz="1600">
                  <a:solidFill>
                    <a:schemeClr val="dk1"/>
                  </a:solidFill>
                  <a:effectLst/>
                  <a:latin typeface="+mn-lt"/>
                  <a:ea typeface="+mn-ea"/>
                  <a:cs typeface="+mn-cs"/>
                </a:rPr>
                <a:t> = 0.837. Therefore, $10.7 billion times 0.837 produces a present value</a:t>
              </a:r>
              <a:r>
                <a:rPr lang="en-US" sz="1600" baseline="0">
                  <a:solidFill>
                    <a:schemeClr val="dk1"/>
                  </a:solidFill>
                  <a:effectLst/>
                  <a:latin typeface="+mn-lt"/>
                  <a:ea typeface="+mn-ea"/>
                  <a:cs typeface="+mn-cs"/>
                </a:rPr>
                <a:t> (in 2021) of </a:t>
              </a:r>
              <a:r>
                <a:rPr lang="en-US" sz="1600">
                  <a:solidFill>
                    <a:schemeClr val="dk1"/>
                  </a:solidFill>
                  <a:effectLst/>
                  <a:latin typeface="+mn-lt"/>
                  <a:ea typeface="+mn-ea"/>
                  <a:cs typeface="+mn-cs"/>
                </a:rPr>
                <a:t>about $9 billion (in 2019 dollars)</a:t>
              </a:r>
              <a:r>
                <a:rPr lang="en-US" sz="1600" baseline="0">
                  <a:solidFill>
                    <a:schemeClr val="dk1"/>
                  </a:solidFill>
                  <a:effectLst/>
                  <a:latin typeface="+mn-lt"/>
                  <a:ea typeface="+mn-ea"/>
                  <a:cs typeface="+mn-cs"/>
                </a:rPr>
                <a:t> in benefits from the emissions reducutions in 2030.</a:t>
              </a:r>
              <a:endParaRPr lang="en-US" sz="1600">
                <a:solidFill>
                  <a:schemeClr val="dk1"/>
                </a:solidFill>
                <a:effectLst/>
                <a:latin typeface="+mn-lt"/>
                <a:ea typeface="+mn-ea"/>
                <a:cs typeface="+mn-cs"/>
              </a:endParaRPr>
            </a:p>
            <a:p>
              <a:endParaRPr lang="en-US" sz="160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The total present value of benefits from a policy action is the sum of the discounted, monetized values for each year the policy produces emission changes. For example, the Oil and Gas Rule predicts methane emission reductions from 2024 to 2038. The total present value of benefits for the Oil and Gas rule using a constant 2% discount rate was about $110 billion, calculated as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〖𝑝𝑣〗_0=∑2</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𝜏=2024</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)^2038</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〖(〖𝑝𝑣〗_(0,</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𝜏</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𝜏=2024</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)^2038</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(𝑥_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𝜏∙〖</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𝑑_</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Cambria Math" panose="02040503050406030204" pitchFamily="18" charset="0"/>
                  <a:cs typeface="+mn-cs"/>
                </a:rPr>
                <a:t>𝛾∙𝑠𝑐𝑔ℎ𝑔〗_𝜏∙𝛿 ̅_𝜏 )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a:t>
              </a:r>
              <a:r>
                <a:rPr kumimoji="0" lang="en-US" sz="1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prstClr val="black"/>
                </a:solidFill>
                <a:effectLst/>
                <a:uLnTx/>
                <a:uFillTx/>
                <a:latin typeface="+mn-lt"/>
                <a:ea typeface="+mn-ea"/>
                <a:cs typeface="+mn-cs"/>
              </a:endParaRPr>
            </a:p>
            <a:p>
              <a:r>
                <a:rPr lang="en-US" sz="1600">
                  <a:solidFill>
                    <a:schemeClr val="dk1"/>
                  </a:solidFill>
                  <a:effectLst/>
                  <a:latin typeface="+mn-lt"/>
                  <a:ea typeface="+mn-ea"/>
                  <a:cs typeface="+mn-cs"/>
                </a:rPr>
                <a:t>Sometimes</a:t>
              </a:r>
              <a:r>
                <a:rPr lang="en-US" sz="1600" baseline="0">
                  <a:solidFill>
                    <a:schemeClr val="dk1"/>
                  </a:solidFill>
                  <a:effectLst/>
                  <a:latin typeface="+mn-lt"/>
                  <a:ea typeface="+mn-ea"/>
                  <a:cs typeface="+mn-cs"/>
                </a:rPr>
                <a:t> it is useful to report the cost or benefits as annualized values. An annualized value is an illustrative cost or benefit which, if incurred over the same number of years as the length of the analysis, would produce the same net present value (NPV) as the original time-varying stream of undiscounted, monetized costs or benefits. If a constant discount rate is used, t</a:t>
              </a:r>
              <a:r>
                <a:rPr lang="en-US" sz="1600">
                  <a:effectLst/>
                  <a:latin typeface="+mn-lt"/>
                </a:rPr>
                <a:t>he annualized value can be obtained using Excel's PMT function or the annualized </a:t>
              </a:r>
              <a:r>
                <a:rPr lang="en-US" sz="1600" i="0">
                  <a:effectLst/>
                  <a:latin typeface="+mn-lt"/>
                </a:rPr>
                <a:t>cost formula </a:t>
              </a:r>
              <a:r>
                <a:rPr lang="en-US" sz="1600" i="0">
                  <a:effectLst/>
                  <a:latin typeface="GaramondPremrPro-It"/>
                  <a:ea typeface="Cambria" panose="02040503050406030204" pitchFamily="18" charset="0"/>
                  <a:cs typeface="GaramondPremrPro-It"/>
                </a:rPr>
                <a:t>when there is initial cost at t=0</a:t>
              </a:r>
              <a:r>
                <a:rPr lang="en-US" sz="1600" i="0">
                  <a:effectLst/>
                  <a:latin typeface="Cambria" panose="02040503050406030204" pitchFamily="18" charset="0"/>
                  <a:ea typeface="Cambria" panose="02040503050406030204" pitchFamily="18" charset="0"/>
                  <a:cs typeface="Arial" panose="020B0604020202020204" pitchFamily="34" charset="0"/>
                </a:rPr>
                <a:t> </a:t>
              </a:r>
              <a:r>
                <a:rPr lang="en-US" sz="1600" i="0">
                  <a:effectLst/>
                  <a:latin typeface="+mn-lt"/>
                </a:rPr>
                <a:t>in </a:t>
              </a:r>
              <a:r>
                <a:rPr lang="en-US" sz="1600" i="0" u="sng">
                  <a:solidFill>
                    <a:srgbClr val="0000FF"/>
                  </a:solidFill>
                  <a:effectLst/>
                  <a:latin typeface="+mn-lt"/>
                </a:rPr>
                <a:t>EPA's Guidel</a:t>
              </a:r>
              <a:r>
                <a:rPr lang="en-US" sz="1600" u="sng">
                  <a:solidFill>
                    <a:srgbClr val="0000FF"/>
                  </a:solidFill>
                  <a:effectLst/>
                  <a:latin typeface="+mn-lt"/>
                </a:rPr>
                <a:t>ines for Preparing Economic Analyses</a:t>
              </a:r>
              <a:r>
                <a:rPr lang="en-US" sz="1600">
                  <a:effectLst/>
                  <a:latin typeface="+mn-lt"/>
                </a:rPr>
                <a:t> (Chapter 6, page 6-3, equation (4)). The annualized value for 15 years (the same number of years as Oil</a:t>
              </a:r>
              <a:r>
                <a:rPr lang="en-US" sz="1600" baseline="0">
                  <a:effectLst/>
                  <a:latin typeface="+mn-lt"/>
                </a:rPr>
                <a:t> and Gas Rule, 2024-2038) and </a:t>
              </a:r>
              <a:r>
                <a:rPr lang="en-US" sz="1600">
                  <a:effectLst/>
                  <a:latin typeface="+mn-lt"/>
                </a:rPr>
                <a:t>a 2% discount rate reported in the Oil and Gas rule was $8.5 billion.</a:t>
              </a:r>
              <a:r>
                <a:rPr lang="en-US" sz="1600" baseline="30000">
                  <a:effectLst/>
                  <a:latin typeface="+mn-lt"/>
                </a:rPr>
                <a:t>1</a:t>
              </a:r>
            </a:p>
            <a:p>
              <a:endParaRPr lang="en-US" sz="1600">
                <a:effectLst/>
                <a:latin typeface="+mn-lt"/>
              </a:endParaRPr>
            </a:p>
            <a:p>
              <a:endParaRPr lang="en-US" sz="1600">
                <a:effectLst/>
                <a:latin typeface="+mn-lt"/>
              </a:endParaRPr>
            </a:p>
            <a:p>
              <a:r>
                <a:rPr lang="en-US" sz="1600" b="1" u="none">
                  <a:solidFill>
                    <a:schemeClr val="dk1"/>
                  </a:solidFill>
                  <a:effectLst/>
                  <a:latin typeface="+mn-lt"/>
                  <a:ea typeface="+mn-ea"/>
                  <a:cs typeface="+mn-cs"/>
                </a:rPr>
                <a:t>Selecting the Appropriate Discount Rate</a:t>
              </a:r>
            </a:p>
            <a:p>
              <a:endParaRPr lang="en-US" sz="1600">
                <a:solidFill>
                  <a:schemeClr val="dk1"/>
                </a:solidFill>
                <a:effectLst/>
                <a:latin typeface="+mn-lt"/>
                <a:ea typeface="+mn-ea"/>
                <a:cs typeface="+mn-cs"/>
              </a:endParaRPr>
            </a:p>
            <a:p>
              <a:r>
                <a:rPr kumimoji="0" lang="en-US" sz="1600" b="0" i="0" u="none" strike="noStrike" kern="0" cap="none" spc="0" normalizeH="0" baseline="0" noProof="0">
                  <a:ln>
                    <a:noFill/>
                  </a:ln>
                  <a:solidFill>
                    <a:prstClr val="black"/>
                  </a:solidFill>
                  <a:effectLst/>
                  <a:uLnTx/>
                  <a:uFillTx/>
                  <a:latin typeface="+mn-lt"/>
                  <a:ea typeface="+mn-ea"/>
                  <a:cs typeface="+mn-cs"/>
                </a:rPr>
                <a:t>The discounting approach underlying the EPA's SC-GHG estimates rely on the Ramsey (1928) discounting formula,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𝑟_𝑡=𝜌+𝜂𝑔_𝑡</a:t>
              </a:r>
              <a:r>
                <a:rPr kumimoji="0" lang="en-US" sz="1600" b="0" i="0" u="none" strike="noStrike" kern="0" cap="none" spc="0" normalizeH="0" baseline="0" noProof="0">
                  <a:ln>
                    <a:noFill/>
                  </a:ln>
                  <a:solidFill>
                    <a:prstClr val="black"/>
                  </a:solidFill>
                  <a:effectLst/>
                  <a:uLnTx/>
                  <a:uFillTx/>
                  <a:latin typeface="+mn-lt"/>
                  <a:ea typeface="+mn-ea"/>
                  <a:cs typeface="+mn-cs"/>
                </a:rPr>
                <a:t>, to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account for the relationship between economic growth and discounting. The socioeconomic assumptions used to develop the SC-GHG included </a:t>
              </a:r>
              <a:r>
                <a:rPr lang="en-US" sz="1600">
                  <a:effectLst/>
                  <a:latin typeface="Calibri" panose="020F0502020204030204" pitchFamily="34" charset="0"/>
                  <a:ea typeface="Calibri" panose="020F0502020204030204" pitchFamily="34" charset="0"/>
                  <a:cs typeface="Arial" panose="020B0604020202020204" pitchFamily="34" charset="0"/>
                </a:rPr>
                <a:t>probabilistic projections for population, income, and GHG emissions,</a:t>
              </a:r>
              <a:r>
                <a:rPr lang="en-US" sz="1600" baseline="0">
                  <a:effectLst/>
                  <a:latin typeface="Calibri" panose="020F0502020204030204" pitchFamily="34" charset="0"/>
                  <a:ea typeface="Calibri" panose="020F0502020204030204" pitchFamily="34" charset="0"/>
                  <a:cs typeface="Arial" panose="020B0604020202020204" pitchFamily="34" charset="0"/>
                </a:rPr>
                <a:t> which included probabilistic projections of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future consumption growth rates</a:t>
              </a:r>
              <a:r>
                <a:rPr lang="en-US" sz="1600">
                  <a:effectLst/>
                  <a:latin typeface="Calibri" panose="020F0502020204030204" pitchFamily="34" charset="0"/>
                  <a:ea typeface="Calibri" panose="020F0502020204030204" pitchFamily="34" charset="0"/>
                  <a:cs typeface="Arial" panose="020B0604020202020204" pitchFamily="34" charset="0"/>
                </a:rPr>
                <a:t>.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If there is uncertainty in future consumption growth,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𝑔_𝑡</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then </a:t>
              </a:r>
              <a:r>
                <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there is uncertainty over the discount rate over time. </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EPA</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incorporated this uncertainty using the Monte Carlo technique of taking draws from probability distributions of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𝑔_𝑡</a:t>
              </a:r>
              <a:r>
                <a:rPr kumimoji="0" lang="en-US"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Arial" panose="020B0604020202020204" pitchFamily="34" charset="0"/>
                </a:rPr>
                <a:t>, </a:t>
              </a:r>
              <a:r>
                <a:rPr kumimoji="0" lang="en-US" sz="1600" b="0" i="0" u="none" strike="noStrike" kern="0" cap="none" spc="0" normalizeH="0" baseline="0" noProof="0">
                  <a:ln>
                    <a:noFill/>
                  </a:ln>
                  <a:solidFill>
                    <a:schemeClr val="dk1"/>
                  </a:solidFill>
                  <a:effectLst/>
                  <a:uLnTx/>
                  <a:uFillTx/>
                  <a:latin typeface="Calibri" panose="020F0502020204030204" pitchFamily="34" charset="0"/>
                  <a:ea typeface="Calibri" panose="020F0502020204030204" pitchFamily="34" charset="0"/>
                  <a:cs typeface="Arial" panose="020B0604020202020204" pitchFamily="34" charset="0"/>
                </a:rPr>
                <a:t>making the </a:t>
              </a:r>
              <a:r>
                <a:rPr lang="en-US" sz="1600">
                  <a:effectLst/>
                  <a:latin typeface="Calibri" panose="020F0502020204030204" pitchFamily="34" charset="0"/>
                  <a:ea typeface="Calibri" panose="020F0502020204030204" pitchFamily="34" charset="0"/>
                  <a:cs typeface="Arial" panose="020B0604020202020204" pitchFamily="34" charset="0"/>
                </a:rPr>
                <a:t>Ramsey discount rate a dynamic parameter within the modeling framework. In developing the </a:t>
              </a:r>
              <a:r>
                <a:rPr lang="en-US" sz="1600" baseline="0">
                  <a:effectLst/>
                  <a:latin typeface="Calibri" panose="020F0502020204030204" pitchFamily="34" charset="0"/>
                  <a:ea typeface="Calibri" panose="020F0502020204030204" pitchFamily="34" charset="0"/>
                  <a:cs typeface="Arial" panose="020B0604020202020204" pitchFamily="34" charset="0"/>
                </a:rPr>
                <a:t>SC-GHG, </a:t>
              </a:r>
              <a:r>
                <a:rPr lang="en-US" sz="1600">
                  <a:solidFill>
                    <a:schemeClr val="dk1"/>
                  </a:solidFill>
                  <a:effectLst/>
                  <a:latin typeface="+mn-lt"/>
                  <a:ea typeface="+mn-ea"/>
                  <a:cs typeface="+mn-cs"/>
                </a:rPr>
                <a:t>each Monte Carlo scenario was discounted using calibrated </a:t>
              </a:r>
              <a:r>
                <a:rPr lang="en-US" sz="1600" i="0">
                  <a:solidFill>
                    <a:schemeClr val="dk1"/>
                  </a:solidFill>
                  <a:effectLst/>
                  <a:latin typeface="Cambria Math" panose="02040503050406030204" pitchFamily="18" charset="0"/>
                  <a:ea typeface="+mn-ea"/>
                  <a:cs typeface="+mn-cs"/>
                </a:rPr>
                <a:t>𝜌</a:t>
              </a:r>
              <a:r>
                <a:rPr lang="en-US" sz="1600">
                  <a:solidFill>
                    <a:schemeClr val="dk1"/>
                  </a:solidFill>
                  <a:effectLst/>
                  <a:latin typeface="+mn-lt"/>
                  <a:ea typeface="+mn-ea"/>
                  <a:cs typeface="+mn-cs"/>
                </a:rPr>
                <a:t> and </a:t>
              </a:r>
              <a:r>
                <a:rPr lang="en-US" sz="1600" i="0">
                  <a:solidFill>
                    <a:schemeClr val="dk1"/>
                  </a:solidFill>
                  <a:effectLst/>
                  <a:latin typeface="Cambria Math" panose="02040503050406030204" pitchFamily="18" charset="0"/>
                  <a:ea typeface="+mn-ea"/>
                  <a:cs typeface="+mn-cs"/>
                </a:rPr>
                <a:t>𝜂</a:t>
              </a:r>
              <a:r>
                <a:rPr lang="en-US" sz="1600">
                  <a:solidFill>
                    <a:schemeClr val="dk1"/>
                  </a:solidFill>
                  <a:effectLst/>
                  <a:latin typeface="+mn-lt"/>
                  <a:ea typeface="+mn-ea"/>
                  <a:cs typeface="+mn-cs"/>
                </a:rPr>
                <a:t> values and the specific consumption growth rate for that scenario. This uncertainty is summarized by the certainty-equivalent</a:t>
              </a:r>
              <a:r>
                <a:rPr lang="en-US" sz="1600" baseline="0">
                  <a:solidFill>
                    <a:schemeClr val="dk1"/>
                  </a:solidFill>
                  <a:effectLst/>
                  <a:latin typeface="+mn-lt"/>
                  <a:ea typeface="+mn-ea"/>
                  <a:cs typeface="+mn-cs"/>
                </a:rPr>
                <a:t> rate</a:t>
              </a:r>
              <a:r>
                <a:rPr kumimoji="0" lang="en-US" sz="1600" b="0" i="0" u="none" strike="noStrike" kern="0" cap="none" spc="0" normalizeH="0" baseline="0" noProof="0">
                  <a:ln>
                    <a:noFill/>
                  </a:ln>
                  <a:solidFill>
                    <a:prstClr val="black"/>
                  </a:solidFill>
                  <a:effectLst/>
                  <a:uLnTx/>
                  <a:uFillTx/>
                  <a:latin typeface="+mn-lt"/>
                  <a:ea typeface="+mn-ea"/>
                  <a:cs typeface="+mn-cs"/>
                </a:rPr>
                <a:t>,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(𝛿_𝜏 ) ̃</a:t>
              </a:r>
              <a:r>
                <a:rPr lang="en-US" sz="1600" baseline="0">
                  <a:solidFill>
                    <a:schemeClr val="dk1"/>
                  </a:solidFill>
                  <a:effectLst/>
                  <a:latin typeface="+mn-lt"/>
                  <a:ea typeface="+mn-ea"/>
                  <a:cs typeface="+mn-cs"/>
                </a:rPr>
                <a:t>, which is the </a:t>
              </a:r>
              <a:r>
                <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constant discount rate (specific to the particular damage year,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𝜏</a:t>
              </a:r>
              <a:r>
                <a:rPr kumimoji="0" lang="en-US" sz="1600" b="0" i="0" u="none" strike="noStrike" kern="0" cap="none" spc="0" normalizeH="0" baseline="0" noProof="0">
                  <a:ln>
                    <a:noFill/>
                  </a:ln>
                  <a:solidFill>
                    <a:prstClr val="black"/>
                  </a:solidFill>
                  <a:effectLst/>
                  <a:uLnTx/>
                  <a:uFillTx/>
                  <a:latin typeface="+mn-lt"/>
                  <a:ea typeface="+mn-ea"/>
                  <a:cs typeface="+mn-cs"/>
                </a:rPr>
                <a:t>)</a:t>
              </a:r>
              <a:r>
                <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rPr>
                <a:t> that yields the same result as the average of all of the uncertain outcomes across Monte Carlo trials.</a:t>
              </a:r>
            </a:p>
            <a:p>
              <a:endPar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r>
                <a:rPr kumimoji="0" lang="en-US" sz="1600" b="0" i="0" u="none" strike="noStrike" kern="0" cap="none" spc="0" normalizeH="0" baseline="0" noProof="0">
                  <a:ln>
                    <a:noFill/>
                  </a:ln>
                  <a:solidFill>
                    <a:prstClr val="black"/>
                  </a:solidFill>
                  <a:effectLst/>
                  <a:uLnTx/>
                  <a:uFillTx/>
                  <a:latin typeface="+mn-lt"/>
                  <a:ea typeface="+mn-ea"/>
                  <a:cs typeface="+mn-cs"/>
                </a:rPr>
                <a:t>The 𝜌 and 𝜂 parameters for the Ramsey equation were calibrated so that </a:t>
              </a:r>
            </a:p>
            <a:p>
              <a:endParaRPr kumimoji="0" lang="en-US" sz="1600" b="0" i="0" u="none" strike="noStrike" kern="0" cap="none" spc="0" normalizeH="0" baseline="0" noProof="0">
                <a:ln>
                  <a:noFill/>
                </a:ln>
                <a:solidFill>
                  <a:prstClr val="black"/>
                </a:solidFill>
                <a:effectLst/>
                <a:uLnTx/>
                <a:uFillTx/>
                <a:latin typeface="+mn-lt"/>
                <a:ea typeface="+mn-ea"/>
                <a:cs typeface="+mn-cs"/>
              </a:endParaRPr>
            </a:p>
            <a:p>
              <a:pPr lvl="1"/>
              <a:r>
                <a:rPr kumimoji="0" lang="en-US" sz="1600" b="0" i="0" u="none" strike="noStrike" kern="0" cap="none" spc="0" normalizeH="0" baseline="0" noProof="0">
                  <a:ln>
                    <a:noFill/>
                  </a:ln>
                  <a:solidFill>
                    <a:prstClr val="black"/>
                  </a:solidFill>
                  <a:effectLst/>
                  <a:uLnTx/>
                  <a:uFillTx/>
                  <a:latin typeface="+mn-lt"/>
                  <a:ea typeface="+mn-ea"/>
                  <a:cs typeface="+mn-cs"/>
                </a:rPr>
                <a:t>(1) the decline in the certainty-equivalent discount rate matches the latest empirical evidence on interest rate uncertainty estimated by Bauer and Rudebusch (2020, 2023), and </a:t>
              </a:r>
            </a:p>
            <a:p>
              <a:pPr lvl="1"/>
              <a:endParaRPr kumimoji="0" lang="en-US" sz="1600" b="0" i="0" u="none" strike="noStrike" kern="0" cap="none" spc="0" normalizeH="0" baseline="0" noProof="0">
                <a:ln>
                  <a:noFill/>
                </a:ln>
                <a:solidFill>
                  <a:prstClr val="black"/>
                </a:solidFill>
                <a:effectLst/>
                <a:uLnTx/>
                <a:uFillTx/>
                <a:latin typeface="+mn-lt"/>
                <a:ea typeface="+mn-ea"/>
                <a:cs typeface="+mn-cs"/>
              </a:endParaRPr>
            </a:p>
            <a:p>
              <a:pPr lvl="1"/>
              <a:r>
                <a:rPr kumimoji="0" lang="en-US" sz="1600" b="0" i="0" u="none" strike="noStrike" kern="0" cap="none" spc="0" normalizeH="0" baseline="0" noProof="0">
                  <a:ln>
                    <a:noFill/>
                  </a:ln>
                  <a:solidFill>
                    <a:prstClr val="black"/>
                  </a:solidFill>
                  <a:effectLst/>
                  <a:uLnTx/>
                  <a:uFillTx/>
                  <a:latin typeface="+mn-lt"/>
                  <a:ea typeface="+mn-ea"/>
                  <a:cs typeface="+mn-cs"/>
                </a:rPr>
                <a:t>(2) the average of the certainty-equivalent discount rate over the first decade matches a near-term consumption rate of interest. Uncertainty in this starting rate is addressed by using three near-term target rates (1.5%, 2.0%, and 2.5%) based on multiple lines of evidence on observed real market interest rates. </a:t>
              </a:r>
              <a:endPar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endParaRPr kumimoji="0" lang="en-GB" sz="1600" b="0" i="0" u="none" strike="noStrike" kern="0" cap="none" spc="0" normalizeH="0" baseline="0" noProof="0">
                <a:ln>
                  <a:noFill/>
                </a:ln>
                <a:solidFill>
                  <a:prstClr val="black"/>
                </a:solidFill>
                <a:effectLst/>
                <a:uLnTx/>
                <a:uFillTx/>
                <a:latin typeface="Calibri" panose="020F0502020204030204" pitchFamily="34" charset="0"/>
                <a:ea typeface="Calibri" panose="020F0502020204030204" pitchFamily="34" charset="0"/>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The correct discount factor to use when discounting the SC-GHG estimates is the certainty-equivalent discount factor,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(𝛿_𝜏 ) ̃</a:t>
              </a:r>
              <a:r>
                <a:rPr kumimoji="0" lang="en-US" sz="1600" b="0" i="0" u="none" strike="noStrike" kern="0" cap="none" spc="0" normalizeH="0" baseline="0" noProof="0">
                  <a:ln>
                    <a:noFill/>
                  </a:ln>
                  <a:solidFill>
                    <a:prstClr val="black"/>
                  </a:solidFill>
                  <a:effectLst/>
                  <a:uLnTx/>
                  <a:uFillTx/>
                  <a:latin typeface="+mn-lt"/>
                  <a:ea typeface="+mn-ea"/>
                  <a:cs typeface="+mn-cs"/>
                </a:rPr>
                <a:t>. This is because the SC-GHG estimates are certainty-equivalent values that account for the uncertainty in future consumption per capita, and the certainty-equivalent discount factor incorporates this uncertainty. Discounting the SC-GHG estimates using a constant discount rate equal to the near-term target rate would not capture the uncertainty in consumption per capita for that year. </a:t>
              </a:r>
            </a:p>
            <a:p>
              <a:pPr marL="0" marR="0" lvl="0" indent="0" defTabSz="914400" eaLnBrk="1" fontAlgn="auto" latinLnBrk="0" hangingPunct="1">
                <a:lnSpc>
                  <a:spcPct val="100000"/>
                </a:lnSpc>
                <a:spcBef>
                  <a:spcPts val="0"/>
                </a:spcBef>
                <a:spcAft>
                  <a:spcPts val="0"/>
                </a:spcAft>
                <a:buClrTx/>
                <a:buSzTx/>
                <a:buFontTx/>
                <a:buNone/>
                <a:tabLst/>
                <a:defRPr/>
              </a:pPr>
              <a:endParaRPr kumimoji="0" lang="en-US" sz="1600" b="0" i="0" u="none" strike="noStrike" kern="0" cap="none" spc="0" normalizeH="0" baseline="0" noProof="0">
                <a:ln>
                  <a:noFill/>
                </a:ln>
                <a:solidFill>
                  <a:prstClr val="black"/>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While applying the certainty-equivalent discount factor would ensure a full accounting of scenario uncertainty, this process introduces substantial complexity in the calculations, which may not be warranted in all situations. For analyses with moderate time frames (e.g., 30 years or less), the difference between discounting from the year of emissions to the year of analysis using a constant discount rate equal to the near-term target rate, and discounting using the certainty-equivalent discount factor, </a:t>
              </a:r>
              <a:r>
                <a:rPr kumimoji="0" lang="en-US" sz="1600" b="0" i="0" u="none" strike="noStrike" kern="0" cap="none" spc="0" normalizeH="0" baseline="0" noProof="0">
                  <a:ln>
                    <a:noFill/>
                  </a:ln>
                  <a:solidFill>
                    <a:prstClr val="black"/>
                  </a:solidFill>
                  <a:effectLst/>
                  <a:uLnTx/>
                  <a:uFillTx/>
                  <a:latin typeface="Cambria Math" panose="02040503050406030204" pitchFamily="18" charset="0"/>
                  <a:ea typeface="+mn-ea"/>
                  <a:cs typeface="+mn-cs"/>
                </a:rPr>
                <a:t>(𝛿_𝜏 ) ̃</a:t>
              </a:r>
              <a:r>
                <a:rPr kumimoji="0" lang="en-US" sz="1600" b="0" i="0" u="none" strike="noStrike" kern="0" cap="none" spc="0" normalizeH="0" baseline="0" noProof="0">
                  <a:ln>
                    <a:noFill/>
                  </a:ln>
                  <a:solidFill>
                    <a:prstClr val="black"/>
                  </a:solidFill>
                  <a:effectLst/>
                  <a:uLnTx/>
                  <a:uFillTx/>
                  <a:latin typeface="+mn-lt"/>
                  <a:ea typeface="+mn-ea"/>
                  <a:cs typeface="+mn-cs"/>
                </a:rPr>
                <a:t> will be small (</a:t>
              </a:r>
              <a:r>
                <a:rPr kumimoji="0" lang="en-US" sz="1600" b="0" i="0" u="sng" strike="noStrike" kern="0" cap="none" spc="0" normalizeH="0" baseline="0" noProof="0">
                  <a:ln>
                    <a:noFill/>
                  </a:ln>
                  <a:solidFill>
                    <a:srgbClr val="0000FF"/>
                  </a:solidFill>
                  <a:effectLst/>
                  <a:uLnTx/>
                  <a:uFillTx/>
                  <a:latin typeface="+mn-lt"/>
                  <a:ea typeface="+mn-ea"/>
                  <a:cs typeface="+mn-cs"/>
                </a:rPr>
                <a:t>EPA 2023</a:t>
              </a:r>
              <a:r>
                <a:rPr kumimoji="0" lang="en-US" sz="1600" b="0" i="0" u="none" strike="noStrike" kern="0" cap="none" spc="0" normalizeH="0" baseline="0" noProof="0">
                  <a:ln>
                    <a:noFill/>
                  </a:ln>
                  <a:solidFill>
                    <a:prstClr val="black"/>
                  </a:solidFill>
                  <a:effectLst/>
                  <a:uLnTx/>
                  <a:uFillTx/>
                  <a:latin typeface="+mn-lt"/>
                  <a:ea typeface="+mn-ea"/>
                  <a:cs typeface="+mn-cs"/>
                </a:rPr>
                <a:t>, page 150, Figure A.3.1.). For example, if the present value year is 2024, using the near-term target rate to discount back from the year of emissions instead of the certainty-equivalent discount factor will underestimate the present value of emission reductions by less than 1% for the first ten years of future emissions.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 </a:t>
              </a:r>
            </a:p>
            <a:p>
              <a:pPr marL="0" marR="0" lvl="0" indent="0" defTabSz="914400" eaLnBrk="1" fontAlgn="auto" latinLnBrk="0" hangingPunct="1">
                <a:lnSpc>
                  <a:spcPct val="100000"/>
                </a:lnSpc>
                <a:spcBef>
                  <a:spcPts val="0"/>
                </a:spcBef>
                <a:spcAft>
                  <a:spcPts val="0"/>
                </a:spcAft>
                <a:buClrTx/>
                <a:buSzTx/>
                <a:buFontTx/>
                <a:buNone/>
                <a:tabLst/>
                <a:defRPr/>
              </a:pPr>
              <a:r>
                <a:rPr kumimoji="0" lang="en-US" sz="1600" b="0" i="0" u="none" strike="noStrike" kern="0" cap="none" spc="0" normalizeH="0" baseline="0" noProof="0">
                  <a:ln>
                    <a:noFill/>
                  </a:ln>
                  <a:solidFill>
                    <a:prstClr val="black"/>
                  </a:solidFill>
                  <a:effectLst/>
                  <a:uLnTx/>
                  <a:uFillTx/>
                  <a:latin typeface="+mn-lt"/>
                  <a:ea typeface="+mn-ea"/>
                  <a:cs typeface="+mn-cs"/>
                </a:rPr>
                <a:t>Therefore, for most analyses, constant discounting using the near-term target rate provides a close approximation of the present value from a policy action. </a:t>
              </a:r>
              <a:r>
                <a:rPr lang="en-US" sz="1600" b="0" i="0" baseline="0">
                  <a:solidFill>
                    <a:schemeClr val="dk1"/>
                  </a:solidFill>
                  <a:effectLst/>
                  <a:latin typeface="+mn-lt"/>
                  <a:ea typeface="+mn-ea"/>
                  <a:cs typeface="+mn-cs"/>
                </a:rPr>
                <a:t>This is what is provided in the constant rate tab in this workbook. For policies with estimated emissions changes occuring over a longer time frame</a:t>
              </a:r>
              <a:r>
                <a:rPr kumimoji="0" lang="en-US" sz="1600" b="0" i="0" u="none" strike="noStrike" kern="0" cap="none" spc="0" normalizeH="0" baseline="0" noProof="0">
                  <a:ln>
                    <a:noFill/>
                  </a:ln>
                  <a:solidFill>
                    <a:prstClr val="black"/>
                  </a:solidFill>
                  <a:effectLst/>
                  <a:uLnTx/>
                  <a:uFillTx/>
                  <a:latin typeface="+mn-lt"/>
                  <a:ea typeface="+mn-ea"/>
                  <a:cs typeface="+mn-cs"/>
                </a:rPr>
                <a:t>, analysts may consider using the certainty-equivalent discount rates developed using the Ramsey discount rate schedule. We recommend analysts contact NCEE for assistance in these situations. </a:t>
              </a:r>
            </a:p>
            <a:p>
              <a:r>
                <a:rPr lang="en-US" sz="1600" i="1">
                  <a:solidFill>
                    <a:schemeClr val="dk1"/>
                  </a:solidFill>
                  <a:effectLst/>
                  <a:latin typeface="+mn-lt"/>
                  <a:ea typeface="+mn-ea"/>
                  <a:cs typeface="+mn-cs"/>
                </a:rPr>
                <a:t> </a:t>
              </a:r>
            </a:p>
            <a:p>
              <a:r>
                <a:rPr lang="en-US" sz="1100" baseline="30000">
                  <a:solidFill>
                    <a:schemeClr val="dk1"/>
                  </a:solidFill>
                  <a:effectLst/>
                  <a:latin typeface="+mn-lt"/>
                  <a:ea typeface="+mn-ea"/>
                  <a:cs typeface="+mn-cs"/>
                </a:rPr>
                <a:t>1</a:t>
              </a:r>
              <a:r>
                <a:rPr lang="en-US" sz="1100">
                  <a:solidFill>
                    <a:schemeClr val="dk1"/>
                  </a:solidFill>
                  <a:effectLst/>
                  <a:latin typeface="+mn-lt"/>
                  <a:ea typeface="+mn-ea"/>
                  <a:cs typeface="+mn-cs"/>
                </a:rPr>
                <a:t> The annualized value for a constant discount rate can be obtained using Excel's PMT function or the annualized cost formula when there is initial cost at t=0 in EPA's </a:t>
              </a:r>
              <a:r>
                <a:rPr lang="en-US" sz="1100" i="1">
                  <a:solidFill>
                    <a:schemeClr val="dk1"/>
                  </a:solidFill>
                  <a:effectLst/>
                  <a:latin typeface="+mn-lt"/>
                  <a:ea typeface="+mn-ea"/>
                  <a:cs typeface="+mn-cs"/>
                </a:rPr>
                <a:t>Guidelines for Preparing Economic Analyses</a:t>
              </a:r>
              <a:r>
                <a:rPr lang="en-US" sz="1100">
                  <a:solidFill>
                    <a:schemeClr val="dk1"/>
                  </a:solidFill>
                  <a:effectLst/>
                  <a:latin typeface="+mn-lt"/>
                  <a:ea typeface="+mn-ea"/>
                  <a:cs typeface="+mn-cs"/>
                </a:rPr>
                <a:t>. By convention, annualization is done for the same number of periods </a:t>
              </a:r>
              <a:r>
                <a:rPr lang="en-US" sz="1100" b="0" i="0" baseline="0">
                  <a:solidFill>
                    <a:schemeClr val="dk1"/>
                  </a:solidFill>
                  <a:effectLst/>
                  <a:latin typeface="+mn-lt"/>
                  <a:ea typeface="+mn-ea"/>
                  <a:cs typeface="+mn-cs"/>
                </a:rPr>
                <a:t>as the length of the analysis, but the </a:t>
              </a:r>
              <a:r>
                <a:rPr lang="en-US" sz="1100">
                  <a:solidFill>
                    <a:schemeClr val="dk1"/>
                  </a:solidFill>
                  <a:effectLst/>
                  <a:latin typeface="+mn-lt"/>
                  <a:ea typeface="+mn-ea"/>
                  <a:cs typeface="+mn-cs"/>
                </a:rPr>
                <a:t>default approach of Excel's PMT function assumes that </a:t>
              </a:r>
              <a:r>
                <a:rPr lang="en-US" sz="1100" i="1" u="sng">
                  <a:solidFill>
                    <a:schemeClr val="dk1"/>
                  </a:solidFill>
                  <a:effectLst/>
                  <a:latin typeface="+mn-lt"/>
                  <a:ea typeface="+mn-ea"/>
                  <a:cs typeface="+mn-cs"/>
                </a:rPr>
                <a:t>the annualized value begins in the first year after the present value year</a:t>
              </a:r>
              <a:r>
                <a:rPr lang="en-US" sz="1100">
                  <a:solidFill>
                    <a:schemeClr val="dk1"/>
                  </a:solidFill>
                  <a:effectLst/>
                  <a:latin typeface="+mn-lt"/>
                  <a:ea typeface="+mn-ea"/>
                  <a:cs typeface="+mn-cs"/>
                </a:rPr>
                <a:t>. In the illustrative example for the Oil and Gas Rule, the analysis period is 2024-2038</a:t>
              </a:r>
              <a:r>
                <a:rPr lang="en-US" sz="1100" baseline="0">
                  <a:solidFill>
                    <a:schemeClr val="dk1"/>
                  </a:solidFill>
                  <a:effectLst/>
                  <a:latin typeface="+mn-lt"/>
                  <a:ea typeface="+mn-ea"/>
                  <a:cs typeface="+mn-cs"/>
                </a:rPr>
                <a:t> (15 years)</a:t>
              </a:r>
              <a:r>
                <a:rPr lang="en-US" sz="1100">
                  <a:solidFill>
                    <a:schemeClr val="dk1"/>
                  </a:solidFill>
                  <a:effectLst/>
                  <a:latin typeface="+mn-lt"/>
                  <a:ea typeface="+mn-ea"/>
                  <a:cs typeface="+mn-cs"/>
                </a:rPr>
                <a:t>, but the annualized value implicitly assumes  a period of 2022-2036 (also 15 years). So, the annualized value for the rule, calculated</a:t>
              </a:r>
              <a:r>
                <a:rPr lang="en-US" sz="1100" baseline="0">
                  <a:solidFill>
                    <a:schemeClr val="dk1"/>
                  </a:solidFill>
                  <a:effectLst/>
                  <a:latin typeface="+mn-lt"/>
                  <a:ea typeface="+mn-ea"/>
                  <a:cs typeface="+mn-cs"/>
                </a:rPr>
                <a:t> by the PMT function and reported in the RIA, </a:t>
              </a:r>
              <a:r>
                <a:rPr lang="en-US" sz="1100">
                  <a:solidFill>
                    <a:schemeClr val="dk1"/>
                  </a:solidFill>
                  <a:effectLst/>
                  <a:latin typeface="+mn-lt"/>
                  <a:ea typeface="+mn-ea"/>
                  <a:cs typeface="+mn-cs"/>
                </a:rPr>
                <a:t>is $8.5</a:t>
              </a:r>
              <a:r>
                <a:rPr lang="en-US" sz="1100" baseline="0">
                  <a:solidFill>
                    <a:schemeClr val="dk1"/>
                  </a:solidFill>
                  <a:effectLst/>
                  <a:latin typeface="+mn-lt"/>
                  <a:ea typeface="+mn-ea"/>
                  <a:cs typeface="+mn-cs"/>
                </a:rPr>
                <a:t> billion. (To see, enter "=PMT(2%,15,110)"in Excel. It will produce a value of about $8.5 billion.) </a:t>
              </a:r>
              <a:r>
                <a:rPr lang="en-US" sz="1100">
                  <a:solidFill>
                    <a:schemeClr val="dk1"/>
                  </a:solidFill>
                  <a:effectLst/>
                  <a:latin typeface="+mn-lt"/>
                  <a:ea typeface="+mn-ea"/>
                  <a:cs typeface="+mn-cs"/>
                </a:rPr>
                <a:t>This means</a:t>
              </a:r>
              <a:r>
                <a:rPr lang="en-US" sz="1100" baseline="0">
                  <a:solidFill>
                    <a:schemeClr val="dk1"/>
                  </a:solidFill>
                  <a:effectLst/>
                  <a:latin typeface="+mn-lt"/>
                  <a:ea typeface="+mn-ea"/>
                  <a:cs typeface="+mn-cs"/>
                </a:rPr>
                <a:t> that </a:t>
              </a:r>
              <a:r>
                <a:rPr lang="en-US" sz="1100" b="0" i="0" baseline="0">
                  <a:solidFill>
                    <a:schemeClr val="dk1"/>
                  </a:solidFill>
                  <a:effectLst/>
                  <a:latin typeface="+mn-lt"/>
                  <a:ea typeface="+mn-ea"/>
                  <a:cs typeface="+mn-cs"/>
                </a:rPr>
                <a:t>$8.5 billion per year from 2022-2036, </a:t>
              </a:r>
              <a:r>
                <a:rPr lang="en-US" sz="1100">
                  <a:solidFill>
                    <a:schemeClr val="dk1"/>
                  </a:solidFill>
                  <a:effectLst/>
                  <a:latin typeface="+mn-lt"/>
                  <a:ea typeface="+mn-ea"/>
                  <a:cs typeface="+mn-cs"/>
                </a:rPr>
                <a:t>discounted at 2, produces the same present value of $110 billion as the actual stream of monetized benefits for the period 2024-2038, discounted</a:t>
              </a:r>
              <a:r>
                <a:rPr lang="en-US" sz="1100" baseline="0">
                  <a:solidFill>
                    <a:schemeClr val="dk1"/>
                  </a:solidFill>
                  <a:effectLst/>
                  <a:latin typeface="+mn-lt"/>
                  <a:ea typeface="+mn-ea"/>
                  <a:cs typeface="+mn-cs"/>
                </a:rPr>
                <a:t> at 2%</a:t>
              </a:r>
              <a:r>
                <a:rPr lang="en-US" sz="1100">
                  <a:solidFill>
                    <a:schemeClr val="dk1"/>
                  </a:solidFill>
                  <a:effectLst/>
                  <a:latin typeface="+mn-lt"/>
                  <a:ea typeface="+mn-ea"/>
                  <a:cs typeface="+mn-cs"/>
                </a:rPr>
                <a:t>.</a:t>
              </a:r>
              <a:endParaRPr lang="en-US" sz="1600">
                <a:solidFill>
                  <a:schemeClr val="dk1"/>
                </a:solidFill>
                <a:effectLst/>
                <a:latin typeface="+mn-lt"/>
                <a:ea typeface="+mn-ea"/>
                <a:cs typeface="+mn-cs"/>
              </a:endParaRPr>
            </a:p>
            <a:p>
              <a:br>
                <a:rPr lang="en-US" sz="1600" i="1">
                  <a:solidFill>
                    <a:schemeClr val="dk1"/>
                  </a:solidFill>
                  <a:effectLst/>
                  <a:latin typeface="+mn-lt"/>
                  <a:ea typeface="+mn-ea"/>
                  <a:cs typeface="+mn-cs"/>
                </a:rPr>
              </a:br>
              <a:r>
                <a:rPr lang="en-US" sz="1600" i="1">
                  <a:solidFill>
                    <a:schemeClr val="dk1"/>
                  </a:solidFill>
                  <a:effectLst/>
                  <a:latin typeface="+mn-lt"/>
                  <a:ea typeface="+mn-ea"/>
                  <a:cs typeface="+mn-cs"/>
                </a:rPr>
                <a:t> </a:t>
              </a:r>
            </a:p>
            <a:p>
              <a:endParaRPr lang="en-US" sz="1600"/>
            </a:p>
          </xdr:txBody>
        </xdr:sp>
      </mc:Fallback>
    </mc:AlternateContent>
    <xdr:clientData/>
  </xdr:twoCellAnchor>
  <xdr:twoCellAnchor editAs="oneCell">
    <xdr:from>
      <xdr:col>2</xdr:col>
      <xdr:colOff>120651</xdr:colOff>
      <xdr:row>27</xdr:row>
      <xdr:rowOff>2400</xdr:rowOff>
    </xdr:from>
    <xdr:to>
      <xdr:col>16</xdr:col>
      <xdr:colOff>275329</xdr:colOff>
      <xdr:row>49</xdr:row>
      <xdr:rowOff>55678</xdr:rowOff>
    </xdr:to>
    <xdr:pic>
      <xdr:nvPicPr>
        <xdr:cNvPr id="4" name="Picture 4">
          <a:extLst>
            <a:ext uri="{FF2B5EF4-FFF2-40B4-BE49-F238E27FC236}">
              <a16:creationId xmlns:a16="http://schemas.microsoft.com/office/drawing/2014/main" id="{D4DDA5B2-E460-42F8-8382-493502AB948A}"/>
            </a:ext>
          </a:extLst>
        </xdr:cNvPr>
        <xdr:cNvPicPr>
          <a:picLocks noChangeAspect="1"/>
        </xdr:cNvPicPr>
      </xdr:nvPicPr>
      <xdr:blipFill>
        <a:blip xmlns:r="http://schemas.openxmlformats.org/officeDocument/2006/relationships" r:embed="rId1"/>
        <a:stretch>
          <a:fillRect/>
        </a:stretch>
      </xdr:blipFill>
      <xdr:spPr>
        <a:xfrm>
          <a:off x="1339851" y="4888725"/>
          <a:ext cx="8689078" cy="4034728"/>
        </a:xfrm>
        <a:prstGeom prst="rect">
          <a:avLst/>
        </a:prstGeom>
      </xdr:spPr>
    </xdr:pic>
    <xdr:clientData/>
  </xdr:twoCellAnchor>
  <xdr:twoCellAnchor>
    <xdr:from>
      <xdr:col>12</xdr:col>
      <xdr:colOff>348063</xdr:colOff>
      <xdr:row>17</xdr:row>
      <xdr:rowOff>99060</xdr:rowOff>
    </xdr:from>
    <xdr:to>
      <xdr:col>19</xdr:col>
      <xdr:colOff>521970</xdr:colOff>
      <xdr:row>18</xdr:row>
      <xdr:rowOff>91440</xdr:rowOff>
    </xdr:to>
    <xdr:sp macro="" textlink="">
      <xdr:nvSpPr>
        <xdr:cNvPr id="5" name="TextBox 4">
          <a:hlinkClick xmlns:r="http://schemas.openxmlformats.org/officeDocument/2006/relationships" r:id="rId2"/>
          <a:extLst>
            <a:ext uri="{FF2B5EF4-FFF2-40B4-BE49-F238E27FC236}">
              <a16:creationId xmlns:a16="http://schemas.microsoft.com/office/drawing/2014/main" id="{80C9FCEB-20B4-4F01-96DE-3A753810249C}"/>
            </a:ext>
          </a:extLst>
        </xdr:cNvPr>
        <xdr:cNvSpPr txBox="1"/>
      </xdr:nvSpPr>
      <xdr:spPr>
        <a:xfrm>
          <a:off x="8029023" y="3208020"/>
          <a:ext cx="4654467" cy="17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5</xdr:col>
      <xdr:colOff>377191</xdr:colOff>
      <xdr:row>123</xdr:row>
      <xdr:rowOff>114300</xdr:rowOff>
    </xdr:from>
    <xdr:to>
      <xdr:col>12</xdr:col>
      <xdr:colOff>45720</xdr:colOff>
      <xdr:row>124</xdr:row>
      <xdr:rowOff>91440</xdr:rowOff>
    </xdr:to>
    <xdr:sp macro="" textlink="">
      <xdr:nvSpPr>
        <xdr:cNvPr id="2" name="TextBox 1">
          <a:hlinkClick xmlns:r="http://schemas.openxmlformats.org/officeDocument/2006/relationships" r:id="rId3"/>
          <a:extLst>
            <a:ext uri="{FF2B5EF4-FFF2-40B4-BE49-F238E27FC236}">
              <a16:creationId xmlns:a16="http://schemas.microsoft.com/office/drawing/2014/main" id="{3A7E22E9-BFAA-4D5B-8ECE-881C82B377AA}"/>
            </a:ext>
          </a:extLst>
        </xdr:cNvPr>
        <xdr:cNvSpPr txBox="1"/>
      </xdr:nvSpPr>
      <xdr:spPr>
        <a:xfrm>
          <a:off x="3577591" y="22608540"/>
          <a:ext cx="4149089" cy="1600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10</xdr:col>
      <xdr:colOff>586741</xdr:colOff>
      <xdr:row>170</xdr:row>
      <xdr:rowOff>0</xdr:rowOff>
    </xdr:from>
    <xdr:to>
      <xdr:col>12</xdr:col>
      <xdr:colOff>144781</xdr:colOff>
      <xdr:row>170</xdr:row>
      <xdr:rowOff>144780</xdr:rowOff>
    </xdr:to>
    <xdr:sp macro="" textlink="">
      <xdr:nvSpPr>
        <xdr:cNvPr id="6" name="TextBox 5">
          <a:hlinkClick xmlns:r="http://schemas.openxmlformats.org/officeDocument/2006/relationships" r:id="rId4"/>
          <a:extLst>
            <a:ext uri="{FF2B5EF4-FFF2-40B4-BE49-F238E27FC236}">
              <a16:creationId xmlns:a16="http://schemas.microsoft.com/office/drawing/2014/main" id="{85DAE7CF-8369-4290-A49B-E14CF8FB407D}"/>
            </a:ext>
          </a:extLst>
        </xdr:cNvPr>
        <xdr:cNvSpPr txBox="1"/>
      </xdr:nvSpPr>
      <xdr:spPr>
        <a:xfrm>
          <a:off x="6682741" y="31089600"/>
          <a:ext cx="777240" cy="1447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twoCellAnchor>
    <xdr:from>
      <xdr:col>1</xdr:col>
      <xdr:colOff>91440</xdr:colOff>
      <xdr:row>15</xdr:row>
      <xdr:rowOff>175261</xdr:rowOff>
    </xdr:from>
    <xdr:to>
      <xdr:col>14</xdr:col>
      <xdr:colOff>11430</xdr:colOff>
      <xdr:row>17</xdr:row>
      <xdr:rowOff>3811</xdr:rowOff>
    </xdr:to>
    <xdr:sp macro="" textlink="">
      <xdr:nvSpPr>
        <xdr:cNvPr id="3" name="TextBox 2">
          <a:hlinkClick xmlns:r="http://schemas.openxmlformats.org/officeDocument/2006/relationships" r:id="rId4"/>
          <a:extLst>
            <a:ext uri="{FF2B5EF4-FFF2-40B4-BE49-F238E27FC236}">
              <a16:creationId xmlns:a16="http://schemas.microsoft.com/office/drawing/2014/main" id="{A9F38CC4-AB8E-45B1-A2E9-75839C680714}"/>
            </a:ext>
          </a:extLst>
        </xdr:cNvPr>
        <xdr:cNvSpPr txBox="1"/>
      </xdr:nvSpPr>
      <xdr:spPr>
        <a:xfrm>
          <a:off x="731520" y="2918461"/>
          <a:ext cx="8241030" cy="1943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600076</xdr:colOff>
      <xdr:row>41</xdr:row>
      <xdr:rowOff>171451</xdr:rowOff>
    </xdr:from>
    <xdr:to>
      <xdr:col>13</xdr:col>
      <xdr:colOff>1306831</xdr:colOff>
      <xdr:row>47</xdr:row>
      <xdr:rowOff>57151</xdr:rowOff>
    </xdr:to>
    <xdr:sp macro="" textlink="">
      <xdr:nvSpPr>
        <xdr:cNvPr id="3" name="TextBox 1">
          <a:extLst>
            <a:ext uri="{FF2B5EF4-FFF2-40B4-BE49-F238E27FC236}">
              <a16:creationId xmlns:a16="http://schemas.microsoft.com/office/drawing/2014/main" id="{68243D66-982C-794E-BFD7-99898FD784C4}"/>
            </a:ext>
          </a:extLst>
        </xdr:cNvPr>
        <xdr:cNvSpPr txBox="1"/>
      </xdr:nvSpPr>
      <xdr:spPr>
        <a:xfrm>
          <a:off x="8686801" y="8448676"/>
          <a:ext cx="5154930"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en-US" sz="1100" baseline="30000"/>
            <a:t>1</a:t>
          </a:r>
          <a:r>
            <a:rPr lang="en-US" sz="1100"/>
            <a:t> </a:t>
          </a:r>
          <a:r>
            <a:rPr lang="en-US" sz="1100">
              <a:solidFill>
                <a:schemeClr val="dk1"/>
              </a:solidFill>
              <a:effectLst/>
              <a:latin typeface="+mn-lt"/>
              <a:ea typeface="+mn-ea"/>
              <a:cs typeface="+mn-cs"/>
            </a:rPr>
            <a:t>The results in this Example were calculated based on the SC-CH4 values deflated to 2019 dollars using the GDP implicit price deflator presented in the Data tab (rows 139-142, Data tab). The GDP Implicit Price deflator is regularly revised and updated by the Federal Reserve.  Hence, the results shown in this Example tab may not match the climate benefits presented in Table 3-4 of the Final Oil and Gas Rule RIA.</a:t>
          </a: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baseline="0"/>
        </a:p>
        <a:p>
          <a:pPr marL="0" marR="0" lvl="0" indent="0" defTabSz="914400" eaLnBrk="1" fontAlgn="auto" latinLnBrk="0" hangingPunct="1">
            <a:lnSpc>
              <a:spcPct val="100000"/>
            </a:lnSpc>
            <a:spcBef>
              <a:spcPts val="0"/>
            </a:spcBef>
            <a:spcAft>
              <a:spcPts val="0"/>
            </a:spcAft>
            <a:buClrTx/>
            <a:buSzTx/>
            <a:buFontTx/>
            <a:buNone/>
            <a:tabLst/>
            <a:defRPr/>
          </a:pPr>
          <a:endParaRPr lang="en-US" sz="1100"/>
        </a:p>
        <a:p>
          <a:endParaRPr lang="en-US" sz="1100"/>
        </a:p>
        <a:p>
          <a:endParaRPr lang="en-US" sz="1100"/>
        </a:p>
      </xdr:txBody>
    </xdr:sp>
    <xdr:clientData/>
  </xdr:twoCellAnchor>
  <xdr:twoCellAnchor>
    <xdr:from>
      <xdr:col>20</xdr:col>
      <xdr:colOff>0</xdr:colOff>
      <xdr:row>41</xdr:row>
      <xdr:rowOff>171449</xdr:rowOff>
    </xdr:from>
    <xdr:to>
      <xdr:col>23</xdr:col>
      <xdr:colOff>1343025</xdr:colOff>
      <xdr:row>51</xdr:row>
      <xdr:rowOff>161924</xdr:rowOff>
    </xdr:to>
    <xdr:sp macro="" textlink="">
      <xdr:nvSpPr>
        <xdr:cNvPr id="4" name="TextBox 5">
          <a:extLst>
            <a:ext uri="{FF2B5EF4-FFF2-40B4-BE49-F238E27FC236}">
              <a16:creationId xmlns:a16="http://schemas.microsoft.com/office/drawing/2014/main" id="{CEE1C0A9-2756-2FE4-D3ED-4B2C1E63178D}"/>
            </a:ext>
          </a:extLst>
        </xdr:cNvPr>
        <xdr:cNvSpPr txBox="1"/>
      </xdr:nvSpPr>
      <xdr:spPr>
        <a:xfrm>
          <a:off x="20031075" y="8448674"/>
          <a:ext cx="6791325" cy="18002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aseline="30000"/>
            <a:t>2</a:t>
          </a:r>
          <a:r>
            <a:rPr lang="en-US" sz="1100"/>
            <a:t> </a:t>
          </a:r>
          <a:r>
            <a:rPr lang="en-US" sz="1100">
              <a:solidFill>
                <a:schemeClr val="dk1"/>
              </a:solidFill>
              <a:effectLst/>
              <a:latin typeface="+mn-lt"/>
              <a:ea typeface="+mn-ea"/>
              <a:cs typeface="+mn-cs"/>
            </a:rPr>
            <a:t>The annualized value is the dollar amount which, if incurred every year over an assumed number of periods, would produce the same present value as the original undiscounted stream of monetized values. The annualized value can be obtained using Excel's PMT function or the annualized cost formula in EPA's Guidelines for Preparing Economic Analyses. By convention, annualization is done for the same number of periods as the original study period. The default approach of the PMT function (and implicit in the formula in EPA's guidelines document) assumes that the annualized value begins in the first year after the present value year. In this example, the study period is 15 years. So, the annualized value of $8,479.61 discounted at 2% for 15 years over the period 2022-2036 (reported in Step 5 above), produces the same present value of $108,956.78 as the actual stream of monetized benefits (reported in Step 3) for the period 2024-2038.</a:t>
          </a:r>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Griffiths, Charles" id="{21533275-37D4-4A73-B996-6D24B942AC2E}" userId="S::Griffiths.Charles@epa.gov::d6197d96-e0db-43c9-b395-f3bdae7d976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4-01-05T14:01:22.74" personId="{21533275-37D4-4A73-B996-6D24B942AC2E}" id="{DD1BA288-ADDB-4F88-8566-20247977E78A}">
    <text>This is a modified example for illustration purposes only. The actual calculations for the Oil and Gas rule were done in a more detailed workbook developed by OAQPS.</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6.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D2EED-B2C7-4BDC-872D-F30B2C232E01}">
  <dimension ref="A1"/>
  <sheetViews>
    <sheetView showGridLines="0" showRowColHeaders="0" tabSelected="1" zoomScaleNormal="100" workbookViewId="0"/>
  </sheetViews>
  <sheetFormatPr defaultRowHeight="14.4" x14ac:dyDescent="0.55000000000000004"/>
  <sheetData/>
  <sheetProtection sheet="1" objects="1" scenarios="1"/>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C1F888-2EA7-4615-BF86-EECA1A5257F3}">
  <dimension ref="A1"/>
  <sheetViews>
    <sheetView showGridLines="0" showRowColHeaders="0" zoomScaleNormal="100" workbookViewId="0"/>
  </sheetViews>
  <sheetFormatPr defaultRowHeight="14.4" x14ac:dyDescent="0.55000000000000004"/>
  <sheetData>
    <row r="1" spans="1:1" x14ac:dyDescent="0.55000000000000004">
      <c r="A1" t="s">
        <v>101</v>
      </c>
    </row>
  </sheetData>
  <sheetProtection sheet="1" objects="1" scenarios="1"/>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500525-6D28-4A1A-94A2-FAB31935FE41}">
  <sheetPr>
    <tabColor rgb="FFFFFF00"/>
  </sheetPr>
  <dimension ref="A1:C11"/>
  <sheetViews>
    <sheetView zoomScaleNormal="100" workbookViewId="0"/>
  </sheetViews>
  <sheetFormatPr defaultRowHeight="14.4" x14ac:dyDescent="0.55000000000000004"/>
  <cols>
    <col min="1" max="1" width="150.62890625" customWidth="1"/>
  </cols>
  <sheetData>
    <row r="1" spans="1:3" ht="18.3" x14ac:dyDescent="0.7">
      <c r="A1" s="12" t="s">
        <v>72</v>
      </c>
    </row>
    <row r="3" spans="1:3" ht="91.5" x14ac:dyDescent="0.7">
      <c r="A3" s="87" t="s">
        <v>77</v>
      </c>
    </row>
    <row r="4" spans="1:3" ht="18.3" x14ac:dyDescent="0.7">
      <c r="A4" s="88"/>
    </row>
    <row r="5" spans="1:3" ht="261" x14ac:dyDescent="0.55000000000000004">
      <c r="A5" s="91" t="s">
        <v>105</v>
      </c>
      <c r="C5" s="185"/>
    </row>
    <row r="6" spans="1:3" ht="148.80000000000001" x14ac:dyDescent="0.7">
      <c r="A6" s="89" t="s">
        <v>106</v>
      </c>
    </row>
    <row r="7" spans="1:3" ht="109.8" x14ac:dyDescent="0.55000000000000004">
      <c r="A7" s="90" t="s">
        <v>82</v>
      </c>
    </row>
    <row r="8" spans="1:3" ht="148.80000000000001" x14ac:dyDescent="0.55000000000000004">
      <c r="A8" s="91" t="s">
        <v>102</v>
      </c>
    </row>
    <row r="9" spans="1:3" ht="130.5" x14ac:dyDescent="0.55000000000000004">
      <c r="A9" s="91" t="s">
        <v>103</v>
      </c>
    </row>
    <row r="10" spans="1:3" ht="153.6" x14ac:dyDescent="0.55000000000000004">
      <c r="A10" s="90" t="s">
        <v>104</v>
      </c>
    </row>
    <row r="11" spans="1:3" ht="21.7" customHeight="1" x14ac:dyDescent="0.7">
      <c r="A11" s="88"/>
    </row>
  </sheetData>
  <sheetProtection sheet="1" objects="1" scenarios="1"/>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6822A7-A12E-4340-BD85-DC901989F1EB}">
  <sheetPr>
    <tabColor rgb="FF0070C0"/>
  </sheetPr>
  <dimension ref="A1:AA145"/>
  <sheetViews>
    <sheetView workbookViewId="0">
      <pane ySplit="1" topLeftCell="A2" activePane="bottomLeft" state="frozen"/>
      <selection pane="bottomLeft" activeCell="A2" sqref="A2"/>
    </sheetView>
  </sheetViews>
  <sheetFormatPr defaultColWidth="8.89453125" defaultRowHeight="14.4" x14ac:dyDescent="0.55000000000000004"/>
  <cols>
    <col min="1" max="1" width="14.62890625" style="125" customWidth="1"/>
    <col min="2" max="4" width="16.62890625" style="125" customWidth="1"/>
    <col min="5" max="5" width="15.62890625" style="125" customWidth="1"/>
    <col min="6" max="6" width="14.62890625" style="125" customWidth="1"/>
    <col min="7" max="15" width="19.62890625" style="125" customWidth="1"/>
    <col min="16" max="25" width="8.89453125" style="125"/>
    <col min="26" max="26" width="9.3671875" style="125" customWidth="1"/>
    <col min="27" max="40" width="8.89453125" style="125"/>
    <col min="41" max="41" width="8.47265625" style="125" customWidth="1"/>
    <col min="42" max="42" width="9.3671875" style="125" customWidth="1"/>
    <col min="43" max="16384" width="8.89453125" style="125"/>
  </cols>
  <sheetData>
    <row r="1" spans="1:27" ht="18.600000000000001" thickBot="1" x14ac:dyDescent="0.75">
      <c r="A1" s="178" t="s">
        <v>69</v>
      </c>
      <c r="B1" s="179"/>
      <c r="C1" s="179"/>
      <c r="D1" s="179"/>
      <c r="E1" s="180"/>
      <c r="F1" s="181"/>
      <c r="G1" s="181"/>
      <c r="H1" s="181"/>
      <c r="I1" s="181"/>
      <c r="J1" s="181"/>
      <c r="K1" s="181"/>
      <c r="L1" s="181"/>
    </row>
    <row r="2" spans="1:27" ht="14.7" thickBot="1" x14ac:dyDescent="0.6">
      <c r="B2" s="255" t="s">
        <v>0</v>
      </c>
      <c r="C2" s="256"/>
      <c r="D2" s="121">
        <v>2024</v>
      </c>
      <c r="E2" s="177"/>
      <c r="F2" s="182"/>
      <c r="G2" s="182"/>
      <c r="H2" s="182"/>
      <c r="I2" s="182"/>
      <c r="J2" s="182"/>
      <c r="K2" s="182"/>
      <c r="L2" s="181"/>
    </row>
    <row r="3" spans="1:27" ht="14.7" thickBot="1" x14ac:dyDescent="0.6">
      <c r="B3" s="257" t="s">
        <v>1</v>
      </c>
      <c r="C3" s="258"/>
      <c r="D3" s="122">
        <v>2020</v>
      </c>
      <c r="E3" s="177"/>
      <c r="F3" s="181"/>
      <c r="G3" s="181"/>
      <c r="H3" s="181"/>
      <c r="I3" s="181"/>
      <c r="J3" s="181"/>
      <c r="K3" s="181"/>
      <c r="L3" s="181"/>
    </row>
    <row r="4" spans="1:27" ht="14.7" thickBot="1" x14ac:dyDescent="0.6">
      <c r="E4" s="157"/>
      <c r="G4" s="259" t="str">
        <f>_xlfn.CONCAT("Undiscounted, Monetized Value of Emission Changes, deflated to ",$D$3," dollars")</f>
        <v>Undiscounted, Monetized Value of Emission Changes, deflated to 2020 dollars</v>
      </c>
      <c r="H4" s="260"/>
      <c r="I4" s="260"/>
      <c r="J4" s="260"/>
      <c r="K4" s="260"/>
      <c r="L4" s="260"/>
      <c r="M4" s="260"/>
      <c r="N4" s="260"/>
      <c r="O4" s="261"/>
    </row>
    <row r="5" spans="1:27" ht="30" customHeight="1" thickBot="1" x14ac:dyDescent="0.6">
      <c r="B5" s="265" t="s">
        <v>57</v>
      </c>
      <c r="C5" s="266"/>
      <c r="D5" s="267"/>
      <c r="E5" s="184" t="s">
        <v>71</v>
      </c>
      <c r="G5" s="262" t="str">
        <f>_xlfn.CONCAT("Undiscounted, Monetized Value of CO2 Emissions Changes",CHAR(10)," (millions, ",$D$3,"$)")</f>
        <v>Undiscounted, Monetized Value of CO2 Emissions Changes
 (millions, 2020$)</v>
      </c>
      <c r="H5" s="263"/>
      <c r="I5" s="264"/>
      <c r="J5" s="262" t="str">
        <f>_xlfn.CONCAT("Undiscounted, Monetized Value of CH4 Emissions Changes",CHAR(10)," (millions, ",$D$3,"$)")</f>
        <v>Undiscounted, Monetized Value of CH4 Emissions Changes
 (millions, 2020$)</v>
      </c>
      <c r="K5" s="263"/>
      <c r="L5" s="264"/>
      <c r="M5" s="262" t="str">
        <f>_xlfn.CONCAT("Undiscounted, Monetized Value of N2O Emissions Changes",CHAR(10)," (millions, ",$D$3,"$)")</f>
        <v>Undiscounted, Monetized Value of N2O Emissions Changes
 (millions, 2020$)</v>
      </c>
      <c r="N5" s="263"/>
      <c r="O5" s="264"/>
      <c r="AA5" s="158"/>
    </row>
    <row r="6" spans="1:27" ht="14.7" thickBot="1" x14ac:dyDescent="0.6">
      <c r="B6" s="159"/>
      <c r="C6" s="160"/>
      <c r="D6" s="161"/>
      <c r="E6" s="184" t="str">
        <f>_xlfn.CONCAT(MAX(COUNTA(Data!B9:B69),COUNTA(Data!C9:C69),COUNTA(Data!D9:D69))," years")</f>
        <v>0 years</v>
      </c>
      <c r="G6" s="167" t="s">
        <v>6</v>
      </c>
      <c r="H6" s="168" t="s">
        <v>6</v>
      </c>
      <c r="I6" s="169" t="s">
        <v>6</v>
      </c>
      <c r="J6" s="170" t="s">
        <v>7</v>
      </c>
      <c r="K6" s="168" t="s">
        <v>7</v>
      </c>
      <c r="L6" s="171" t="s">
        <v>7</v>
      </c>
      <c r="M6" s="167" t="s">
        <v>8</v>
      </c>
      <c r="N6" s="168" t="s">
        <v>8</v>
      </c>
      <c r="O6" s="169" t="s">
        <v>8</v>
      </c>
      <c r="AA6" s="126"/>
    </row>
    <row r="7" spans="1:27" s="172" customFormat="1" ht="15" customHeight="1" thickBot="1" x14ac:dyDescent="0.6">
      <c r="A7" s="162"/>
      <c r="B7" s="163" t="s">
        <v>6</v>
      </c>
      <c r="C7" s="164" t="s">
        <v>7</v>
      </c>
      <c r="D7" s="165" t="s">
        <v>8</v>
      </c>
      <c r="E7" s="268" t="s">
        <v>70</v>
      </c>
      <c r="F7" s="166"/>
      <c r="G7" s="252" t="s">
        <v>86</v>
      </c>
      <c r="H7" s="253"/>
      <c r="I7" s="254"/>
      <c r="J7" s="252" t="s">
        <v>86</v>
      </c>
      <c r="K7" s="253"/>
      <c r="L7" s="254"/>
      <c r="M7" s="252" t="s">
        <v>86</v>
      </c>
      <c r="N7" s="253"/>
      <c r="O7" s="254"/>
      <c r="AA7" s="173"/>
    </row>
    <row r="8" spans="1:27" ht="14.7" thickBot="1" x14ac:dyDescent="0.6">
      <c r="A8" s="174" t="s">
        <v>9</v>
      </c>
      <c r="B8" s="175"/>
      <c r="C8" s="175"/>
      <c r="D8" s="175"/>
      <c r="E8" s="268"/>
      <c r="F8" s="183" t="s">
        <v>9</v>
      </c>
      <c r="G8" s="225">
        <v>2.5000000000000001E-2</v>
      </c>
      <c r="H8" s="226">
        <v>0.02</v>
      </c>
      <c r="I8" s="227">
        <v>1.4999999999999999E-2</v>
      </c>
      <c r="J8" s="225">
        <v>2.5000000000000001E-2</v>
      </c>
      <c r="K8" s="226">
        <v>0.02</v>
      </c>
      <c r="L8" s="227">
        <v>1.4999999999999999E-2</v>
      </c>
      <c r="M8" s="225">
        <v>2.5000000000000001E-2</v>
      </c>
      <c r="N8" s="226">
        <v>0.02</v>
      </c>
      <c r="O8" s="227">
        <v>1.4999999999999999E-2</v>
      </c>
      <c r="AA8" s="176"/>
    </row>
    <row r="9" spans="1:27" x14ac:dyDescent="0.55000000000000004">
      <c r="A9" s="155">
        <v>2020</v>
      </c>
      <c r="B9" s="240"/>
      <c r="C9" s="240"/>
      <c r="D9" s="240"/>
      <c r="E9" s="239" t="str">
        <f>IF(AND(ISBLANK(B9),ISBLANK(C9),ISBLANK(D9)),"",CHAR(252))</f>
        <v/>
      </c>
      <c r="F9" s="155">
        <v>2020</v>
      </c>
      <c r="G9" s="145" t="str">
        <f t="shared" ref="G9:G40" si="0">IF(ISBLANK(B9), "", (($B9*(HLOOKUP($D$3,$C$140:$O$141,2)/$L$141)*B75)/1000000))</f>
        <v/>
      </c>
      <c r="H9" s="146" t="str">
        <f t="shared" ref="H9:H40" si="1">IF(ISBLANK(B9),"",($B9*(HLOOKUP($D$3,$C$140:$O$141,2)/$L$141)*C75)/1000000)</f>
        <v/>
      </c>
      <c r="I9" s="147" t="str">
        <f t="shared" ref="I9:I40" si="2">IF(ISBLANK(B9),"", ($B9*(HLOOKUP($D$3,$C$140:$O$141,2)/$L$141)*D75)/1000000)</f>
        <v/>
      </c>
      <c r="J9" s="145" t="str">
        <f t="shared" ref="J9:J40" si="3">IF(ISBLANK(C9),"", ($C9*(HLOOKUP($D$3,$C$140:$O$141,2)/$L$141)*E75)/1000000)</f>
        <v/>
      </c>
      <c r="K9" s="146" t="str">
        <f t="shared" ref="K9:K40" si="4">IF(ISBLANK(C9),"",($C9*(HLOOKUP($D$3,$C$140:$O$141,2)/$L$141)*F75)/1000000)</f>
        <v/>
      </c>
      <c r="L9" s="147" t="str">
        <f t="shared" ref="L9:L40" si="5">IF(ISBLANK(C9),"",($C9*(HLOOKUP($D$3,$C$140:$O$141,2)/$L$141)*G75)/1000000)</f>
        <v/>
      </c>
      <c r="M9" s="145" t="str">
        <f t="shared" ref="M9:M40" si="6">IF(ISBLANK(D9),"",($D9*(HLOOKUP($D$3,$C$140:$O$141,2)/$L$141)*H75)/1000000)</f>
        <v/>
      </c>
      <c r="N9" s="146" t="str">
        <f t="shared" ref="N9:N40" si="7">IF(ISBLANK(D9),"",($D9*(HLOOKUP($D$3,$C$140:$O$141,2)/$L$141)*I75)/1000000)</f>
        <v/>
      </c>
      <c r="O9" s="147" t="str">
        <f t="shared" ref="O9:O40" si="8">IF(ISBLANK(D9),"",($D9*(HLOOKUP($D$3,$C$140:$O$141,2)/$L$141)*J75)/1000000)</f>
        <v/>
      </c>
      <c r="AA9" s="126"/>
    </row>
    <row r="10" spans="1:27" x14ac:dyDescent="0.55000000000000004">
      <c r="A10" s="144">
        <v>2021</v>
      </c>
      <c r="B10" s="240"/>
      <c r="C10" s="240"/>
      <c r="D10" s="240"/>
      <c r="E10" s="239" t="str">
        <f t="shared" ref="E10:E69" si="9">IF(AND(ISBLANK(B10),ISBLANK(C10),ISBLANK(D10)),"",CHAR(252))</f>
        <v/>
      </c>
      <c r="F10" s="144">
        <v>2021</v>
      </c>
      <c r="G10" s="145" t="str">
        <f t="shared" si="0"/>
        <v/>
      </c>
      <c r="H10" s="146" t="str">
        <f t="shared" si="1"/>
        <v/>
      </c>
      <c r="I10" s="147" t="str">
        <f t="shared" si="2"/>
        <v/>
      </c>
      <c r="J10" s="148" t="str">
        <f t="shared" si="3"/>
        <v/>
      </c>
      <c r="K10" s="149" t="str">
        <f t="shared" si="4"/>
        <v/>
      </c>
      <c r="L10" s="150" t="str">
        <f t="shared" si="5"/>
        <v/>
      </c>
      <c r="M10" s="148" t="str">
        <f t="shared" si="6"/>
        <v/>
      </c>
      <c r="N10" s="149" t="str">
        <f t="shared" si="7"/>
        <v/>
      </c>
      <c r="O10" s="150" t="str">
        <f t="shared" si="8"/>
        <v/>
      </c>
      <c r="AA10" s="126"/>
    </row>
    <row r="11" spans="1:27" x14ac:dyDescent="0.55000000000000004">
      <c r="A11" s="144">
        <v>2022</v>
      </c>
      <c r="B11" s="240"/>
      <c r="C11" s="240"/>
      <c r="D11" s="240"/>
      <c r="E11" s="239" t="str">
        <f t="shared" si="9"/>
        <v/>
      </c>
      <c r="F11" s="144">
        <v>2022</v>
      </c>
      <c r="G11" s="145" t="str">
        <f t="shared" si="0"/>
        <v/>
      </c>
      <c r="H11" s="146" t="str">
        <f t="shared" si="1"/>
        <v/>
      </c>
      <c r="I11" s="147" t="str">
        <f t="shared" si="2"/>
        <v/>
      </c>
      <c r="J11" s="148" t="str">
        <f t="shared" si="3"/>
        <v/>
      </c>
      <c r="K11" s="149" t="str">
        <f t="shared" si="4"/>
        <v/>
      </c>
      <c r="L11" s="150" t="str">
        <f t="shared" si="5"/>
        <v/>
      </c>
      <c r="M11" s="148" t="str">
        <f t="shared" si="6"/>
        <v/>
      </c>
      <c r="N11" s="149" t="str">
        <f t="shared" si="7"/>
        <v/>
      </c>
      <c r="O11" s="150" t="str">
        <f t="shared" si="8"/>
        <v/>
      </c>
      <c r="AA11" s="126"/>
    </row>
    <row r="12" spans="1:27" x14ac:dyDescent="0.55000000000000004">
      <c r="A12" s="144">
        <v>2023</v>
      </c>
      <c r="B12" s="240"/>
      <c r="C12" s="240"/>
      <c r="D12" s="240"/>
      <c r="E12" s="239" t="str">
        <f t="shared" si="9"/>
        <v/>
      </c>
      <c r="F12" s="144">
        <v>2023</v>
      </c>
      <c r="G12" s="145" t="str">
        <f t="shared" si="0"/>
        <v/>
      </c>
      <c r="H12" s="146" t="str">
        <f t="shared" si="1"/>
        <v/>
      </c>
      <c r="I12" s="147" t="str">
        <f t="shared" si="2"/>
        <v/>
      </c>
      <c r="J12" s="148" t="str">
        <f t="shared" si="3"/>
        <v/>
      </c>
      <c r="K12" s="149" t="str">
        <f t="shared" si="4"/>
        <v/>
      </c>
      <c r="L12" s="150" t="str">
        <f t="shared" si="5"/>
        <v/>
      </c>
      <c r="M12" s="148" t="str">
        <f t="shared" si="6"/>
        <v/>
      </c>
      <c r="N12" s="149" t="str">
        <f t="shared" si="7"/>
        <v/>
      </c>
      <c r="O12" s="150" t="str">
        <f t="shared" si="8"/>
        <v/>
      </c>
      <c r="AA12" s="126"/>
    </row>
    <row r="13" spans="1:27" x14ac:dyDescent="0.55000000000000004">
      <c r="A13" s="144">
        <v>2024</v>
      </c>
      <c r="B13" s="240"/>
      <c r="C13" s="240"/>
      <c r="D13" s="240"/>
      <c r="E13" s="239" t="str">
        <f t="shared" si="9"/>
        <v/>
      </c>
      <c r="F13" s="156">
        <v>2024</v>
      </c>
      <c r="G13" s="145" t="str">
        <f t="shared" si="0"/>
        <v/>
      </c>
      <c r="H13" s="146" t="str">
        <f t="shared" si="1"/>
        <v/>
      </c>
      <c r="I13" s="147" t="str">
        <f t="shared" si="2"/>
        <v/>
      </c>
      <c r="J13" s="148" t="str">
        <f t="shared" si="3"/>
        <v/>
      </c>
      <c r="K13" s="149" t="str">
        <f t="shared" si="4"/>
        <v/>
      </c>
      <c r="L13" s="150" t="str">
        <f t="shared" si="5"/>
        <v/>
      </c>
      <c r="M13" s="148" t="str">
        <f t="shared" si="6"/>
        <v/>
      </c>
      <c r="N13" s="149" t="str">
        <f t="shared" si="7"/>
        <v/>
      </c>
      <c r="O13" s="150" t="str">
        <f t="shared" si="8"/>
        <v/>
      </c>
      <c r="AA13" s="126"/>
    </row>
    <row r="14" spans="1:27" x14ac:dyDescent="0.55000000000000004">
      <c r="A14" s="144">
        <v>2025</v>
      </c>
      <c r="B14" s="240"/>
      <c r="C14" s="240"/>
      <c r="D14" s="240"/>
      <c r="E14" s="239" t="str">
        <f t="shared" si="9"/>
        <v/>
      </c>
      <c r="F14" s="156">
        <v>2025</v>
      </c>
      <c r="G14" s="145" t="str">
        <f t="shared" si="0"/>
        <v/>
      </c>
      <c r="H14" s="146" t="str">
        <f t="shared" si="1"/>
        <v/>
      </c>
      <c r="I14" s="147" t="str">
        <f t="shared" si="2"/>
        <v/>
      </c>
      <c r="J14" s="148" t="str">
        <f t="shared" si="3"/>
        <v/>
      </c>
      <c r="K14" s="149" t="str">
        <f t="shared" si="4"/>
        <v/>
      </c>
      <c r="L14" s="150" t="str">
        <f t="shared" si="5"/>
        <v/>
      </c>
      <c r="M14" s="148" t="str">
        <f t="shared" si="6"/>
        <v/>
      </c>
      <c r="N14" s="149" t="str">
        <f t="shared" si="7"/>
        <v/>
      </c>
      <c r="O14" s="150" t="str">
        <f t="shared" si="8"/>
        <v/>
      </c>
      <c r="AA14" s="126"/>
    </row>
    <row r="15" spans="1:27" x14ac:dyDescent="0.55000000000000004">
      <c r="A15" s="144">
        <v>2026</v>
      </c>
      <c r="B15" s="240"/>
      <c r="C15" s="240"/>
      <c r="D15" s="240"/>
      <c r="E15" s="239" t="str">
        <f t="shared" si="9"/>
        <v/>
      </c>
      <c r="F15" s="156">
        <v>2026</v>
      </c>
      <c r="G15" s="145" t="str">
        <f t="shared" si="0"/>
        <v/>
      </c>
      <c r="H15" s="146" t="str">
        <f t="shared" si="1"/>
        <v/>
      </c>
      <c r="I15" s="147" t="str">
        <f t="shared" si="2"/>
        <v/>
      </c>
      <c r="J15" s="148" t="str">
        <f t="shared" si="3"/>
        <v/>
      </c>
      <c r="K15" s="149" t="str">
        <f t="shared" si="4"/>
        <v/>
      </c>
      <c r="L15" s="150" t="str">
        <f t="shared" si="5"/>
        <v/>
      </c>
      <c r="M15" s="148" t="str">
        <f t="shared" si="6"/>
        <v/>
      </c>
      <c r="N15" s="149" t="str">
        <f t="shared" si="7"/>
        <v/>
      </c>
      <c r="O15" s="150" t="str">
        <f t="shared" si="8"/>
        <v/>
      </c>
      <c r="AA15" s="126"/>
    </row>
    <row r="16" spans="1:27" x14ac:dyDescent="0.55000000000000004">
      <c r="A16" s="144">
        <v>2027</v>
      </c>
      <c r="B16" s="240"/>
      <c r="C16" s="240"/>
      <c r="D16" s="240"/>
      <c r="E16" s="239" t="str">
        <f t="shared" si="9"/>
        <v/>
      </c>
      <c r="F16" s="156">
        <v>2027</v>
      </c>
      <c r="G16" s="145" t="str">
        <f t="shared" si="0"/>
        <v/>
      </c>
      <c r="H16" s="146" t="str">
        <f t="shared" si="1"/>
        <v/>
      </c>
      <c r="I16" s="147" t="str">
        <f t="shared" si="2"/>
        <v/>
      </c>
      <c r="J16" s="148" t="str">
        <f t="shared" si="3"/>
        <v/>
      </c>
      <c r="K16" s="149" t="str">
        <f t="shared" si="4"/>
        <v/>
      </c>
      <c r="L16" s="150" t="str">
        <f t="shared" si="5"/>
        <v/>
      </c>
      <c r="M16" s="148" t="str">
        <f t="shared" si="6"/>
        <v/>
      </c>
      <c r="N16" s="149" t="str">
        <f t="shared" si="7"/>
        <v/>
      </c>
      <c r="O16" s="150" t="str">
        <f t="shared" si="8"/>
        <v/>
      </c>
      <c r="AA16" s="126"/>
    </row>
    <row r="17" spans="1:27" x14ac:dyDescent="0.55000000000000004">
      <c r="A17" s="144">
        <v>2028</v>
      </c>
      <c r="B17" s="240"/>
      <c r="C17" s="240"/>
      <c r="D17" s="240"/>
      <c r="E17" s="239" t="str">
        <f t="shared" si="9"/>
        <v/>
      </c>
      <c r="F17" s="156">
        <v>2028</v>
      </c>
      <c r="G17" s="145" t="str">
        <f t="shared" si="0"/>
        <v/>
      </c>
      <c r="H17" s="146" t="str">
        <f t="shared" si="1"/>
        <v/>
      </c>
      <c r="I17" s="147" t="str">
        <f t="shared" si="2"/>
        <v/>
      </c>
      <c r="J17" s="148" t="str">
        <f t="shared" si="3"/>
        <v/>
      </c>
      <c r="K17" s="149" t="str">
        <f t="shared" si="4"/>
        <v/>
      </c>
      <c r="L17" s="150" t="str">
        <f t="shared" si="5"/>
        <v/>
      </c>
      <c r="M17" s="148" t="str">
        <f t="shared" si="6"/>
        <v/>
      </c>
      <c r="N17" s="149" t="str">
        <f t="shared" si="7"/>
        <v/>
      </c>
      <c r="O17" s="150" t="str">
        <f t="shared" si="8"/>
        <v/>
      </c>
      <c r="AA17" s="126"/>
    </row>
    <row r="18" spans="1:27" x14ac:dyDescent="0.55000000000000004">
      <c r="A18" s="144">
        <v>2029</v>
      </c>
      <c r="B18" s="240"/>
      <c r="C18" s="240"/>
      <c r="D18" s="240"/>
      <c r="E18" s="239" t="str">
        <f t="shared" si="9"/>
        <v/>
      </c>
      <c r="F18" s="156">
        <v>2029</v>
      </c>
      <c r="G18" s="145" t="str">
        <f t="shared" si="0"/>
        <v/>
      </c>
      <c r="H18" s="146" t="str">
        <f t="shared" si="1"/>
        <v/>
      </c>
      <c r="I18" s="147" t="str">
        <f t="shared" si="2"/>
        <v/>
      </c>
      <c r="J18" s="148" t="str">
        <f>IF(ISBLANK(C18),"", ($C18*(HLOOKUP($D$3,$C$140:$O$141,2)/$L$141)*E84)/1000000)</f>
        <v/>
      </c>
      <c r="K18" s="149" t="str">
        <f t="shared" si="4"/>
        <v/>
      </c>
      <c r="L18" s="150" t="str">
        <f t="shared" si="5"/>
        <v/>
      </c>
      <c r="M18" s="148" t="str">
        <f t="shared" si="6"/>
        <v/>
      </c>
      <c r="N18" s="149" t="str">
        <f t="shared" si="7"/>
        <v/>
      </c>
      <c r="O18" s="150" t="str">
        <f t="shared" si="8"/>
        <v/>
      </c>
      <c r="AA18" s="126"/>
    </row>
    <row r="19" spans="1:27" x14ac:dyDescent="0.55000000000000004">
      <c r="A19" s="144">
        <v>2030</v>
      </c>
      <c r="B19" s="240"/>
      <c r="C19" s="240"/>
      <c r="D19" s="240"/>
      <c r="E19" s="239" t="str">
        <f t="shared" si="9"/>
        <v/>
      </c>
      <c r="F19" s="156">
        <v>2030</v>
      </c>
      <c r="G19" s="145" t="str">
        <f t="shared" si="0"/>
        <v/>
      </c>
      <c r="H19" s="146" t="str">
        <f t="shared" si="1"/>
        <v/>
      </c>
      <c r="I19" s="147" t="str">
        <f t="shared" si="2"/>
        <v/>
      </c>
      <c r="J19" s="148" t="str">
        <f t="shared" si="3"/>
        <v/>
      </c>
      <c r="K19" s="149" t="str">
        <f t="shared" si="4"/>
        <v/>
      </c>
      <c r="L19" s="150" t="str">
        <f t="shared" si="5"/>
        <v/>
      </c>
      <c r="M19" s="148" t="str">
        <f t="shared" si="6"/>
        <v/>
      </c>
      <c r="N19" s="149" t="str">
        <f t="shared" si="7"/>
        <v/>
      </c>
      <c r="O19" s="150" t="str">
        <f t="shared" si="8"/>
        <v/>
      </c>
      <c r="AA19" s="126"/>
    </row>
    <row r="20" spans="1:27" x14ac:dyDescent="0.55000000000000004">
      <c r="A20" s="144">
        <v>2031</v>
      </c>
      <c r="B20" s="240"/>
      <c r="C20" s="240"/>
      <c r="D20" s="240"/>
      <c r="E20" s="239" t="str">
        <f t="shared" si="9"/>
        <v/>
      </c>
      <c r="F20" s="156">
        <v>2031</v>
      </c>
      <c r="G20" s="145" t="str">
        <f t="shared" si="0"/>
        <v/>
      </c>
      <c r="H20" s="146" t="str">
        <f t="shared" si="1"/>
        <v/>
      </c>
      <c r="I20" s="147" t="str">
        <f t="shared" si="2"/>
        <v/>
      </c>
      <c r="J20" s="148" t="str">
        <f t="shared" si="3"/>
        <v/>
      </c>
      <c r="K20" s="149" t="str">
        <f t="shared" si="4"/>
        <v/>
      </c>
      <c r="L20" s="150" t="str">
        <f t="shared" si="5"/>
        <v/>
      </c>
      <c r="M20" s="148" t="str">
        <f t="shared" si="6"/>
        <v/>
      </c>
      <c r="N20" s="149" t="str">
        <f t="shared" si="7"/>
        <v/>
      </c>
      <c r="O20" s="150" t="str">
        <f t="shared" si="8"/>
        <v/>
      </c>
      <c r="AA20" s="126"/>
    </row>
    <row r="21" spans="1:27" x14ac:dyDescent="0.55000000000000004">
      <c r="A21" s="144">
        <v>2032</v>
      </c>
      <c r="B21" s="240"/>
      <c r="C21" s="240"/>
      <c r="D21" s="240"/>
      <c r="E21" s="239" t="str">
        <f t="shared" si="9"/>
        <v/>
      </c>
      <c r="F21" s="156">
        <v>2032</v>
      </c>
      <c r="G21" s="145" t="str">
        <f t="shared" si="0"/>
        <v/>
      </c>
      <c r="H21" s="146" t="str">
        <f t="shared" si="1"/>
        <v/>
      </c>
      <c r="I21" s="147" t="str">
        <f t="shared" si="2"/>
        <v/>
      </c>
      <c r="J21" s="148" t="str">
        <f t="shared" si="3"/>
        <v/>
      </c>
      <c r="K21" s="149" t="str">
        <f t="shared" si="4"/>
        <v/>
      </c>
      <c r="L21" s="150" t="str">
        <f t="shared" si="5"/>
        <v/>
      </c>
      <c r="M21" s="148" t="str">
        <f t="shared" si="6"/>
        <v/>
      </c>
      <c r="N21" s="149" t="str">
        <f t="shared" si="7"/>
        <v/>
      </c>
      <c r="O21" s="150" t="str">
        <f t="shared" si="8"/>
        <v/>
      </c>
      <c r="AA21" s="126"/>
    </row>
    <row r="22" spans="1:27" x14ac:dyDescent="0.55000000000000004">
      <c r="A22" s="144">
        <v>2033</v>
      </c>
      <c r="B22" s="240"/>
      <c r="C22" s="240"/>
      <c r="D22" s="240"/>
      <c r="E22" s="239" t="str">
        <f t="shared" si="9"/>
        <v/>
      </c>
      <c r="F22" s="156">
        <v>2033</v>
      </c>
      <c r="G22" s="145" t="str">
        <f t="shared" si="0"/>
        <v/>
      </c>
      <c r="H22" s="146" t="str">
        <f t="shared" si="1"/>
        <v/>
      </c>
      <c r="I22" s="147" t="str">
        <f t="shared" si="2"/>
        <v/>
      </c>
      <c r="J22" s="148" t="str">
        <f t="shared" si="3"/>
        <v/>
      </c>
      <c r="K22" s="149" t="str">
        <f t="shared" si="4"/>
        <v/>
      </c>
      <c r="L22" s="150" t="str">
        <f t="shared" si="5"/>
        <v/>
      </c>
      <c r="M22" s="148" t="str">
        <f t="shared" si="6"/>
        <v/>
      </c>
      <c r="N22" s="149" t="str">
        <f t="shared" si="7"/>
        <v/>
      </c>
      <c r="O22" s="150" t="str">
        <f t="shared" si="8"/>
        <v/>
      </c>
      <c r="AA22" s="126"/>
    </row>
    <row r="23" spans="1:27" x14ac:dyDescent="0.55000000000000004">
      <c r="A23" s="144">
        <v>2034</v>
      </c>
      <c r="B23" s="240"/>
      <c r="C23" s="240"/>
      <c r="D23" s="240"/>
      <c r="E23" s="239" t="str">
        <f t="shared" si="9"/>
        <v/>
      </c>
      <c r="F23" s="156">
        <v>2034</v>
      </c>
      <c r="G23" s="145" t="str">
        <f t="shared" si="0"/>
        <v/>
      </c>
      <c r="H23" s="146" t="str">
        <f t="shared" si="1"/>
        <v/>
      </c>
      <c r="I23" s="147" t="str">
        <f t="shared" si="2"/>
        <v/>
      </c>
      <c r="J23" s="148" t="str">
        <f t="shared" si="3"/>
        <v/>
      </c>
      <c r="K23" s="149" t="str">
        <f t="shared" si="4"/>
        <v/>
      </c>
      <c r="L23" s="150" t="str">
        <f t="shared" si="5"/>
        <v/>
      </c>
      <c r="M23" s="148" t="str">
        <f t="shared" si="6"/>
        <v/>
      </c>
      <c r="N23" s="149" t="str">
        <f t="shared" si="7"/>
        <v/>
      </c>
      <c r="O23" s="150" t="str">
        <f t="shared" si="8"/>
        <v/>
      </c>
      <c r="AA23" s="126"/>
    </row>
    <row r="24" spans="1:27" x14ac:dyDescent="0.55000000000000004">
      <c r="A24" s="144">
        <v>2035</v>
      </c>
      <c r="B24" s="240"/>
      <c r="C24" s="240"/>
      <c r="D24" s="240"/>
      <c r="E24" s="239" t="str">
        <f t="shared" si="9"/>
        <v/>
      </c>
      <c r="F24" s="156">
        <v>2035</v>
      </c>
      <c r="G24" s="145" t="str">
        <f t="shared" si="0"/>
        <v/>
      </c>
      <c r="H24" s="146" t="str">
        <f t="shared" si="1"/>
        <v/>
      </c>
      <c r="I24" s="147" t="str">
        <f t="shared" si="2"/>
        <v/>
      </c>
      <c r="J24" s="148" t="str">
        <f t="shared" si="3"/>
        <v/>
      </c>
      <c r="K24" s="149" t="str">
        <f t="shared" si="4"/>
        <v/>
      </c>
      <c r="L24" s="150" t="str">
        <f t="shared" si="5"/>
        <v/>
      </c>
      <c r="M24" s="148" t="str">
        <f t="shared" si="6"/>
        <v/>
      </c>
      <c r="N24" s="149" t="str">
        <f t="shared" si="7"/>
        <v/>
      </c>
      <c r="O24" s="150" t="str">
        <f t="shared" si="8"/>
        <v/>
      </c>
      <c r="AA24" s="126"/>
    </row>
    <row r="25" spans="1:27" x14ac:dyDescent="0.55000000000000004">
      <c r="A25" s="144">
        <v>2036</v>
      </c>
      <c r="B25" s="240"/>
      <c r="C25" s="240"/>
      <c r="D25" s="240"/>
      <c r="E25" s="239" t="str">
        <f t="shared" si="9"/>
        <v/>
      </c>
      <c r="F25" s="156">
        <v>2036</v>
      </c>
      <c r="G25" s="145" t="str">
        <f t="shared" si="0"/>
        <v/>
      </c>
      <c r="H25" s="146" t="str">
        <f t="shared" si="1"/>
        <v/>
      </c>
      <c r="I25" s="147" t="str">
        <f t="shared" si="2"/>
        <v/>
      </c>
      <c r="J25" s="148" t="str">
        <f t="shared" si="3"/>
        <v/>
      </c>
      <c r="K25" s="149" t="str">
        <f t="shared" si="4"/>
        <v/>
      </c>
      <c r="L25" s="150" t="str">
        <f t="shared" si="5"/>
        <v/>
      </c>
      <c r="M25" s="148" t="str">
        <f t="shared" si="6"/>
        <v/>
      </c>
      <c r="N25" s="149" t="str">
        <f t="shared" si="7"/>
        <v/>
      </c>
      <c r="O25" s="150" t="str">
        <f t="shared" si="8"/>
        <v/>
      </c>
      <c r="AA25" s="126"/>
    </row>
    <row r="26" spans="1:27" x14ac:dyDescent="0.55000000000000004">
      <c r="A26" s="144">
        <v>2037</v>
      </c>
      <c r="B26" s="240"/>
      <c r="C26" s="240"/>
      <c r="D26" s="240"/>
      <c r="E26" s="239" t="str">
        <f t="shared" si="9"/>
        <v/>
      </c>
      <c r="F26" s="156">
        <v>2037</v>
      </c>
      <c r="G26" s="145" t="str">
        <f t="shared" si="0"/>
        <v/>
      </c>
      <c r="H26" s="146" t="str">
        <f t="shared" si="1"/>
        <v/>
      </c>
      <c r="I26" s="147" t="str">
        <f t="shared" si="2"/>
        <v/>
      </c>
      <c r="J26" s="148" t="str">
        <f>IF(ISBLANK(C26),"", ($C26*(HLOOKUP($D$3,$C$140:$O$141,2)/$L$141)*E92)/1000000)</f>
        <v/>
      </c>
      <c r="K26" s="149" t="str">
        <f t="shared" si="4"/>
        <v/>
      </c>
      <c r="L26" s="150" t="str">
        <f t="shared" si="5"/>
        <v/>
      </c>
      <c r="M26" s="148" t="str">
        <f t="shared" si="6"/>
        <v/>
      </c>
      <c r="N26" s="149" t="str">
        <f t="shared" si="7"/>
        <v/>
      </c>
      <c r="O26" s="150" t="str">
        <f t="shared" si="8"/>
        <v/>
      </c>
      <c r="AA26" s="126"/>
    </row>
    <row r="27" spans="1:27" x14ac:dyDescent="0.55000000000000004">
      <c r="A27" s="144">
        <v>2038</v>
      </c>
      <c r="B27" s="240"/>
      <c r="C27" s="240"/>
      <c r="D27" s="240"/>
      <c r="E27" s="239" t="str">
        <f t="shared" si="9"/>
        <v/>
      </c>
      <c r="F27" s="156">
        <v>2038</v>
      </c>
      <c r="G27" s="145" t="str">
        <f t="shared" si="0"/>
        <v/>
      </c>
      <c r="H27" s="146" t="str">
        <f t="shared" si="1"/>
        <v/>
      </c>
      <c r="I27" s="147" t="str">
        <f t="shared" si="2"/>
        <v/>
      </c>
      <c r="J27" s="148" t="str">
        <f t="shared" si="3"/>
        <v/>
      </c>
      <c r="K27" s="149" t="str">
        <f t="shared" si="4"/>
        <v/>
      </c>
      <c r="L27" s="150" t="str">
        <f t="shared" si="5"/>
        <v/>
      </c>
      <c r="M27" s="148" t="str">
        <f t="shared" si="6"/>
        <v/>
      </c>
      <c r="N27" s="149" t="str">
        <f t="shared" si="7"/>
        <v/>
      </c>
      <c r="O27" s="150" t="str">
        <f t="shared" si="8"/>
        <v/>
      </c>
      <c r="AA27" s="126"/>
    </row>
    <row r="28" spans="1:27" x14ac:dyDescent="0.55000000000000004">
      <c r="A28" s="144">
        <v>2039</v>
      </c>
      <c r="B28" s="240"/>
      <c r="C28" s="240"/>
      <c r="D28" s="240"/>
      <c r="E28" s="239" t="str">
        <f t="shared" si="9"/>
        <v/>
      </c>
      <c r="F28" s="155">
        <v>2039</v>
      </c>
      <c r="G28" s="145" t="str">
        <f t="shared" si="0"/>
        <v/>
      </c>
      <c r="H28" s="146" t="str">
        <f t="shared" si="1"/>
        <v/>
      </c>
      <c r="I28" s="147" t="str">
        <f t="shared" si="2"/>
        <v/>
      </c>
      <c r="J28" s="148" t="str">
        <f t="shared" si="3"/>
        <v/>
      </c>
      <c r="K28" s="149" t="str">
        <f t="shared" si="4"/>
        <v/>
      </c>
      <c r="L28" s="150" t="str">
        <f t="shared" si="5"/>
        <v/>
      </c>
      <c r="M28" s="148" t="str">
        <f t="shared" si="6"/>
        <v/>
      </c>
      <c r="N28" s="149" t="str">
        <f t="shared" si="7"/>
        <v/>
      </c>
      <c r="O28" s="150" t="str">
        <f t="shared" si="8"/>
        <v/>
      </c>
      <c r="AA28" s="126"/>
    </row>
    <row r="29" spans="1:27" x14ac:dyDescent="0.55000000000000004">
      <c r="A29" s="144">
        <v>2040</v>
      </c>
      <c r="B29" s="240"/>
      <c r="C29" s="240"/>
      <c r="D29" s="240"/>
      <c r="E29" s="239" t="str">
        <f t="shared" si="9"/>
        <v/>
      </c>
      <c r="F29" s="144">
        <v>2040</v>
      </c>
      <c r="G29" s="145" t="str">
        <f t="shared" si="0"/>
        <v/>
      </c>
      <c r="H29" s="146" t="str">
        <f t="shared" si="1"/>
        <v/>
      </c>
      <c r="I29" s="147" t="str">
        <f t="shared" si="2"/>
        <v/>
      </c>
      <c r="J29" s="148" t="str">
        <f t="shared" si="3"/>
        <v/>
      </c>
      <c r="K29" s="149" t="str">
        <f t="shared" si="4"/>
        <v/>
      </c>
      <c r="L29" s="150" t="str">
        <f t="shared" si="5"/>
        <v/>
      </c>
      <c r="M29" s="148" t="str">
        <f t="shared" si="6"/>
        <v/>
      </c>
      <c r="N29" s="149" t="str">
        <f t="shared" si="7"/>
        <v/>
      </c>
      <c r="O29" s="150" t="str">
        <f t="shared" si="8"/>
        <v/>
      </c>
      <c r="AA29" s="126"/>
    </row>
    <row r="30" spans="1:27" x14ac:dyDescent="0.55000000000000004">
      <c r="A30" s="144">
        <v>2041</v>
      </c>
      <c r="B30" s="240"/>
      <c r="C30" s="240"/>
      <c r="D30" s="240"/>
      <c r="E30" s="239" t="str">
        <f t="shared" si="9"/>
        <v/>
      </c>
      <c r="F30" s="144">
        <v>2041</v>
      </c>
      <c r="G30" s="145" t="str">
        <f t="shared" si="0"/>
        <v/>
      </c>
      <c r="H30" s="146" t="str">
        <f t="shared" si="1"/>
        <v/>
      </c>
      <c r="I30" s="147" t="str">
        <f t="shared" si="2"/>
        <v/>
      </c>
      <c r="J30" s="148" t="str">
        <f t="shared" si="3"/>
        <v/>
      </c>
      <c r="K30" s="149" t="str">
        <f t="shared" si="4"/>
        <v/>
      </c>
      <c r="L30" s="150" t="str">
        <f t="shared" si="5"/>
        <v/>
      </c>
      <c r="M30" s="148" t="str">
        <f t="shared" si="6"/>
        <v/>
      </c>
      <c r="N30" s="149" t="str">
        <f t="shared" si="7"/>
        <v/>
      </c>
      <c r="O30" s="150" t="str">
        <f t="shared" si="8"/>
        <v/>
      </c>
      <c r="AA30" s="126"/>
    </row>
    <row r="31" spans="1:27" x14ac:dyDescent="0.55000000000000004">
      <c r="A31" s="144">
        <v>2042</v>
      </c>
      <c r="B31" s="240"/>
      <c r="C31" s="240"/>
      <c r="D31" s="240"/>
      <c r="E31" s="239" t="str">
        <f t="shared" si="9"/>
        <v/>
      </c>
      <c r="F31" s="144">
        <v>2042</v>
      </c>
      <c r="G31" s="145" t="str">
        <f t="shared" si="0"/>
        <v/>
      </c>
      <c r="H31" s="146" t="str">
        <f t="shared" si="1"/>
        <v/>
      </c>
      <c r="I31" s="147" t="str">
        <f t="shared" si="2"/>
        <v/>
      </c>
      <c r="J31" s="148" t="str">
        <f t="shared" si="3"/>
        <v/>
      </c>
      <c r="K31" s="149" t="str">
        <f t="shared" si="4"/>
        <v/>
      </c>
      <c r="L31" s="150" t="str">
        <f t="shared" si="5"/>
        <v/>
      </c>
      <c r="M31" s="148" t="str">
        <f t="shared" si="6"/>
        <v/>
      </c>
      <c r="N31" s="149" t="str">
        <f t="shared" si="7"/>
        <v/>
      </c>
      <c r="O31" s="150" t="str">
        <f t="shared" si="8"/>
        <v/>
      </c>
      <c r="AA31" s="126"/>
    </row>
    <row r="32" spans="1:27" x14ac:dyDescent="0.55000000000000004">
      <c r="A32" s="144">
        <v>2043</v>
      </c>
      <c r="B32" s="240"/>
      <c r="C32" s="240"/>
      <c r="D32" s="240"/>
      <c r="E32" s="239" t="str">
        <f t="shared" si="9"/>
        <v/>
      </c>
      <c r="F32" s="144">
        <v>2043</v>
      </c>
      <c r="G32" s="145" t="str">
        <f t="shared" si="0"/>
        <v/>
      </c>
      <c r="H32" s="146" t="str">
        <f t="shared" si="1"/>
        <v/>
      </c>
      <c r="I32" s="147" t="str">
        <f t="shared" si="2"/>
        <v/>
      </c>
      <c r="J32" s="148" t="str">
        <f t="shared" si="3"/>
        <v/>
      </c>
      <c r="K32" s="149" t="str">
        <f t="shared" si="4"/>
        <v/>
      </c>
      <c r="L32" s="150" t="str">
        <f t="shared" si="5"/>
        <v/>
      </c>
      <c r="M32" s="148" t="str">
        <f t="shared" si="6"/>
        <v/>
      </c>
      <c r="N32" s="149" t="str">
        <f t="shared" si="7"/>
        <v/>
      </c>
      <c r="O32" s="150" t="str">
        <f t="shared" si="8"/>
        <v/>
      </c>
      <c r="AA32" s="126"/>
    </row>
    <row r="33" spans="1:27" x14ac:dyDescent="0.55000000000000004">
      <c r="A33" s="144">
        <v>2044</v>
      </c>
      <c r="B33" s="240"/>
      <c r="C33" s="240"/>
      <c r="D33" s="240"/>
      <c r="E33" s="239" t="str">
        <f t="shared" si="9"/>
        <v/>
      </c>
      <c r="F33" s="144">
        <v>2044</v>
      </c>
      <c r="G33" s="145" t="str">
        <f t="shared" si="0"/>
        <v/>
      </c>
      <c r="H33" s="146" t="str">
        <f t="shared" si="1"/>
        <v/>
      </c>
      <c r="I33" s="147" t="str">
        <f t="shared" si="2"/>
        <v/>
      </c>
      <c r="J33" s="148" t="str">
        <f t="shared" si="3"/>
        <v/>
      </c>
      <c r="K33" s="149" t="str">
        <f t="shared" si="4"/>
        <v/>
      </c>
      <c r="L33" s="150" t="str">
        <f t="shared" si="5"/>
        <v/>
      </c>
      <c r="M33" s="148" t="str">
        <f t="shared" si="6"/>
        <v/>
      </c>
      <c r="N33" s="149" t="str">
        <f t="shared" si="7"/>
        <v/>
      </c>
      <c r="O33" s="150" t="str">
        <f t="shared" si="8"/>
        <v/>
      </c>
      <c r="AA33" s="126"/>
    </row>
    <row r="34" spans="1:27" x14ac:dyDescent="0.55000000000000004">
      <c r="A34" s="144">
        <v>2045</v>
      </c>
      <c r="B34" s="240"/>
      <c r="C34" s="240"/>
      <c r="D34" s="240"/>
      <c r="E34" s="239" t="str">
        <f t="shared" si="9"/>
        <v/>
      </c>
      <c r="F34" s="144">
        <v>2045</v>
      </c>
      <c r="G34" s="145" t="str">
        <f t="shared" si="0"/>
        <v/>
      </c>
      <c r="H34" s="146" t="str">
        <f t="shared" si="1"/>
        <v/>
      </c>
      <c r="I34" s="147" t="str">
        <f t="shared" si="2"/>
        <v/>
      </c>
      <c r="J34" s="148" t="str">
        <f t="shared" si="3"/>
        <v/>
      </c>
      <c r="K34" s="149" t="str">
        <f t="shared" si="4"/>
        <v/>
      </c>
      <c r="L34" s="150" t="str">
        <f t="shared" si="5"/>
        <v/>
      </c>
      <c r="M34" s="148" t="str">
        <f t="shared" si="6"/>
        <v/>
      </c>
      <c r="N34" s="149" t="str">
        <f t="shared" si="7"/>
        <v/>
      </c>
      <c r="O34" s="150" t="str">
        <f t="shared" si="8"/>
        <v/>
      </c>
      <c r="AA34" s="126"/>
    </row>
    <row r="35" spans="1:27" x14ac:dyDescent="0.55000000000000004">
      <c r="A35" s="144">
        <v>2046</v>
      </c>
      <c r="B35" s="240"/>
      <c r="C35" s="240"/>
      <c r="D35" s="240"/>
      <c r="E35" s="239" t="str">
        <f t="shared" si="9"/>
        <v/>
      </c>
      <c r="F35" s="144">
        <v>2046</v>
      </c>
      <c r="G35" s="145" t="str">
        <f t="shared" si="0"/>
        <v/>
      </c>
      <c r="H35" s="146" t="str">
        <f t="shared" si="1"/>
        <v/>
      </c>
      <c r="I35" s="147" t="str">
        <f t="shared" si="2"/>
        <v/>
      </c>
      <c r="J35" s="148" t="str">
        <f t="shared" si="3"/>
        <v/>
      </c>
      <c r="K35" s="149" t="str">
        <f t="shared" si="4"/>
        <v/>
      </c>
      <c r="L35" s="150" t="str">
        <f t="shared" si="5"/>
        <v/>
      </c>
      <c r="M35" s="148" t="str">
        <f t="shared" si="6"/>
        <v/>
      </c>
      <c r="N35" s="149" t="str">
        <f t="shared" si="7"/>
        <v/>
      </c>
      <c r="O35" s="150" t="str">
        <f t="shared" si="8"/>
        <v/>
      </c>
      <c r="AA35" s="126"/>
    </row>
    <row r="36" spans="1:27" x14ac:dyDescent="0.55000000000000004">
      <c r="A36" s="144">
        <v>2047</v>
      </c>
      <c r="B36" s="240"/>
      <c r="C36" s="240"/>
      <c r="D36" s="240"/>
      <c r="E36" s="239" t="str">
        <f t="shared" si="9"/>
        <v/>
      </c>
      <c r="F36" s="144">
        <v>2047</v>
      </c>
      <c r="G36" s="145" t="str">
        <f t="shared" si="0"/>
        <v/>
      </c>
      <c r="H36" s="146" t="str">
        <f t="shared" si="1"/>
        <v/>
      </c>
      <c r="I36" s="147" t="str">
        <f t="shared" si="2"/>
        <v/>
      </c>
      <c r="J36" s="148" t="str">
        <f t="shared" si="3"/>
        <v/>
      </c>
      <c r="K36" s="149" t="str">
        <f t="shared" si="4"/>
        <v/>
      </c>
      <c r="L36" s="150" t="str">
        <f t="shared" si="5"/>
        <v/>
      </c>
      <c r="M36" s="148" t="str">
        <f t="shared" si="6"/>
        <v/>
      </c>
      <c r="N36" s="149" t="str">
        <f t="shared" si="7"/>
        <v/>
      </c>
      <c r="O36" s="150" t="str">
        <f t="shared" si="8"/>
        <v/>
      </c>
      <c r="AA36" s="126"/>
    </row>
    <row r="37" spans="1:27" x14ac:dyDescent="0.55000000000000004">
      <c r="A37" s="144">
        <v>2048</v>
      </c>
      <c r="B37" s="240"/>
      <c r="C37" s="240"/>
      <c r="D37" s="240"/>
      <c r="E37" s="239" t="str">
        <f t="shared" si="9"/>
        <v/>
      </c>
      <c r="F37" s="144">
        <v>2048</v>
      </c>
      <c r="G37" s="145" t="str">
        <f t="shared" si="0"/>
        <v/>
      </c>
      <c r="H37" s="146" t="str">
        <f t="shared" si="1"/>
        <v/>
      </c>
      <c r="I37" s="147" t="str">
        <f t="shared" si="2"/>
        <v/>
      </c>
      <c r="J37" s="148" t="str">
        <f t="shared" si="3"/>
        <v/>
      </c>
      <c r="K37" s="149" t="str">
        <f t="shared" si="4"/>
        <v/>
      </c>
      <c r="L37" s="150" t="str">
        <f t="shared" si="5"/>
        <v/>
      </c>
      <c r="M37" s="148" t="str">
        <f t="shared" si="6"/>
        <v/>
      </c>
      <c r="N37" s="149" t="str">
        <f t="shared" si="7"/>
        <v/>
      </c>
      <c r="O37" s="150" t="str">
        <f t="shared" si="8"/>
        <v/>
      </c>
      <c r="AA37" s="126"/>
    </row>
    <row r="38" spans="1:27" x14ac:dyDescent="0.55000000000000004">
      <c r="A38" s="144">
        <v>2049</v>
      </c>
      <c r="B38" s="240"/>
      <c r="C38" s="240"/>
      <c r="D38" s="240"/>
      <c r="E38" s="239" t="str">
        <f t="shared" si="9"/>
        <v/>
      </c>
      <c r="F38" s="144">
        <v>2049</v>
      </c>
      <c r="G38" s="145" t="str">
        <f t="shared" si="0"/>
        <v/>
      </c>
      <c r="H38" s="146" t="str">
        <f t="shared" si="1"/>
        <v/>
      </c>
      <c r="I38" s="147" t="str">
        <f t="shared" si="2"/>
        <v/>
      </c>
      <c r="J38" s="148" t="str">
        <f t="shared" si="3"/>
        <v/>
      </c>
      <c r="K38" s="149" t="str">
        <f t="shared" si="4"/>
        <v/>
      </c>
      <c r="L38" s="150" t="str">
        <f t="shared" si="5"/>
        <v/>
      </c>
      <c r="M38" s="148" t="str">
        <f t="shared" si="6"/>
        <v/>
      </c>
      <c r="N38" s="149" t="str">
        <f t="shared" si="7"/>
        <v/>
      </c>
      <c r="O38" s="150" t="str">
        <f t="shared" si="8"/>
        <v/>
      </c>
      <c r="AA38" s="126"/>
    </row>
    <row r="39" spans="1:27" x14ac:dyDescent="0.55000000000000004">
      <c r="A39" s="144">
        <v>2050</v>
      </c>
      <c r="B39" s="240"/>
      <c r="C39" s="240"/>
      <c r="D39" s="240"/>
      <c r="E39" s="239" t="str">
        <f t="shared" si="9"/>
        <v/>
      </c>
      <c r="F39" s="144">
        <v>2050</v>
      </c>
      <c r="G39" s="145" t="str">
        <f t="shared" si="0"/>
        <v/>
      </c>
      <c r="H39" s="146" t="str">
        <f t="shared" si="1"/>
        <v/>
      </c>
      <c r="I39" s="147" t="str">
        <f t="shared" si="2"/>
        <v/>
      </c>
      <c r="J39" s="148" t="str">
        <f t="shared" si="3"/>
        <v/>
      </c>
      <c r="K39" s="149" t="str">
        <f t="shared" si="4"/>
        <v/>
      </c>
      <c r="L39" s="150" t="str">
        <f t="shared" si="5"/>
        <v/>
      </c>
      <c r="M39" s="148" t="str">
        <f t="shared" si="6"/>
        <v/>
      </c>
      <c r="N39" s="149" t="str">
        <f t="shared" si="7"/>
        <v/>
      </c>
      <c r="O39" s="150" t="str">
        <f t="shared" si="8"/>
        <v/>
      </c>
      <c r="AA39" s="126"/>
    </row>
    <row r="40" spans="1:27" x14ac:dyDescent="0.55000000000000004">
      <c r="A40" s="144">
        <v>2051</v>
      </c>
      <c r="B40" s="240"/>
      <c r="C40" s="240"/>
      <c r="D40" s="240"/>
      <c r="E40" s="239" t="str">
        <f t="shared" si="9"/>
        <v/>
      </c>
      <c r="F40" s="144">
        <v>2051</v>
      </c>
      <c r="G40" s="145" t="str">
        <f t="shared" si="0"/>
        <v/>
      </c>
      <c r="H40" s="146" t="str">
        <f t="shared" si="1"/>
        <v/>
      </c>
      <c r="I40" s="147" t="str">
        <f t="shared" si="2"/>
        <v/>
      </c>
      <c r="J40" s="148" t="str">
        <f t="shared" si="3"/>
        <v/>
      </c>
      <c r="K40" s="149" t="str">
        <f t="shared" si="4"/>
        <v/>
      </c>
      <c r="L40" s="150" t="str">
        <f t="shared" si="5"/>
        <v/>
      </c>
      <c r="M40" s="148" t="str">
        <f t="shared" si="6"/>
        <v/>
      </c>
      <c r="N40" s="149" t="str">
        <f t="shared" si="7"/>
        <v/>
      </c>
      <c r="O40" s="150" t="str">
        <f t="shared" si="8"/>
        <v/>
      </c>
      <c r="AA40" s="126"/>
    </row>
    <row r="41" spans="1:27" x14ac:dyDescent="0.55000000000000004">
      <c r="A41" s="144">
        <v>2052</v>
      </c>
      <c r="B41" s="240"/>
      <c r="C41" s="240"/>
      <c r="D41" s="240"/>
      <c r="E41" s="239" t="str">
        <f t="shared" si="9"/>
        <v/>
      </c>
      <c r="F41" s="144">
        <v>2052</v>
      </c>
      <c r="G41" s="145" t="str">
        <f t="shared" ref="G41:G69" si="10">IF(ISBLANK(B41), "", (($B41*(HLOOKUP($D$3,$C$140:$O$141,2)/$L$141)*B107)/1000000))</f>
        <v/>
      </c>
      <c r="H41" s="146" t="str">
        <f t="shared" ref="H41:H69" si="11">IF(ISBLANK(B41),"",($B41*(HLOOKUP($D$3,$C$140:$O$141,2)/$L$141)*C107)/1000000)</f>
        <v/>
      </c>
      <c r="I41" s="147" t="str">
        <f t="shared" ref="I41:I69" si="12">IF(ISBLANK(B41),"", ($B41*(HLOOKUP($D$3,$C$140:$O$141,2)/$L$141)*D107)/1000000)</f>
        <v/>
      </c>
      <c r="J41" s="148" t="str">
        <f t="shared" ref="J41:J69" si="13">IF(ISBLANK(C41),"", ($C41*(HLOOKUP($D$3,$C$140:$O$141,2)/$L$141)*E107)/1000000)</f>
        <v/>
      </c>
      <c r="K41" s="149" t="str">
        <f t="shared" ref="K41:K69" si="14">IF(ISBLANK(C41),"",($C41*(HLOOKUP($D$3,$C$140:$O$141,2)/$L$141)*F107)/1000000)</f>
        <v/>
      </c>
      <c r="L41" s="150" t="str">
        <f t="shared" ref="L41:L69" si="15">IF(ISBLANK(C41),"",($C41*(HLOOKUP($D$3,$C$140:$O$141,2)/$L$141)*G107)/1000000)</f>
        <v/>
      </c>
      <c r="M41" s="148" t="str">
        <f t="shared" ref="M41:M69" si="16">IF(ISBLANK(D41),"",($D41*(HLOOKUP($D$3,$C$140:$O$141,2)/$L$141)*H107)/1000000)</f>
        <v/>
      </c>
      <c r="N41" s="149" t="str">
        <f t="shared" ref="N41:N69" si="17">IF(ISBLANK(D41),"",($D41*(HLOOKUP($D$3,$C$140:$O$141,2)/$L$141)*I107)/1000000)</f>
        <v/>
      </c>
      <c r="O41" s="150" t="str">
        <f t="shared" ref="O41:O69" si="18">IF(ISBLANK(D41),"",($D41*(HLOOKUP($D$3,$C$140:$O$141,2)/$L$141)*J107)/1000000)</f>
        <v/>
      </c>
      <c r="AA41" s="126"/>
    </row>
    <row r="42" spans="1:27" x14ac:dyDescent="0.55000000000000004">
      <c r="A42" s="144">
        <v>2053</v>
      </c>
      <c r="B42" s="240"/>
      <c r="C42" s="240"/>
      <c r="D42" s="240"/>
      <c r="E42" s="239" t="str">
        <f t="shared" si="9"/>
        <v/>
      </c>
      <c r="F42" s="144">
        <v>2053</v>
      </c>
      <c r="G42" s="145" t="str">
        <f t="shared" si="10"/>
        <v/>
      </c>
      <c r="H42" s="146" t="str">
        <f t="shared" si="11"/>
        <v/>
      </c>
      <c r="I42" s="147" t="str">
        <f t="shared" si="12"/>
        <v/>
      </c>
      <c r="J42" s="148" t="str">
        <f t="shared" si="13"/>
        <v/>
      </c>
      <c r="K42" s="149" t="str">
        <f t="shared" si="14"/>
        <v/>
      </c>
      <c r="L42" s="150" t="str">
        <f t="shared" si="15"/>
        <v/>
      </c>
      <c r="M42" s="148" t="str">
        <f t="shared" si="16"/>
        <v/>
      </c>
      <c r="N42" s="149" t="str">
        <f t="shared" si="17"/>
        <v/>
      </c>
      <c r="O42" s="150" t="str">
        <f t="shared" si="18"/>
        <v/>
      </c>
      <c r="AA42" s="126"/>
    </row>
    <row r="43" spans="1:27" x14ac:dyDescent="0.55000000000000004">
      <c r="A43" s="144">
        <v>2054</v>
      </c>
      <c r="B43" s="240"/>
      <c r="C43" s="240"/>
      <c r="D43" s="240"/>
      <c r="E43" s="239" t="str">
        <f t="shared" si="9"/>
        <v/>
      </c>
      <c r="F43" s="144">
        <v>2054</v>
      </c>
      <c r="G43" s="145" t="str">
        <f t="shared" si="10"/>
        <v/>
      </c>
      <c r="H43" s="146" t="str">
        <f t="shared" si="11"/>
        <v/>
      </c>
      <c r="I43" s="147" t="str">
        <f t="shared" si="12"/>
        <v/>
      </c>
      <c r="J43" s="148" t="str">
        <f t="shared" si="13"/>
        <v/>
      </c>
      <c r="K43" s="149" t="str">
        <f t="shared" si="14"/>
        <v/>
      </c>
      <c r="L43" s="150" t="str">
        <f t="shared" si="15"/>
        <v/>
      </c>
      <c r="M43" s="148" t="str">
        <f t="shared" si="16"/>
        <v/>
      </c>
      <c r="N43" s="149" t="str">
        <f t="shared" si="17"/>
        <v/>
      </c>
      <c r="O43" s="150" t="str">
        <f t="shared" si="18"/>
        <v/>
      </c>
      <c r="AA43" s="126"/>
    </row>
    <row r="44" spans="1:27" x14ac:dyDescent="0.55000000000000004">
      <c r="A44" s="144">
        <v>2055</v>
      </c>
      <c r="B44" s="240"/>
      <c r="C44" s="240"/>
      <c r="D44" s="240"/>
      <c r="E44" s="239" t="str">
        <f t="shared" si="9"/>
        <v/>
      </c>
      <c r="F44" s="144">
        <v>2055</v>
      </c>
      <c r="G44" s="145" t="str">
        <f t="shared" si="10"/>
        <v/>
      </c>
      <c r="H44" s="146" t="str">
        <f t="shared" si="11"/>
        <v/>
      </c>
      <c r="I44" s="147" t="str">
        <f t="shared" si="12"/>
        <v/>
      </c>
      <c r="J44" s="148" t="str">
        <f t="shared" si="13"/>
        <v/>
      </c>
      <c r="K44" s="149" t="str">
        <f t="shared" si="14"/>
        <v/>
      </c>
      <c r="L44" s="150" t="str">
        <f t="shared" si="15"/>
        <v/>
      </c>
      <c r="M44" s="148" t="str">
        <f t="shared" si="16"/>
        <v/>
      </c>
      <c r="N44" s="149" t="str">
        <f t="shared" si="17"/>
        <v/>
      </c>
      <c r="O44" s="150" t="str">
        <f t="shared" si="18"/>
        <v/>
      </c>
      <c r="AA44" s="126"/>
    </row>
    <row r="45" spans="1:27" x14ac:dyDescent="0.55000000000000004">
      <c r="A45" s="144">
        <v>2056</v>
      </c>
      <c r="B45" s="240"/>
      <c r="C45" s="240"/>
      <c r="D45" s="240"/>
      <c r="E45" s="239" t="str">
        <f t="shared" si="9"/>
        <v/>
      </c>
      <c r="F45" s="144">
        <v>2056</v>
      </c>
      <c r="G45" s="145" t="str">
        <f t="shared" si="10"/>
        <v/>
      </c>
      <c r="H45" s="146" t="str">
        <f t="shared" si="11"/>
        <v/>
      </c>
      <c r="I45" s="147" t="str">
        <f t="shared" si="12"/>
        <v/>
      </c>
      <c r="J45" s="148" t="str">
        <f t="shared" si="13"/>
        <v/>
      </c>
      <c r="K45" s="149" t="str">
        <f t="shared" si="14"/>
        <v/>
      </c>
      <c r="L45" s="150" t="str">
        <f t="shared" si="15"/>
        <v/>
      </c>
      <c r="M45" s="148" t="str">
        <f t="shared" si="16"/>
        <v/>
      </c>
      <c r="N45" s="149" t="str">
        <f t="shared" si="17"/>
        <v/>
      </c>
      <c r="O45" s="150" t="str">
        <f t="shared" si="18"/>
        <v/>
      </c>
      <c r="AA45" s="126"/>
    </row>
    <row r="46" spans="1:27" x14ac:dyDescent="0.55000000000000004">
      <c r="A46" s="144">
        <v>2057</v>
      </c>
      <c r="B46" s="240"/>
      <c r="C46" s="240"/>
      <c r="D46" s="240"/>
      <c r="E46" s="239" t="str">
        <f t="shared" si="9"/>
        <v/>
      </c>
      <c r="F46" s="144">
        <v>2057</v>
      </c>
      <c r="G46" s="145" t="str">
        <f t="shared" si="10"/>
        <v/>
      </c>
      <c r="H46" s="146" t="str">
        <f t="shared" si="11"/>
        <v/>
      </c>
      <c r="I46" s="147" t="str">
        <f t="shared" si="12"/>
        <v/>
      </c>
      <c r="J46" s="148" t="str">
        <f t="shared" si="13"/>
        <v/>
      </c>
      <c r="K46" s="149" t="str">
        <f t="shared" si="14"/>
        <v/>
      </c>
      <c r="L46" s="150" t="str">
        <f t="shared" si="15"/>
        <v/>
      </c>
      <c r="M46" s="148" t="str">
        <f t="shared" si="16"/>
        <v/>
      </c>
      <c r="N46" s="149" t="str">
        <f t="shared" si="17"/>
        <v/>
      </c>
      <c r="O46" s="150" t="str">
        <f t="shared" si="18"/>
        <v/>
      </c>
      <c r="AA46" s="126"/>
    </row>
    <row r="47" spans="1:27" x14ac:dyDescent="0.55000000000000004">
      <c r="A47" s="144">
        <v>2058</v>
      </c>
      <c r="B47" s="240"/>
      <c r="C47" s="240"/>
      <c r="D47" s="240"/>
      <c r="E47" s="239" t="str">
        <f t="shared" si="9"/>
        <v/>
      </c>
      <c r="F47" s="144">
        <v>2058</v>
      </c>
      <c r="G47" s="145" t="str">
        <f t="shared" si="10"/>
        <v/>
      </c>
      <c r="H47" s="146" t="str">
        <f t="shared" si="11"/>
        <v/>
      </c>
      <c r="I47" s="147" t="str">
        <f t="shared" si="12"/>
        <v/>
      </c>
      <c r="J47" s="148" t="str">
        <f t="shared" si="13"/>
        <v/>
      </c>
      <c r="K47" s="149" t="str">
        <f t="shared" si="14"/>
        <v/>
      </c>
      <c r="L47" s="150" t="str">
        <f t="shared" si="15"/>
        <v/>
      </c>
      <c r="M47" s="148" t="str">
        <f t="shared" si="16"/>
        <v/>
      </c>
      <c r="N47" s="149" t="str">
        <f t="shared" si="17"/>
        <v/>
      </c>
      <c r="O47" s="150" t="str">
        <f t="shared" si="18"/>
        <v/>
      </c>
      <c r="AA47" s="126"/>
    </row>
    <row r="48" spans="1:27" x14ac:dyDescent="0.55000000000000004">
      <c r="A48" s="144">
        <v>2059</v>
      </c>
      <c r="B48" s="240"/>
      <c r="C48" s="240"/>
      <c r="D48" s="240"/>
      <c r="E48" s="239" t="str">
        <f t="shared" si="9"/>
        <v/>
      </c>
      <c r="F48" s="144">
        <v>2059</v>
      </c>
      <c r="G48" s="145" t="str">
        <f t="shared" si="10"/>
        <v/>
      </c>
      <c r="H48" s="146" t="str">
        <f t="shared" si="11"/>
        <v/>
      </c>
      <c r="I48" s="147" t="str">
        <f t="shared" si="12"/>
        <v/>
      </c>
      <c r="J48" s="148" t="str">
        <f t="shared" si="13"/>
        <v/>
      </c>
      <c r="K48" s="149" t="str">
        <f t="shared" si="14"/>
        <v/>
      </c>
      <c r="L48" s="150" t="str">
        <f t="shared" si="15"/>
        <v/>
      </c>
      <c r="M48" s="148" t="str">
        <f t="shared" si="16"/>
        <v/>
      </c>
      <c r="N48" s="149" t="str">
        <f t="shared" si="17"/>
        <v/>
      </c>
      <c r="O48" s="150" t="str">
        <f t="shared" si="18"/>
        <v/>
      </c>
      <c r="AA48" s="126"/>
    </row>
    <row r="49" spans="1:27" x14ac:dyDescent="0.55000000000000004">
      <c r="A49" s="144">
        <v>2060</v>
      </c>
      <c r="B49" s="240"/>
      <c r="C49" s="240"/>
      <c r="D49" s="240"/>
      <c r="E49" s="239" t="str">
        <f t="shared" si="9"/>
        <v/>
      </c>
      <c r="F49" s="144">
        <v>2060</v>
      </c>
      <c r="G49" s="145" t="str">
        <f t="shared" si="10"/>
        <v/>
      </c>
      <c r="H49" s="146" t="str">
        <f t="shared" si="11"/>
        <v/>
      </c>
      <c r="I49" s="147" t="str">
        <f t="shared" si="12"/>
        <v/>
      </c>
      <c r="J49" s="148" t="str">
        <f t="shared" si="13"/>
        <v/>
      </c>
      <c r="K49" s="149" t="str">
        <f t="shared" si="14"/>
        <v/>
      </c>
      <c r="L49" s="150" t="str">
        <f t="shared" si="15"/>
        <v/>
      </c>
      <c r="M49" s="148" t="str">
        <f t="shared" si="16"/>
        <v/>
      </c>
      <c r="N49" s="149" t="str">
        <f t="shared" si="17"/>
        <v/>
      </c>
      <c r="O49" s="150" t="str">
        <f t="shared" si="18"/>
        <v/>
      </c>
      <c r="AA49" s="126"/>
    </row>
    <row r="50" spans="1:27" x14ac:dyDescent="0.55000000000000004">
      <c r="A50" s="144">
        <v>2061</v>
      </c>
      <c r="B50" s="240"/>
      <c r="C50" s="240"/>
      <c r="D50" s="240"/>
      <c r="E50" s="239" t="str">
        <f t="shared" si="9"/>
        <v/>
      </c>
      <c r="F50" s="144">
        <v>2061</v>
      </c>
      <c r="G50" s="145" t="str">
        <f t="shared" si="10"/>
        <v/>
      </c>
      <c r="H50" s="146" t="str">
        <f t="shared" si="11"/>
        <v/>
      </c>
      <c r="I50" s="147" t="str">
        <f t="shared" si="12"/>
        <v/>
      </c>
      <c r="J50" s="148" t="str">
        <f t="shared" si="13"/>
        <v/>
      </c>
      <c r="K50" s="149" t="str">
        <f t="shared" si="14"/>
        <v/>
      </c>
      <c r="L50" s="150" t="str">
        <f t="shared" si="15"/>
        <v/>
      </c>
      <c r="M50" s="148" t="str">
        <f t="shared" si="16"/>
        <v/>
      </c>
      <c r="N50" s="149" t="str">
        <f t="shared" si="17"/>
        <v/>
      </c>
      <c r="O50" s="150" t="str">
        <f t="shared" si="18"/>
        <v/>
      </c>
      <c r="AA50" s="126"/>
    </row>
    <row r="51" spans="1:27" x14ac:dyDescent="0.55000000000000004">
      <c r="A51" s="144">
        <v>2062</v>
      </c>
      <c r="B51" s="240"/>
      <c r="C51" s="240"/>
      <c r="D51" s="240"/>
      <c r="E51" s="239" t="str">
        <f t="shared" si="9"/>
        <v/>
      </c>
      <c r="F51" s="144">
        <v>2062</v>
      </c>
      <c r="G51" s="145" t="str">
        <f t="shared" si="10"/>
        <v/>
      </c>
      <c r="H51" s="146" t="str">
        <f t="shared" si="11"/>
        <v/>
      </c>
      <c r="I51" s="147" t="str">
        <f t="shared" si="12"/>
        <v/>
      </c>
      <c r="J51" s="148" t="str">
        <f t="shared" si="13"/>
        <v/>
      </c>
      <c r="K51" s="149" t="str">
        <f t="shared" si="14"/>
        <v/>
      </c>
      <c r="L51" s="150" t="str">
        <f t="shared" si="15"/>
        <v/>
      </c>
      <c r="M51" s="148" t="str">
        <f t="shared" si="16"/>
        <v/>
      </c>
      <c r="N51" s="149" t="str">
        <f t="shared" si="17"/>
        <v/>
      </c>
      <c r="O51" s="150" t="str">
        <f t="shared" si="18"/>
        <v/>
      </c>
      <c r="AA51" s="126"/>
    </row>
    <row r="52" spans="1:27" x14ac:dyDescent="0.55000000000000004">
      <c r="A52" s="144">
        <v>2063</v>
      </c>
      <c r="B52" s="240"/>
      <c r="C52" s="240"/>
      <c r="D52" s="240"/>
      <c r="E52" s="239" t="str">
        <f t="shared" si="9"/>
        <v/>
      </c>
      <c r="F52" s="144">
        <v>2063</v>
      </c>
      <c r="G52" s="145" t="str">
        <f t="shared" si="10"/>
        <v/>
      </c>
      <c r="H52" s="146" t="str">
        <f t="shared" si="11"/>
        <v/>
      </c>
      <c r="I52" s="147" t="str">
        <f t="shared" si="12"/>
        <v/>
      </c>
      <c r="J52" s="148" t="str">
        <f t="shared" si="13"/>
        <v/>
      </c>
      <c r="K52" s="149" t="str">
        <f t="shared" si="14"/>
        <v/>
      </c>
      <c r="L52" s="150" t="str">
        <f t="shared" si="15"/>
        <v/>
      </c>
      <c r="M52" s="148" t="str">
        <f t="shared" si="16"/>
        <v/>
      </c>
      <c r="N52" s="149" t="str">
        <f t="shared" si="17"/>
        <v/>
      </c>
      <c r="O52" s="150" t="str">
        <f t="shared" si="18"/>
        <v/>
      </c>
      <c r="AA52" s="126"/>
    </row>
    <row r="53" spans="1:27" x14ac:dyDescent="0.55000000000000004">
      <c r="A53" s="144">
        <v>2064</v>
      </c>
      <c r="B53" s="240"/>
      <c r="C53" s="240"/>
      <c r="D53" s="240"/>
      <c r="E53" s="239" t="str">
        <f t="shared" si="9"/>
        <v/>
      </c>
      <c r="F53" s="144">
        <v>2064</v>
      </c>
      <c r="G53" s="145" t="str">
        <f t="shared" si="10"/>
        <v/>
      </c>
      <c r="H53" s="146" t="str">
        <f t="shared" si="11"/>
        <v/>
      </c>
      <c r="I53" s="147" t="str">
        <f t="shared" si="12"/>
        <v/>
      </c>
      <c r="J53" s="148" t="str">
        <f t="shared" si="13"/>
        <v/>
      </c>
      <c r="K53" s="149" t="str">
        <f t="shared" si="14"/>
        <v/>
      </c>
      <c r="L53" s="150" t="str">
        <f t="shared" si="15"/>
        <v/>
      </c>
      <c r="M53" s="148" t="str">
        <f t="shared" si="16"/>
        <v/>
      </c>
      <c r="N53" s="149" t="str">
        <f t="shared" si="17"/>
        <v/>
      </c>
      <c r="O53" s="150" t="str">
        <f t="shared" si="18"/>
        <v/>
      </c>
      <c r="AA53" s="126"/>
    </row>
    <row r="54" spans="1:27" x14ac:dyDescent="0.55000000000000004">
      <c r="A54" s="144">
        <v>2065</v>
      </c>
      <c r="B54" s="240"/>
      <c r="C54" s="240"/>
      <c r="D54" s="240"/>
      <c r="E54" s="239" t="str">
        <f t="shared" si="9"/>
        <v/>
      </c>
      <c r="F54" s="144">
        <v>2065</v>
      </c>
      <c r="G54" s="145" t="str">
        <f t="shared" si="10"/>
        <v/>
      </c>
      <c r="H54" s="146" t="str">
        <f t="shared" si="11"/>
        <v/>
      </c>
      <c r="I54" s="147" t="str">
        <f t="shared" si="12"/>
        <v/>
      </c>
      <c r="J54" s="148" t="str">
        <f t="shared" si="13"/>
        <v/>
      </c>
      <c r="K54" s="149" t="str">
        <f t="shared" si="14"/>
        <v/>
      </c>
      <c r="L54" s="150" t="str">
        <f t="shared" si="15"/>
        <v/>
      </c>
      <c r="M54" s="148" t="str">
        <f t="shared" si="16"/>
        <v/>
      </c>
      <c r="N54" s="149" t="str">
        <f t="shared" si="17"/>
        <v/>
      </c>
      <c r="O54" s="150" t="str">
        <f t="shared" si="18"/>
        <v/>
      </c>
      <c r="AA54" s="126"/>
    </row>
    <row r="55" spans="1:27" x14ac:dyDescent="0.55000000000000004">
      <c r="A55" s="144">
        <v>2066</v>
      </c>
      <c r="B55" s="240"/>
      <c r="C55" s="240"/>
      <c r="D55" s="240"/>
      <c r="E55" s="239" t="str">
        <f t="shared" si="9"/>
        <v/>
      </c>
      <c r="F55" s="144">
        <v>2066</v>
      </c>
      <c r="G55" s="145" t="str">
        <f t="shared" si="10"/>
        <v/>
      </c>
      <c r="H55" s="146" t="str">
        <f t="shared" si="11"/>
        <v/>
      </c>
      <c r="I55" s="147" t="str">
        <f t="shared" si="12"/>
        <v/>
      </c>
      <c r="J55" s="148" t="str">
        <f t="shared" si="13"/>
        <v/>
      </c>
      <c r="K55" s="149" t="str">
        <f t="shared" si="14"/>
        <v/>
      </c>
      <c r="L55" s="150" t="str">
        <f t="shared" si="15"/>
        <v/>
      </c>
      <c r="M55" s="148" t="str">
        <f t="shared" si="16"/>
        <v/>
      </c>
      <c r="N55" s="149" t="str">
        <f t="shared" si="17"/>
        <v/>
      </c>
      <c r="O55" s="150" t="str">
        <f t="shared" si="18"/>
        <v/>
      </c>
      <c r="AA55" s="126"/>
    </row>
    <row r="56" spans="1:27" x14ac:dyDescent="0.55000000000000004">
      <c r="A56" s="144">
        <v>2067</v>
      </c>
      <c r="B56" s="240"/>
      <c r="C56" s="240"/>
      <c r="D56" s="240"/>
      <c r="E56" s="239" t="str">
        <f t="shared" si="9"/>
        <v/>
      </c>
      <c r="F56" s="144">
        <v>2067</v>
      </c>
      <c r="G56" s="145" t="str">
        <f t="shared" si="10"/>
        <v/>
      </c>
      <c r="H56" s="146" t="str">
        <f t="shared" si="11"/>
        <v/>
      </c>
      <c r="I56" s="147" t="str">
        <f t="shared" si="12"/>
        <v/>
      </c>
      <c r="J56" s="148" t="str">
        <f t="shared" si="13"/>
        <v/>
      </c>
      <c r="K56" s="149" t="str">
        <f t="shared" si="14"/>
        <v/>
      </c>
      <c r="L56" s="150" t="str">
        <f t="shared" si="15"/>
        <v/>
      </c>
      <c r="M56" s="148" t="str">
        <f t="shared" si="16"/>
        <v/>
      </c>
      <c r="N56" s="149" t="str">
        <f t="shared" si="17"/>
        <v/>
      </c>
      <c r="O56" s="150" t="str">
        <f t="shared" si="18"/>
        <v/>
      </c>
      <c r="AA56" s="126"/>
    </row>
    <row r="57" spans="1:27" x14ac:dyDescent="0.55000000000000004">
      <c r="A57" s="144">
        <v>2068</v>
      </c>
      <c r="B57" s="240"/>
      <c r="C57" s="240"/>
      <c r="D57" s="240"/>
      <c r="E57" s="239" t="str">
        <f t="shared" si="9"/>
        <v/>
      </c>
      <c r="F57" s="144">
        <v>2068</v>
      </c>
      <c r="G57" s="145" t="str">
        <f t="shared" si="10"/>
        <v/>
      </c>
      <c r="H57" s="146" t="str">
        <f t="shared" si="11"/>
        <v/>
      </c>
      <c r="I57" s="147" t="str">
        <f t="shared" si="12"/>
        <v/>
      </c>
      <c r="J57" s="148" t="str">
        <f t="shared" si="13"/>
        <v/>
      </c>
      <c r="K57" s="149" t="str">
        <f t="shared" si="14"/>
        <v/>
      </c>
      <c r="L57" s="150" t="str">
        <f t="shared" si="15"/>
        <v/>
      </c>
      <c r="M57" s="148" t="str">
        <f t="shared" si="16"/>
        <v/>
      </c>
      <c r="N57" s="149" t="str">
        <f t="shared" si="17"/>
        <v/>
      </c>
      <c r="O57" s="150" t="str">
        <f t="shared" si="18"/>
        <v/>
      </c>
      <c r="AA57" s="126"/>
    </row>
    <row r="58" spans="1:27" x14ac:dyDescent="0.55000000000000004">
      <c r="A58" s="144">
        <v>2069</v>
      </c>
      <c r="B58" s="240"/>
      <c r="C58" s="240"/>
      <c r="D58" s="240"/>
      <c r="E58" s="239" t="str">
        <f t="shared" si="9"/>
        <v/>
      </c>
      <c r="F58" s="144">
        <v>2069</v>
      </c>
      <c r="G58" s="145" t="str">
        <f t="shared" si="10"/>
        <v/>
      </c>
      <c r="H58" s="146" t="str">
        <f t="shared" si="11"/>
        <v/>
      </c>
      <c r="I58" s="147" t="str">
        <f t="shared" si="12"/>
        <v/>
      </c>
      <c r="J58" s="148" t="str">
        <f>IF(ISBLANK(C58),"", ($C58*(HLOOKUP($D$3,$C$140:$O$141,2)/$L$141)*E124)/1000000)</f>
        <v/>
      </c>
      <c r="K58" s="149" t="str">
        <f>IF(ISBLANK(C58),"",($C58*(HLOOKUP($D$3,$C$140:$O$141,2)/$L$141)*F124)/1000000)</f>
        <v/>
      </c>
      <c r="L58" s="150" t="str">
        <f>IF(ISBLANK(C58),"",($C58*(HLOOKUP($D$3,$C$140:$O$141,2)/$L$141)*G124)/1000000)</f>
        <v/>
      </c>
      <c r="M58" s="148" t="str">
        <f>IF(ISBLANK(D58),"",($D58*(HLOOKUP($D$3,$C$140:$O$141,2)/$L$141)*H124)/1000000)</f>
        <v/>
      </c>
      <c r="N58" s="149" t="str">
        <f>IF(ISBLANK(D58),"",($D58*(HLOOKUP($D$3,$C$140:$O$141,2)/$L$141)*I124)/1000000)</f>
        <v/>
      </c>
      <c r="O58" s="150" t="str">
        <f>IF(ISBLANK(D58),"",($D58*(HLOOKUP($D$3,$C$140:$O$141,2)/$L$141)*J124)/1000000)</f>
        <v/>
      </c>
      <c r="AA58" s="126"/>
    </row>
    <row r="59" spans="1:27" x14ac:dyDescent="0.55000000000000004">
      <c r="A59" s="144">
        <v>2070</v>
      </c>
      <c r="B59" s="240"/>
      <c r="C59" s="240"/>
      <c r="D59" s="240"/>
      <c r="E59" s="239" t="str">
        <f t="shared" si="9"/>
        <v/>
      </c>
      <c r="F59" s="144">
        <v>2070</v>
      </c>
      <c r="G59" s="145" t="str">
        <f t="shared" si="10"/>
        <v/>
      </c>
      <c r="H59" s="146" t="str">
        <f t="shared" si="11"/>
        <v/>
      </c>
      <c r="I59" s="147" t="str">
        <f t="shared" si="12"/>
        <v/>
      </c>
      <c r="J59" s="148" t="str">
        <f t="shared" si="13"/>
        <v/>
      </c>
      <c r="K59" s="149" t="str">
        <f t="shared" si="14"/>
        <v/>
      </c>
      <c r="L59" s="150" t="str">
        <f t="shared" si="15"/>
        <v/>
      </c>
      <c r="M59" s="148" t="str">
        <f t="shared" si="16"/>
        <v/>
      </c>
      <c r="N59" s="149" t="str">
        <f t="shared" si="17"/>
        <v/>
      </c>
      <c r="O59" s="150" t="str">
        <f t="shared" si="18"/>
        <v/>
      </c>
      <c r="AA59" s="126"/>
    </row>
    <row r="60" spans="1:27" x14ac:dyDescent="0.55000000000000004">
      <c r="A60" s="144">
        <v>2071</v>
      </c>
      <c r="B60" s="240"/>
      <c r="C60" s="240"/>
      <c r="D60" s="240"/>
      <c r="E60" s="239" t="str">
        <f t="shared" si="9"/>
        <v/>
      </c>
      <c r="F60" s="144">
        <v>2071</v>
      </c>
      <c r="G60" s="145" t="str">
        <f t="shared" si="10"/>
        <v/>
      </c>
      <c r="H60" s="146" t="str">
        <f t="shared" si="11"/>
        <v/>
      </c>
      <c r="I60" s="147" t="str">
        <f t="shared" si="12"/>
        <v/>
      </c>
      <c r="J60" s="148" t="str">
        <f t="shared" si="13"/>
        <v/>
      </c>
      <c r="K60" s="149" t="str">
        <f t="shared" si="14"/>
        <v/>
      </c>
      <c r="L60" s="150" t="str">
        <f t="shared" si="15"/>
        <v/>
      </c>
      <c r="M60" s="148" t="str">
        <f t="shared" si="16"/>
        <v/>
      </c>
      <c r="N60" s="149" t="str">
        <f t="shared" si="17"/>
        <v/>
      </c>
      <c r="O60" s="150" t="str">
        <f t="shared" si="18"/>
        <v/>
      </c>
      <c r="AA60" s="126"/>
    </row>
    <row r="61" spans="1:27" x14ac:dyDescent="0.55000000000000004">
      <c r="A61" s="144">
        <v>2072</v>
      </c>
      <c r="B61" s="240"/>
      <c r="C61" s="240"/>
      <c r="D61" s="240"/>
      <c r="E61" s="239" t="str">
        <f t="shared" si="9"/>
        <v/>
      </c>
      <c r="F61" s="144">
        <v>2072</v>
      </c>
      <c r="G61" s="145" t="str">
        <f t="shared" si="10"/>
        <v/>
      </c>
      <c r="H61" s="146" t="str">
        <f t="shared" si="11"/>
        <v/>
      </c>
      <c r="I61" s="147" t="str">
        <f t="shared" si="12"/>
        <v/>
      </c>
      <c r="J61" s="148" t="str">
        <f t="shared" si="13"/>
        <v/>
      </c>
      <c r="K61" s="149" t="str">
        <f t="shared" si="14"/>
        <v/>
      </c>
      <c r="L61" s="150" t="str">
        <f t="shared" si="15"/>
        <v/>
      </c>
      <c r="M61" s="148" t="str">
        <f t="shared" si="16"/>
        <v/>
      </c>
      <c r="N61" s="149" t="str">
        <f t="shared" si="17"/>
        <v/>
      </c>
      <c r="O61" s="150" t="str">
        <f t="shared" si="18"/>
        <v/>
      </c>
      <c r="AA61" s="126"/>
    </row>
    <row r="62" spans="1:27" x14ac:dyDescent="0.55000000000000004">
      <c r="A62" s="144">
        <v>2073</v>
      </c>
      <c r="B62" s="240"/>
      <c r="C62" s="240"/>
      <c r="D62" s="240"/>
      <c r="E62" s="239" t="str">
        <f t="shared" si="9"/>
        <v/>
      </c>
      <c r="F62" s="144">
        <v>2073</v>
      </c>
      <c r="G62" s="145" t="str">
        <f t="shared" si="10"/>
        <v/>
      </c>
      <c r="H62" s="146" t="str">
        <f t="shared" si="11"/>
        <v/>
      </c>
      <c r="I62" s="147" t="str">
        <f t="shared" si="12"/>
        <v/>
      </c>
      <c r="J62" s="148" t="str">
        <f t="shared" si="13"/>
        <v/>
      </c>
      <c r="K62" s="149" t="str">
        <f t="shared" si="14"/>
        <v/>
      </c>
      <c r="L62" s="150" t="str">
        <f t="shared" si="15"/>
        <v/>
      </c>
      <c r="M62" s="148" t="str">
        <f t="shared" si="16"/>
        <v/>
      </c>
      <c r="N62" s="149" t="str">
        <f t="shared" si="17"/>
        <v/>
      </c>
      <c r="O62" s="150" t="str">
        <f t="shared" si="18"/>
        <v/>
      </c>
      <c r="AA62" s="126"/>
    </row>
    <row r="63" spans="1:27" x14ac:dyDescent="0.55000000000000004">
      <c r="A63" s="144">
        <v>2074</v>
      </c>
      <c r="B63" s="240"/>
      <c r="C63" s="240"/>
      <c r="D63" s="240"/>
      <c r="E63" s="239" t="str">
        <f t="shared" si="9"/>
        <v/>
      </c>
      <c r="F63" s="144">
        <v>2074</v>
      </c>
      <c r="G63" s="145" t="str">
        <f t="shared" si="10"/>
        <v/>
      </c>
      <c r="H63" s="146" t="str">
        <f t="shared" si="11"/>
        <v/>
      </c>
      <c r="I63" s="147" t="str">
        <f t="shared" si="12"/>
        <v/>
      </c>
      <c r="J63" s="148" t="str">
        <f t="shared" si="13"/>
        <v/>
      </c>
      <c r="K63" s="149" t="str">
        <f t="shared" si="14"/>
        <v/>
      </c>
      <c r="L63" s="150" t="str">
        <f t="shared" si="15"/>
        <v/>
      </c>
      <c r="M63" s="148" t="str">
        <f t="shared" si="16"/>
        <v/>
      </c>
      <c r="N63" s="149" t="str">
        <f t="shared" si="17"/>
        <v/>
      </c>
      <c r="O63" s="150" t="str">
        <f t="shared" si="18"/>
        <v/>
      </c>
      <c r="AA63" s="126"/>
    </row>
    <row r="64" spans="1:27" x14ac:dyDescent="0.55000000000000004">
      <c r="A64" s="144">
        <v>2075</v>
      </c>
      <c r="B64" s="240"/>
      <c r="C64" s="240"/>
      <c r="D64" s="240"/>
      <c r="E64" s="239" t="str">
        <f t="shared" si="9"/>
        <v/>
      </c>
      <c r="F64" s="144">
        <v>2075</v>
      </c>
      <c r="G64" s="145" t="str">
        <f t="shared" si="10"/>
        <v/>
      </c>
      <c r="H64" s="146" t="str">
        <f t="shared" si="11"/>
        <v/>
      </c>
      <c r="I64" s="147" t="str">
        <f t="shared" si="12"/>
        <v/>
      </c>
      <c r="J64" s="148" t="str">
        <f t="shared" si="13"/>
        <v/>
      </c>
      <c r="K64" s="149" t="str">
        <f t="shared" si="14"/>
        <v/>
      </c>
      <c r="L64" s="150" t="str">
        <f t="shared" si="15"/>
        <v/>
      </c>
      <c r="M64" s="148" t="str">
        <f t="shared" si="16"/>
        <v/>
      </c>
      <c r="N64" s="149" t="str">
        <f t="shared" si="17"/>
        <v/>
      </c>
      <c r="O64" s="150" t="str">
        <f t="shared" si="18"/>
        <v/>
      </c>
      <c r="AA64" s="126"/>
    </row>
    <row r="65" spans="1:27" x14ac:dyDescent="0.55000000000000004">
      <c r="A65" s="144">
        <v>2076</v>
      </c>
      <c r="B65" s="240"/>
      <c r="C65" s="240"/>
      <c r="D65" s="240"/>
      <c r="E65" s="239" t="str">
        <f t="shared" si="9"/>
        <v/>
      </c>
      <c r="F65" s="144">
        <v>2076</v>
      </c>
      <c r="G65" s="145" t="str">
        <f t="shared" si="10"/>
        <v/>
      </c>
      <c r="H65" s="146" t="str">
        <f t="shared" si="11"/>
        <v/>
      </c>
      <c r="I65" s="147" t="str">
        <f t="shared" si="12"/>
        <v/>
      </c>
      <c r="J65" s="148" t="str">
        <f t="shared" si="13"/>
        <v/>
      </c>
      <c r="K65" s="149" t="str">
        <f t="shared" si="14"/>
        <v/>
      </c>
      <c r="L65" s="150" t="str">
        <f t="shared" si="15"/>
        <v/>
      </c>
      <c r="M65" s="148" t="str">
        <f t="shared" si="16"/>
        <v/>
      </c>
      <c r="N65" s="149" t="str">
        <f t="shared" si="17"/>
        <v/>
      </c>
      <c r="O65" s="150" t="str">
        <f t="shared" si="18"/>
        <v/>
      </c>
      <c r="AA65" s="126"/>
    </row>
    <row r="66" spans="1:27" x14ac:dyDescent="0.55000000000000004">
      <c r="A66" s="144">
        <v>2077</v>
      </c>
      <c r="B66" s="240"/>
      <c r="C66" s="240"/>
      <c r="D66" s="240"/>
      <c r="E66" s="239" t="str">
        <f t="shared" si="9"/>
        <v/>
      </c>
      <c r="F66" s="144">
        <v>2077</v>
      </c>
      <c r="G66" s="145" t="str">
        <f t="shared" si="10"/>
        <v/>
      </c>
      <c r="H66" s="146" t="str">
        <f t="shared" si="11"/>
        <v/>
      </c>
      <c r="I66" s="147" t="str">
        <f t="shared" si="12"/>
        <v/>
      </c>
      <c r="J66" s="148" t="str">
        <f t="shared" si="13"/>
        <v/>
      </c>
      <c r="K66" s="149" t="str">
        <f t="shared" si="14"/>
        <v/>
      </c>
      <c r="L66" s="150" t="str">
        <f t="shared" si="15"/>
        <v/>
      </c>
      <c r="M66" s="148" t="str">
        <f t="shared" si="16"/>
        <v/>
      </c>
      <c r="N66" s="149" t="str">
        <f t="shared" si="17"/>
        <v/>
      </c>
      <c r="O66" s="150" t="str">
        <f t="shared" si="18"/>
        <v/>
      </c>
      <c r="AA66" s="126"/>
    </row>
    <row r="67" spans="1:27" x14ac:dyDescent="0.55000000000000004">
      <c r="A67" s="144">
        <v>2078</v>
      </c>
      <c r="B67" s="240"/>
      <c r="C67" s="240"/>
      <c r="D67" s="240"/>
      <c r="E67" s="239" t="str">
        <f t="shared" si="9"/>
        <v/>
      </c>
      <c r="F67" s="144">
        <v>2078</v>
      </c>
      <c r="G67" s="145" t="str">
        <f t="shared" si="10"/>
        <v/>
      </c>
      <c r="H67" s="146" t="str">
        <f t="shared" si="11"/>
        <v/>
      </c>
      <c r="I67" s="147" t="str">
        <f t="shared" si="12"/>
        <v/>
      </c>
      <c r="J67" s="148" t="str">
        <f t="shared" si="13"/>
        <v/>
      </c>
      <c r="K67" s="149" t="str">
        <f t="shared" si="14"/>
        <v/>
      </c>
      <c r="L67" s="150" t="str">
        <f t="shared" si="15"/>
        <v/>
      </c>
      <c r="M67" s="148" t="str">
        <f t="shared" si="16"/>
        <v/>
      </c>
      <c r="N67" s="149" t="str">
        <f t="shared" si="17"/>
        <v/>
      </c>
      <c r="O67" s="150" t="str">
        <f t="shared" si="18"/>
        <v/>
      </c>
      <c r="AA67" s="126"/>
    </row>
    <row r="68" spans="1:27" x14ac:dyDescent="0.55000000000000004">
      <c r="A68" s="144">
        <v>2079</v>
      </c>
      <c r="B68" s="240"/>
      <c r="C68" s="240"/>
      <c r="D68" s="240"/>
      <c r="E68" s="239" t="str">
        <f t="shared" si="9"/>
        <v/>
      </c>
      <c r="F68" s="144">
        <v>2079</v>
      </c>
      <c r="G68" s="145" t="str">
        <f t="shared" si="10"/>
        <v/>
      </c>
      <c r="H68" s="146" t="str">
        <f t="shared" si="11"/>
        <v/>
      </c>
      <c r="I68" s="147" t="str">
        <f t="shared" si="12"/>
        <v/>
      </c>
      <c r="J68" s="148" t="str">
        <f t="shared" si="13"/>
        <v/>
      </c>
      <c r="K68" s="149" t="str">
        <f t="shared" si="14"/>
        <v/>
      </c>
      <c r="L68" s="150" t="str">
        <f t="shared" si="15"/>
        <v/>
      </c>
      <c r="M68" s="148" t="str">
        <f t="shared" si="16"/>
        <v/>
      </c>
      <c r="N68" s="149" t="str">
        <f t="shared" si="17"/>
        <v/>
      </c>
      <c r="O68" s="150" t="str">
        <f t="shared" si="18"/>
        <v/>
      </c>
      <c r="AA68" s="126"/>
    </row>
    <row r="69" spans="1:27" ht="14.7" thickBot="1" x14ac:dyDescent="0.6">
      <c r="A69" s="151">
        <v>2080</v>
      </c>
      <c r="B69" s="240"/>
      <c r="C69" s="240"/>
      <c r="D69" s="240"/>
      <c r="E69" s="239" t="str">
        <f t="shared" si="9"/>
        <v/>
      </c>
      <c r="F69" s="151">
        <v>2080</v>
      </c>
      <c r="G69" s="152" t="str">
        <f t="shared" si="10"/>
        <v/>
      </c>
      <c r="H69" s="153" t="str">
        <f t="shared" si="11"/>
        <v/>
      </c>
      <c r="I69" s="154" t="str">
        <f t="shared" si="12"/>
        <v/>
      </c>
      <c r="J69" s="152" t="str">
        <f t="shared" si="13"/>
        <v/>
      </c>
      <c r="K69" s="153" t="str">
        <f t="shared" si="14"/>
        <v/>
      </c>
      <c r="L69" s="154" t="str">
        <f t="shared" si="15"/>
        <v/>
      </c>
      <c r="M69" s="152" t="str">
        <f t="shared" si="16"/>
        <v/>
      </c>
      <c r="N69" s="153" t="str">
        <f t="shared" si="17"/>
        <v/>
      </c>
      <c r="O69" s="154" t="str">
        <f t="shared" si="18"/>
        <v/>
      </c>
      <c r="AA69" s="126"/>
    </row>
    <row r="70" spans="1:27" ht="14.7" thickBot="1" x14ac:dyDescent="0.6">
      <c r="A70" s="123" t="s">
        <v>10</v>
      </c>
      <c r="B70" s="27">
        <f>SUM(B9:B69)</f>
        <v>0</v>
      </c>
      <c r="C70" s="27">
        <f>SUM(C9:C69)</f>
        <v>0</v>
      </c>
      <c r="D70" s="28">
        <f>SUM(D9:D69)</f>
        <v>0</v>
      </c>
      <c r="E70" s="124"/>
      <c r="AA70" s="126"/>
    </row>
    <row r="71" spans="1:27" ht="14.7" thickBot="1" x14ac:dyDescent="0.6"/>
    <row r="72" spans="1:27" ht="14.7" thickBot="1" x14ac:dyDescent="0.6">
      <c r="A72" s="259" t="s">
        <v>59</v>
      </c>
      <c r="B72" s="260"/>
      <c r="C72" s="260"/>
      <c r="D72" s="260"/>
      <c r="E72" s="260"/>
      <c r="F72" s="260"/>
      <c r="G72" s="260"/>
      <c r="H72" s="260"/>
      <c r="I72" s="260"/>
      <c r="J72" s="261"/>
    </row>
    <row r="73" spans="1:27" ht="14.7" thickBot="1" x14ac:dyDescent="0.6">
      <c r="A73" s="127" t="s">
        <v>11</v>
      </c>
      <c r="B73" s="191" t="s">
        <v>6</v>
      </c>
      <c r="C73" s="192" t="s">
        <v>6</v>
      </c>
      <c r="D73" s="193" t="s">
        <v>6</v>
      </c>
      <c r="E73" s="194" t="s">
        <v>7</v>
      </c>
      <c r="F73" s="192" t="s">
        <v>7</v>
      </c>
      <c r="G73" s="195" t="s">
        <v>7</v>
      </c>
      <c r="H73" s="191" t="s">
        <v>8</v>
      </c>
      <c r="I73" s="192" t="s">
        <v>8</v>
      </c>
      <c r="J73" s="193" t="s">
        <v>8</v>
      </c>
    </row>
    <row r="74" spans="1:27" ht="43.5" thickBot="1" x14ac:dyDescent="0.6">
      <c r="A74" s="128" t="s">
        <v>83</v>
      </c>
      <c r="B74" s="196">
        <v>2.5000000000000001E-2</v>
      </c>
      <c r="C74" s="197">
        <v>0.02</v>
      </c>
      <c r="D74" s="198">
        <v>1.4999999999999999E-2</v>
      </c>
      <c r="E74" s="199">
        <v>2.5000000000000001E-2</v>
      </c>
      <c r="F74" s="197">
        <v>0.02</v>
      </c>
      <c r="G74" s="200">
        <v>1.4999999999999999E-2</v>
      </c>
      <c r="H74" s="196">
        <v>2.5000000000000001E-2</v>
      </c>
      <c r="I74" s="197">
        <v>0.02</v>
      </c>
      <c r="J74" s="198">
        <v>1.4999999999999999E-2</v>
      </c>
    </row>
    <row r="75" spans="1:27" x14ac:dyDescent="0.55000000000000004">
      <c r="A75" s="129">
        <v>2020</v>
      </c>
      <c r="B75" s="201">
        <v>117</v>
      </c>
      <c r="C75" s="202">
        <v>193</v>
      </c>
      <c r="D75" s="203">
        <v>337</v>
      </c>
      <c r="E75" s="204">
        <v>1257</v>
      </c>
      <c r="F75" s="205">
        <v>1648</v>
      </c>
      <c r="G75" s="206">
        <v>2305</v>
      </c>
      <c r="H75" s="207">
        <v>35232</v>
      </c>
      <c r="I75" s="205">
        <v>54139</v>
      </c>
      <c r="J75" s="208">
        <v>87284</v>
      </c>
    </row>
    <row r="76" spans="1:27" x14ac:dyDescent="0.55000000000000004">
      <c r="A76" s="130">
        <v>2021</v>
      </c>
      <c r="B76" s="209">
        <v>119</v>
      </c>
      <c r="C76" s="210">
        <v>197</v>
      </c>
      <c r="D76" s="211">
        <v>341</v>
      </c>
      <c r="E76" s="212">
        <v>1324</v>
      </c>
      <c r="F76" s="213">
        <v>1723</v>
      </c>
      <c r="G76" s="214">
        <v>2391</v>
      </c>
      <c r="H76" s="215">
        <v>36180</v>
      </c>
      <c r="I76" s="213">
        <v>55364</v>
      </c>
      <c r="J76" s="216">
        <v>88869</v>
      </c>
    </row>
    <row r="77" spans="1:27" x14ac:dyDescent="0.55000000000000004">
      <c r="A77" s="130">
        <v>2022</v>
      </c>
      <c r="B77" s="209">
        <v>122</v>
      </c>
      <c r="C77" s="210">
        <v>200</v>
      </c>
      <c r="D77" s="211">
        <v>346</v>
      </c>
      <c r="E77" s="212">
        <v>1390</v>
      </c>
      <c r="F77" s="213">
        <v>1799</v>
      </c>
      <c r="G77" s="214">
        <v>2478</v>
      </c>
      <c r="H77" s="215">
        <v>37128</v>
      </c>
      <c r="I77" s="213">
        <v>56590</v>
      </c>
      <c r="J77" s="216">
        <v>90454</v>
      </c>
    </row>
    <row r="78" spans="1:27" x14ac:dyDescent="0.55000000000000004">
      <c r="A78" s="130">
        <v>2023</v>
      </c>
      <c r="B78" s="209">
        <v>125</v>
      </c>
      <c r="C78" s="210">
        <v>204</v>
      </c>
      <c r="D78" s="211">
        <v>351</v>
      </c>
      <c r="E78" s="212">
        <v>1457</v>
      </c>
      <c r="F78" s="213">
        <v>1874</v>
      </c>
      <c r="G78" s="214">
        <v>2564</v>
      </c>
      <c r="H78" s="215">
        <v>38076</v>
      </c>
      <c r="I78" s="213">
        <v>57816</v>
      </c>
      <c r="J78" s="216">
        <v>92040</v>
      </c>
    </row>
    <row r="79" spans="1:27" x14ac:dyDescent="0.55000000000000004">
      <c r="A79" s="130">
        <v>2024</v>
      </c>
      <c r="B79" s="209">
        <v>128</v>
      </c>
      <c r="C79" s="210">
        <v>208</v>
      </c>
      <c r="D79" s="211">
        <v>356</v>
      </c>
      <c r="E79" s="212">
        <v>1524</v>
      </c>
      <c r="F79" s="213">
        <v>1950</v>
      </c>
      <c r="G79" s="214">
        <v>2650</v>
      </c>
      <c r="H79" s="215">
        <v>39024</v>
      </c>
      <c r="I79" s="213">
        <v>59041</v>
      </c>
      <c r="J79" s="216">
        <v>93625</v>
      </c>
    </row>
    <row r="80" spans="1:27" x14ac:dyDescent="0.55000000000000004">
      <c r="A80" s="130">
        <v>2025</v>
      </c>
      <c r="B80" s="209">
        <v>130</v>
      </c>
      <c r="C80" s="210">
        <v>212</v>
      </c>
      <c r="D80" s="211">
        <v>360</v>
      </c>
      <c r="E80" s="212">
        <v>1590</v>
      </c>
      <c r="F80" s="213">
        <v>2025</v>
      </c>
      <c r="G80" s="214">
        <v>2737</v>
      </c>
      <c r="H80" s="215">
        <v>39972</v>
      </c>
      <c r="I80" s="213">
        <v>60267</v>
      </c>
      <c r="J80" s="216">
        <v>95210</v>
      </c>
    </row>
    <row r="81" spans="1:10" x14ac:dyDescent="0.55000000000000004">
      <c r="A81" s="130">
        <v>2026</v>
      </c>
      <c r="B81" s="209">
        <v>133</v>
      </c>
      <c r="C81" s="210">
        <v>215</v>
      </c>
      <c r="D81" s="211">
        <v>365</v>
      </c>
      <c r="E81" s="212">
        <v>1657</v>
      </c>
      <c r="F81" s="213">
        <v>2101</v>
      </c>
      <c r="G81" s="214">
        <v>2823</v>
      </c>
      <c r="H81" s="215">
        <v>40920</v>
      </c>
      <c r="I81" s="213">
        <v>61492</v>
      </c>
      <c r="J81" s="216">
        <v>96796</v>
      </c>
    </row>
    <row r="82" spans="1:10" x14ac:dyDescent="0.55000000000000004">
      <c r="A82" s="130">
        <v>2027</v>
      </c>
      <c r="B82" s="209">
        <v>136</v>
      </c>
      <c r="C82" s="210">
        <v>219</v>
      </c>
      <c r="D82" s="211">
        <v>370</v>
      </c>
      <c r="E82" s="212">
        <v>1724</v>
      </c>
      <c r="F82" s="213">
        <v>2176</v>
      </c>
      <c r="G82" s="214">
        <v>2910</v>
      </c>
      <c r="H82" s="215">
        <v>41868</v>
      </c>
      <c r="I82" s="213">
        <v>62718</v>
      </c>
      <c r="J82" s="216">
        <v>98381</v>
      </c>
    </row>
    <row r="83" spans="1:10" x14ac:dyDescent="0.55000000000000004">
      <c r="A83" s="130">
        <v>2028</v>
      </c>
      <c r="B83" s="209">
        <v>139</v>
      </c>
      <c r="C83" s="210">
        <v>223</v>
      </c>
      <c r="D83" s="211">
        <v>375</v>
      </c>
      <c r="E83" s="212">
        <v>1791</v>
      </c>
      <c r="F83" s="213">
        <v>2252</v>
      </c>
      <c r="G83" s="214">
        <v>2996</v>
      </c>
      <c r="H83" s="215">
        <v>42816</v>
      </c>
      <c r="I83" s="213">
        <v>63944</v>
      </c>
      <c r="J83" s="216">
        <v>99966</v>
      </c>
    </row>
    <row r="84" spans="1:10" x14ac:dyDescent="0.55000000000000004">
      <c r="A84" s="130">
        <v>2029</v>
      </c>
      <c r="B84" s="209">
        <v>141</v>
      </c>
      <c r="C84" s="210">
        <v>226</v>
      </c>
      <c r="D84" s="211">
        <v>380</v>
      </c>
      <c r="E84" s="212">
        <v>1857</v>
      </c>
      <c r="F84" s="213">
        <v>2327</v>
      </c>
      <c r="G84" s="214">
        <v>3083</v>
      </c>
      <c r="H84" s="215">
        <v>43764</v>
      </c>
      <c r="I84" s="213">
        <v>65169</v>
      </c>
      <c r="J84" s="216">
        <v>101552</v>
      </c>
    </row>
    <row r="85" spans="1:10" x14ac:dyDescent="0.55000000000000004">
      <c r="A85" s="130">
        <v>2030</v>
      </c>
      <c r="B85" s="209">
        <v>144</v>
      </c>
      <c r="C85" s="210">
        <v>230</v>
      </c>
      <c r="D85" s="211">
        <v>384</v>
      </c>
      <c r="E85" s="212">
        <v>1924</v>
      </c>
      <c r="F85" s="213">
        <v>2403</v>
      </c>
      <c r="G85" s="214">
        <v>3169</v>
      </c>
      <c r="H85" s="215">
        <v>44712</v>
      </c>
      <c r="I85" s="213">
        <v>66395</v>
      </c>
      <c r="J85" s="216">
        <v>103137</v>
      </c>
    </row>
    <row r="86" spans="1:10" x14ac:dyDescent="0.55000000000000004">
      <c r="A86" s="130">
        <v>2031</v>
      </c>
      <c r="B86" s="209">
        <v>147</v>
      </c>
      <c r="C86" s="210">
        <v>234</v>
      </c>
      <c r="D86" s="211">
        <v>389</v>
      </c>
      <c r="E86" s="212">
        <v>2002</v>
      </c>
      <c r="F86" s="213">
        <v>2490</v>
      </c>
      <c r="G86" s="214">
        <v>3270</v>
      </c>
      <c r="H86" s="215">
        <v>45693</v>
      </c>
      <c r="I86" s="213">
        <v>67645</v>
      </c>
      <c r="J86" s="216">
        <v>104727</v>
      </c>
    </row>
    <row r="87" spans="1:10" x14ac:dyDescent="0.55000000000000004">
      <c r="A87" s="130">
        <v>2032</v>
      </c>
      <c r="B87" s="209">
        <v>150</v>
      </c>
      <c r="C87" s="210">
        <v>237</v>
      </c>
      <c r="D87" s="211">
        <v>394</v>
      </c>
      <c r="E87" s="212">
        <v>2080</v>
      </c>
      <c r="F87" s="213">
        <v>2578</v>
      </c>
      <c r="G87" s="214">
        <v>3371</v>
      </c>
      <c r="H87" s="215">
        <v>46674</v>
      </c>
      <c r="I87" s="213">
        <v>68895</v>
      </c>
      <c r="J87" s="216">
        <v>106316</v>
      </c>
    </row>
    <row r="88" spans="1:10" x14ac:dyDescent="0.55000000000000004">
      <c r="A88" s="130">
        <v>2033</v>
      </c>
      <c r="B88" s="209">
        <v>153</v>
      </c>
      <c r="C88" s="210">
        <v>241</v>
      </c>
      <c r="D88" s="211">
        <v>398</v>
      </c>
      <c r="E88" s="212">
        <v>2157</v>
      </c>
      <c r="F88" s="213">
        <v>2666</v>
      </c>
      <c r="G88" s="214">
        <v>3471</v>
      </c>
      <c r="H88" s="215">
        <v>47655</v>
      </c>
      <c r="I88" s="213">
        <v>70145</v>
      </c>
      <c r="J88" s="216">
        <v>107906</v>
      </c>
    </row>
    <row r="89" spans="1:10" x14ac:dyDescent="0.55000000000000004">
      <c r="A89" s="130">
        <v>2034</v>
      </c>
      <c r="B89" s="209">
        <v>155</v>
      </c>
      <c r="C89" s="210">
        <v>245</v>
      </c>
      <c r="D89" s="211">
        <v>403</v>
      </c>
      <c r="E89" s="212">
        <v>2235</v>
      </c>
      <c r="F89" s="213">
        <v>2754</v>
      </c>
      <c r="G89" s="214">
        <v>3572</v>
      </c>
      <c r="H89" s="215">
        <v>48636</v>
      </c>
      <c r="I89" s="213">
        <v>71394</v>
      </c>
      <c r="J89" s="216">
        <v>109495</v>
      </c>
    </row>
    <row r="90" spans="1:10" x14ac:dyDescent="0.55000000000000004">
      <c r="A90" s="130">
        <v>2035</v>
      </c>
      <c r="B90" s="209">
        <v>158</v>
      </c>
      <c r="C90" s="210">
        <v>248</v>
      </c>
      <c r="D90" s="211">
        <v>408</v>
      </c>
      <c r="E90" s="212">
        <v>2313</v>
      </c>
      <c r="F90" s="213">
        <v>2842</v>
      </c>
      <c r="G90" s="214">
        <v>3673</v>
      </c>
      <c r="H90" s="215">
        <v>49617</v>
      </c>
      <c r="I90" s="213">
        <v>72644</v>
      </c>
      <c r="J90" s="216">
        <v>111085</v>
      </c>
    </row>
    <row r="91" spans="1:10" x14ac:dyDescent="0.55000000000000004">
      <c r="A91" s="130">
        <v>2036</v>
      </c>
      <c r="B91" s="209">
        <v>161</v>
      </c>
      <c r="C91" s="210">
        <v>252</v>
      </c>
      <c r="D91" s="211">
        <v>412</v>
      </c>
      <c r="E91" s="212">
        <v>2391</v>
      </c>
      <c r="F91" s="213">
        <v>2929</v>
      </c>
      <c r="G91" s="214">
        <v>3774</v>
      </c>
      <c r="H91" s="215">
        <v>50598</v>
      </c>
      <c r="I91" s="213">
        <v>73894</v>
      </c>
      <c r="J91" s="216">
        <v>112674</v>
      </c>
    </row>
    <row r="92" spans="1:10" x14ac:dyDescent="0.55000000000000004">
      <c r="A92" s="130">
        <v>2037</v>
      </c>
      <c r="B92" s="209">
        <v>164</v>
      </c>
      <c r="C92" s="210">
        <v>256</v>
      </c>
      <c r="D92" s="211">
        <v>417</v>
      </c>
      <c r="E92" s="212">
        <v>2468</v>
      </c>
      <c r="F92" s="213">
        <v>3017</v>
      </c>
      <c r="G92" s="214">
        <v>3875</v>
      </c>
      <c r="H92" s="215">
        <v>51578</v>
      </c>
      <c r="I92" s="213">
        <v>75144</v>
      </c>
      <c r="J92" s="216">
        <v>114264</v>
      </c>
    </row>
    <row r="93" spans="1:10" x14ac:dyDescent="0.55000000000000004">
      <c r="A93" s="130">
        <v>2038</v>
      </c>
      <c r="B93" s="209">
        <v>167</v>
      </c>
      <c r="C93" s="210">
        <v>259</v>
      </c>
      <c r="D93" s="211">
        <v>422</v>
      </c>
      <c r="E93" s="212">
        <v>2546</v>
      </c>
      <c r="F93" s="213">
        <v>3105</v>
      </c>
      <c r="G93" s="214">
        <v>3975</v>
      </c>
      <c r="H93" s="215">
        <v>52559</v>
      </c>
      <c r="I93" s="213">
        <v>76394</v>
      </c>
      <c r="J93" s="216">
        <v>115853</v>
      </c>
    </row>
    <row r="94" spans="1:10" x14ac:dyDescent="0.55000000000000004">
      <c r="A94" s="130">
        <v>2039</v>
      </c>
      <c r="B94" s="209">
        <v>170</v>
      </c>
      <c r="C94" s="210">
        <v>263</v>
      </c>
      <c r="D94" s="211">
        <v>426</v>
      </c>
      <c r="E94" s="212">
        <v>2624</v>
      </c>
      <c r="F94" s="213">
        <v>3193</v>
      </c>
      <c r="G94" s="214">
        <v>4076</v>
      </c>
      <c r="H94" s="215">
        <v>53540</v>
      </c>
      <c r="I94" s="213">
        <v>77644</v>
      </c>
      <c r="J94" s="216">
        <v>117443</v>
      </c>
    </row>
    <row r="95" spans="1:10" x14ac:dyDescent="0.55000000000000004">
      <c r="A95" s="130">
        <v>2040</v>
      </c>
      <c r="B95" s="209">
        <v>173</v>
      </c>
      <c r="C95" s="210">
        <v>267</v>
      </c>
      <c r="D95" s="211">
        <v>431</v>
      </c>
      <c r="E95" s="212">
        <v>2702</v>
      </c>
      <c r="F95" s="213">
        <v>3280</v>
      </c>
      <c r="G95" s="214">
        <v>4177</v>
      </c>
      <c r="H95" s="215">
        <v>54521</v>
      </c>
      <c r="I95" s="213">
        <v>78894</v>
      </c>
      <c r="J95" s="216">
        <v>119032</v>
      </c>
    </row>
    <row r="96" spans="1:10" x14ac:dyDescent="0.55000000000000004">
      <c r="A96" s="130">
        <v>2041</v>
      </c>
      <c r="B96" s="209">
        <v>176</v>
      </c>
      <c r="C96" s="210">
        <v>271</v>
      </c>
      <c r="D96" s="211">
        <v>436</v>
      </c>
      <c r="E96" s="212">
        <v>2786</v>
      </c>
      <c r="F96" s="213">
        <v>3375</v>
      </c>
      <c r="G96" s="214">
        <v>4285</v>
      </c>
      <c r="H96" s="215">
        <v>55632</v>
      </c>
      <c r="I96" s="213">
        <v>80304</v>
      </c>
      <c r="J96" s="216">
        <v>120809</v>
      </c>
    </row>
    <row r="97" spans="1:10" x14ac:dyDescent="0.55000000000000004">
      <c r="A97" s="130">
        <v>2042</v>
      </c>
      <c r="B97" s="209">
        <v>179</v>
      </c>
      <c r="C97" s="210">
        <v>275</v>
      </c>
      <c r="D97" s="211">
        <v>441</v>
      </c>
      <c r="E97" s="212">
        <v>2871</v>
      </c>
      <c r="F97" s="213">
        <v>3471</v>
      </c>
      <c r="G97" s="214">
        <v>4394</v>
      </c>
      <c r="H97" s="215">
        <v>56744</v>
      </c>
      <c r="I97" s="213">
        <v>81714</v>
      </c>
      <c r="J97" s="216">
        <v>122586</v>
      </c>
    </row>
    <row r="98" spans="1:10" x14ac:dyDescent="0.55000000000000004">
      <c r="A98" s="130">
        <v>2043</v>
      </c>
      <c r="B98" s="209">
        <v>182</v>
      </c>
      <c r="C98" s="210">
        <v>279</v>
      </c>
      <c r="D98" s="211">
        <v>446</v>
      </c>
      <c r="E98" s="212">
        <v>2955</v>
      </c>
      <c r="F98" s="213">
        <v>3566</v>
      </c>
      <c r="G98" s="214">
        <v>4502</v>
      </c>
      <c r="H98" s="215">
        <v>57855</v>
      </c>
      <c r="I98" s="213">
        <v>83124</v>
      </c>
      <c r="J98" s="216">
        <v>124362</v>
      </c>
    </row>
    <row r="99" spans="1:10" x14ac:dyDescent="0.55000000000000004">
      <c r="A99" s="130">
        <v>2044</v>
      </c>
      <c r="B99" s="209">
        <v>186</v>
      </c>
      <c r="C99" s="210">
        <v>283</v>
      </c>
      <c r="D99" s="211">
        <v>451</v>
      </c>
      <c r="E99" s="212">
        <v>3040</v>
      </c>
      <c r="F99" s="213">
        <v>3661</v>
      </c>
      <c r="G99" s="214">
        <v>4610</v>
      </c>
      <c r="H99" s="215">
        <v>58966</v>
      </c>
      <c r="I99" s="213">
        <v>84535</v>
      </c>
      <c r="J99" s="216">
        <v>126139</v>
      </c>
    </row>
    <row r="100" spans="1:10" x14ac:dyDescent="0.55000000000000004">
      <c r="A100" s="130">
        <v>2045</v>
      </c>
      <c r="B100" s="209">
        <v>189</v>
      </c>
      <c r="C100" s="210">
        <v>287</v>
      </c>
      <c r="D100" s="211">
        <v>456</v>
      </c>
      <c r="E100" s="212">
        <v>3124</v>
      </c>
      <c r="F100" s="213">
        <v>3756</v>
      </c>
      <c r="G100" s="214">
        <v>4718</v>
      </c>
      <c r="H100" s="215">
        <v>60078</v>
      </c>
      <c r="I100" s="213">
        <v>85945</v>
      </c>
      <c r="J100" s="216">
        <v>127916</v>
      </c>
    </row>
    <row r="101" spans="1:10" x14ac:dyDescent="0.55000000000000004">
      <c r="A101" s="130">
        <v>2046</v>
      </c>
      <c r="B101" s="209">
        <v>192</v>
      </c>
      <c r="C101" s="210">
        <v>291</v>
      </c>
      <c r="D101" s="211">
        <v>462</v>
      </c>
      <c r="E101" s="212">
        <v>3209</v>
      </c>
      <c r="F101" s="213">
        <v>3851</v>
      </c>
      <c r="G101" s="214">
        <v>4827</v>
      </c>
      <c r="H101" s="215">
        <v>61189</v>
      </c>
      <c r="I101" s="213">
        <v>87355</v>
      </c>
      <c r="J101" s="216">
        <v>129693</v>
      </c>
    </row>
    <row r="102" spans="1:10" x14ac:dyDescent="0.55000000000000004">
      <c r="A102" s="130">
        <v>2047</v>
      </c>
      <c r="B102" s="209">
        <v>195</v>
      </c>
      <c r="C102" s="210">
        <v>296</v>
      </c>
      <c r="D102" s="211">
        <v>467</v>
      </c>
      <c r="E102" s="212">
        <v>3293</v>
      </c>
      <c r="F102" s="213">
        <v>3946</v>
      </c>
      <c r="G102" s="214">
        <v>4935</v>
      </c>
      <c r="H102" s="215">
        <v>62301</v>
      </c>
      <c r="I102" s="213">
        <v>88765</v>
      </c>
      <c r="J102" s="216">
        <v>131469</v>
      </c>
    </row>
    <row r="103" spans="1:10" x14ac:dyDescent="0.55000000000000004">
      <c r="A103" s="130">
        <v>2048</v>
      </c>
      <c r="B103" s="209">
        <v>199</v>
      </c>
      <c r="C103" s="210">
        <v>300</v>
      </c>
      <c r="D103" s="211">
        <v>472</v>
      </c>
      <c r="E103" s="212">
        <v>3378</v>
      </c>
      <c r="F103" s="213">
        <v>4041</v>
      </c>
      <c r="G103" s="214">
        <v>5043</v>
      </c>
      <c r="H103" s="215">
        <v>63412</v>
      </c>
      <c r="I103" s="213">
        <v>90176</v>
      </c>
      <c r="J103" s="216">
        <v>133246</v>
      </c>
    </row>
    <row r="104" spans="1:10" x14ac:dyDescent="0.55000000000000004">
      <c r="A104" s="130">
        <v>2049</v>
      </c>
      <c r="B104" s="209">
        <v>202</v>
      </c>
      <c r="C104" s="210">
        <v>304</v>
      </c>
      <c r="D104" s="211">
        <v>477</v>
      </c>
      <c r="E104" s="212">
        <v>3462</v>
      </c>
      <c r="F104" s="213">
        <v>4136</v>
      </c>
      <c r="G104" s="214">
        <v>5151</v>
      </c>
      <c r="H104" s="215">
        <v>64523</v>
      </c>
      <c r="I104" s="213">
        <v>91586</v>
      </c>
      <c r="J104" s="216">
        <v>135023</v>
      </c>
    </row>
    <row r="105" spans="1:10" x14ac:dyDescent="0.55000000000000004">
      <c r="A105" s="130">
        <v>2050</v>
      </c>
      <c r="B105" s="209">
        <v>205</v>
      </c>
      <c r="C105" s="210">
        <v>308</v>
      </c>
      <c r="D105" s="211">
        <v>482</v>
      </c>
      <c r="E105" s="212">
        <v>3547</v>
      </c>
      <c r="F105" s="213">
        <v>4231</v>
      </c>
      <c r="G105" s="214">
        <v>5260</v>
      </c>
      <c r="H105" s="215">
        <v>65635</v>
      </c>
      <c r="I105" s="213">
        <v>92996</v>
      </c>
      <c r="J105" s="216">
        <v>136799</v>
      </c>
    </row>
    <row r="106" spans="1:10" x14ac:dyDescent="0.55000000000000004">
      <c r="A106" s="130">
        <v>2051</v>
      </c>
      <c r="B106" s="209">
        <v>208</v>
      </c>
      <c r="C106" s="210">
        <v>312</v>
      </c>
      <c r="D106" s="211">
        <v>487</v>
      </c>
      <c r="E106" s="212">
        <v>3624</v>
      </c>
      <c r="F106" s="213">
        <v>4320</v>
      </c>
      <c r="G106" s="214">
        <v>5363</v>
      </c>
      <c r="H106" s="215">
        <v>66673</v>
      </c>
      <c r="I106" s="213">
        <v>94319</v>
      </c>
      <c r="J106" s="216">
        <v>138479</v>
      </c>
    </row>
    <row r="107" spans="1:10" x14ac:dyDescent="0.55000000000000004">
      <c r="A107" s="130">
        <v>2052</v>
      </c>
      <c r="B107" s="209">
        <v>211</v>
      </c>
      <c r="C107" s="210">
        <v>315</v>
      </c>
      <c r="D107" s="211">
        <v>491</v>
      </c>
      <c r="E107" s="212">
        <v>3701</v>
      </c>
      <c r="F107" s="213">
        <v>4409</v>
      </c>
      <c r="G107" s="214">
        <v>5466</v>
      </c>
      <c r="H107" s="215">
        <v>67712</v>
      </c>
      <c r="I107" s="213">
        <v>95642</v>
      </c>
      <c r="J107" s="216">
        <v>140158</v>
      </c>
    </row>
    <row r="108" spans="1:10" x14ac:dyDescent="0.55000000000000004">
      <c r="A108" s="130">
        <v>2053</v>
      </c>
      <c r="B108" s="209">
        <v>214</v>
      </c>
      <c r="C108" s="210">
        <v>319</v>
      </c>
      <c r="D108" s="211">
        <v>496</v>
      </c>
      <c r="E108" s="212">
        <v>3779</v>
      </c>
      <c r="F108" s="213">
        <v>4497</v>
      </c>
      <c r="G108" s="214">
        <v>5569</v>
      </c>
      <c r="H108" s="215">
        <v>68750</v>
      </c>
      <c r="I108" s="213">
        <v>96965</v>
      </c>
      <c r="J108" s="216">
        <v>141838</v>
      </c>
    </row>
    <row r="109" spans="1:10" x14ac:dyDescent="0.55000000000000004">
      <c r="A109" s="130">
        <v>2054</v>
      </c>
      <c r="B109" s="209">
        <v>217</v>
      </c>
      <c r="C109" s="210">
        <v>323</v>
      </c>
      <c r="D109" s="211">
        <v>500</v>
      </c>
      <c r="E109" s="212">
        <v>3856</v>
      </c>
      <c r="F109" s="213">
        <v>4586</v>
      </c>
      <c r="G109" s="214">
        <v>5672</v>
      </c>
      <c r="H109" s="215">
        <v>69789</v>
      </c>
      <c r="I109" s="213">
        <v>98288</v>
      </c>
      <c r="J109" s="216">
        <v>143517</v>
      </c>
    </row>
    <row r="110" spans="1:10" x14ac:dyDescent="0.55000000000000004">
      <c r="A110" s="130">
        <v>2055</v>
      </c>
      <c r="B110" s="209">
        <v>220</v>
      </c>
      <c r="C110" s="210">
        <v>326</v>
      </c>
      <c r="D110" s="211">
        <v>505</v>
      </c>
      <c r="E110" s="212">
        <v>3933</v>
      </c>
      <c r="F110" s="213">
        <v>4675</v>
      </c>
      <c r="G110" s="214">
        <v>5774</v>
      </c>
      <c r="H110" s="215">
        <v>70827</v>
      </c>
      <c r="I110" s="213">
        <v>99612</v>
      </c>
      <c r="J110" s="216">
        <v>145196</v>
      </c>
    </row>
    <row r="111" spans="1:10" x14ac:dyDescent="0.55000000000000004">
      <c r="A111" s="130">
        <v>2056</v>
      </c>
      <c r="B111" s="209">
        <v>222</v>
      </c>
      <c r="C111" s="210">
        <v>330</v>
      </c>
      <c r="D111" s="211">
        <v>510</v>
      </c>
      <c r="E111" s="212">
        <v>4011</v>
      </c>
      <c r="F111" s="213">
        <v>4763</v>
      </c>
      <c r="G111" s="214">
        <v>5877</v>
      </c>
      <c r="H111" s="215">
        <v>71866</v>
      </c>
      <c r="I111" s="213">
        <v>100935</v>
      </c>
      <c r="J111" s="216">
        <v>146876</v>
      </c>
    </row>
    <row r="112" spans="1:10" x14ac:dyDescent="0.55000000000000004">
      <c r="A112" s="130">
        <v>2057</v>
      </c>
      <c r="B112" s="209">
        <v>225</v>
      </c>
      <c r="C112" s="210">
        <v>334</v>
      </c>
      <c r="D112" s="211">
        <v>514</v>
      </c>
      <c r="E112" s="212">
        <v>4088</v>
      </c>
      <c r="F112" s="213">
        <v>4852</v>
      </c>
      <c r="G112" s="214">
        <v>5980</v>
      </c>
      <c r="H112" s="215">
        <v>72904</v>
      </c>
      <c r="I112" s="213">
        <v>102258</v>
      </c>
      <c r="J112" s="216">
        <v>148555</v>
      </c>
    </row>
    <row r="113" spans="1:10" x14ac:dyDescent="0.55000000000000004">
      <c r="A113" s="130">
        <v>2058</v>
      </c>
      <c r="B113" s="209">
        <v>228</v>
      </c>
      <c r="C113" s="210">
        <v>338</v>
      </c>
      <c r="D113" s="211">
        <v>519</v>
      </c>
      <c r="E113" s="212">
        <v>4165</v>
      </c>
      <c r="F113" s="213">
        <v>4941</v>
      </c>
      <c r="G113" s="214">
        <v>6083</v>
      </c>
      <c r="H113" s="215">
        <v>73943</v>
      </c>
      <c r="I113" s="213">
        <v>103581</v>
      </c>
      <c r="J113" s="216">
        <v>150235</v>
      </c>
    </row>
    <row r="114" spans="1:10" x14ac:dyDescent="0.55000000000000004">
      <c r="A114" s="130">
        <v>2059</v>
      </c>
      <c r="B114" s="209">
        <v>231</v>
      </c>
      <c r="C114" s="210">
        <v>341</v>
      </c>
      <c r="D114" s="211">
        <v>523</v>
      </c>
      <c r="E114" s="212">
        <v>4243</v>
      </c>
      <c r="F114" s="213">
        <v>5029</v>
      </c>
      <c r="G114" s="214">
        <v>6186</v>
      </c>
      <c r="H114" s="215">
        <v>74981</v>
      </c>
      <c r="I114" s="213">
        <v>104904</v>
      </c>
      <c r="J114" s="216">
        <v>151914</v>
      </c>
    </row>
    <row r="115" spans="1:10" x14ac:dyDescent="0.55000000000000004">
      <c r="A115" s="130">
        <v>2060</v>
      </c>
      <c r="B115" s="209">
        <v>234</v>
      </c>
      <c r="C115" s="210">
        <v>345</v>
      </c>
      <c r="D115" s="211">
        <v>528</v>
      </c>
      <c r="E115" s="212">
        <v>4320</v>
      </c>
      <c r="F115" s="213">
        <v>5118</v>
      </c>
      <c r="G115" s="214">
        <v>6289</v>
      </c>
      <c r="H115" s="215">
        <v>76020</v>
      </c>
      <c r="I115" s="213">
        <v>106227</v>
      </c>
      <c r="J115" s="216">
        <v>153594</v>
      </c>
    </row>
    <row r="116" spans="1:10" x14ac:dyDescent="0.55000000000000004">
      <c r="A116" s="130">
        <v>2061</v>
      </c>
      <c r="B116" s="209">
        <v>236</v>
      </c>
      <c r="C116" s="210">
        <v>348</v>
      </c>
      <c r="D116" s="211">
        <v>532</v>
      </c>
      <c r="E116" s="212">
        <v>4389</v>
      </c>
      <c r="F116" s="213">
        <v>5199</v>
      </c>
      <c r="G116" s="214">
        <v>6385</v>
      </c>
      <c r="H116" s="215">
        <v>76920</v>
      </c>
      <c r="I116" s="213">
        <v>107385</v>
      </c>
      <c r="J116" s="216">
        <v>155085</v>
      </c>
    </row>
    <row r="117" spans="1:10" x14ac:dyDescent="0.55000000000000004">
      <c r="A117" s="130">
        <v>2062</v>
      </c>
      <c r="B117" s="209">
        <v>239</v>
      </c>
      <c r="C117" s="210">
        <v>351</v>
      </c>
      <c r="D117" s="211">
        <v>535</v>
      </c>
      <c r="E117" s="212">
        <v>4458</v>
      </c>
      <c r="F117" s="213">
        <v>5280</v>
      </c>
      <c r="G117" s="214">
        <v>6480</v>
      </c>
      <c r="H117" s="215">
        <v>77820</v>
      </c>
      <c r="I117" s="213">
        <v>108542</v>
      </c>
      <c r="J117" s="216">
        <v>156576</v>
      </c>
    </row>
    <row r="118" spans="1:10" x14ac:dyDescent="0.55000000000000004">
      <c r="A118" s="130">
        <v>2063</v>
      </c>
      <c r="B118" s="209">
        <v>241</v>
      </c>
      <c r="C118" s="210">
        <v>354</v>
      </c>
      <c r="D118" s="211">
        <v>539</v>
      </c>
      <c r="E118" s="212">
        <v>4527</v>
      </c>
      <c r="F118" s="213">
        <v>5361</v>
      </c>
      <c r="G118" s="214">
        <v>6576</v>
      </c>
      <c r="H118" s="215">
        <v>78720</v>
      </c>
      <c r="I118" s="213">
        <v>109700</v>
      </c>
      <c r="J118" s="216">
        <v>158066</v>
      </c>
    </row>
    <row r="119" spans="1:10" x14ac:dyDescent="0.55000000000000004">
      <c r="A119" s="130">
        <v>2064</v>
      </c>
      <c r="B119" s="209">
        <v>244</v>
      </c>
      <c r="C119" s="210">
        <v>357</v>
      </c>
      <c r="D119" s="211">
        <v>543</v>
      </c>
      <c r="E119" s="212">
        <v>4596</v>
      </c>
      <c r="F119" s="213">
        <v>5442</v>
      </c>
      <c r="G119" s="214">
        <v>6671</v>
      </c>
      <c r="H119" s="215">
        <v>79620</v>
      </c>
      <c r="I119" s="213">
        <v>110857</v>
      </c>
      <c r="J119" s="216">
        <v>159557</v>
      </c>
    </row>
    <row r="120" spans="1:10" x14ac:dyDescent="0.55000000000000004">
      <c r="A120" s="130">
        <v>2065</v>
      </c>
      <c r="B120" s="209">
        <v>246</v>
      </c>
      <c r="C120" s="210">
        <v>360</v>
      </c>
      <c r="D120" s="211">
        <v>547</v>
      </c>
      <c r="E120" s="212">
        <v>4666</v>
      </c>
      <c r="F120" s="213">
        <v>5523</v>
      </c>
      <c r="G120" s="214">
        <v>6767</v>
      </c>
      <c r="H120" s="215">
        <v>80520</v>
      </c>
      <c r="I120" s="213">
        <v>112015</v>
      </c>
      <c r="J120" s="216">
        <v>161048</v>
      </c>
    </row>
    <row r="121" spans="1:10" x14ac:dyDescent="0.55000000000000004">
      <c r="A121" s="130">
        <v>2066</v>
      </c>
      <c r="B121" s="209">
        <v>248</v>
      </c>
      <c r="C121" s="210">
        <v>363</v>
      </c>
      <c r="D121" s="211">
        <v>550</v>
      </c>
      <c r="E121" s="212">
        <v>4735</v>
      </c>
      <c r="F121" s="213">
        <v>5604</v>
      </c>
      <c r="G121" s="214">
        <v>6862</v>
      </c>
      <c r="H121" s="215">
        <v>81419</v>
      </c>
      <c r="I121" s="213">
        <v>113172</v>
      </c>
      <c r="J121" s="216">
        <v>162539</v>
      </c>
    </row>
    <row r="122" spans="1:10" x14ac:dyDescent="0.55000000000000004">
      <c r="A122" s="130">
        <v>2067</v>
      </c>
      <c r="B122" s="209">
        <v>251</v>
      </c>
      <c r="C122" s="210">
        <v>366</v>
      </c>
      <c r="D122" s="211">
        <v>554</v>
      </c>
      <c r="E122" s="212">
        <v>4804</v>
      </c>
      <c r="F122" s="213">
        <v>5685</v>
      </c>
      <c r="G122" s="214">
        <v>6958</v>
      </c>
      <c r="H122" s="215">
        <v>82319</v>
      </c>
      <c r="I122" s="213">
        <v>114330</v>
      </c>
      <c r="J122" s="216">
        <v>164030</v>
      </c>
    </row>
    <row r="123" spans="1:10" x14ac:dyDescent="0.55000000000000004">
      <c r="A123" s="130">
        <v>2068</v>
      </c>
      <c r="B123" s="209">
        <v>253</v>
      </c>
      <c r="C123" s="210">
        <v>369</v>
      </c>
      <c r="D123" s="211">
        <v>558</v>
      </c>
      <c r="E123" s="212">
        <v>4873</v>
      </c>
      <c r="F123" s="213">
        <v>5765</v>
      </c>
      <c r="G123" s="214">
        <v>7053</v>
      </c>
      <c r="H123" s="215">
        <v>83219</v>
      </c>
      <c r="I123" s="213">
        <v>115487</v>
      </c>
      <c r="J123" s="216">
        <v>165521</v>
      </c>
    </row>
    <row r="124" spans="1:10" x14ac:dyDescent="0.55000000000000004">
      <c r="A124" s="130">
        <v>2069</v>
      </c>
      <c r="B124" s="209">
        <v>256</v>
      </c>
      <c r="C124" s="210">
        <v>372</v>
      </c>
      <c r="D124" s="211">
        <v>562</v>
      </c>
      <c r="E124" s="212">
        <v>4942</v>
      </c>
      <c r="F124" s="213">
        <v>5846</v>
      </c>
      <c r="G124" s="214">
        <v>7149</v>
      </c>
      <c r="H124" s="215">
        <v>84119</v>
      </c>
      <c r="I124" s="213">
        <v>116645</v>
      </c>
      <c r="J124" s="216">
        <v>167012</v>
      </c>
    </row>
    <row r="125" spans="1:10" x14ac:dyDescent="0.55000000000000004">
      <c r="A125" s="130">
        <v>2070</v>
      </c>
      <c r="B125" s="209">
        <v>258</v>
      </c>
      <c r="C125" s="210">
        <v>375</v>
      </c>
      <c r="D125" s="211">
        <v>565</v>
      </c>
      <c r="E125" s="212">
        <v>5011</v>
      </c>
      <c r="F125" s="213">
        <v>5927</v>
      </c>
      <c r="G125" s="214">
        <v>7244</v>
      </c>
      <c r="H125" s="215">
        <v>85019</v>
      </c>
      <c r="I125" s="213">
        <v>117802</v>
      </c>
      <c r="J125" s="216">
        <v>168503</v>
      </c>
    </row>
    <row r="126" spans="1:10" x14ac:dyDescent="0.55000000000000004">
      <c r="A126" s="130">
        <v>2071</v>
      </c>
      <c r="B126" s="209">
        <v>261</v>
      </c>
      <c r="C126" s="210">
        <v>378</v>
      </c>
      <c r="D126" s="211">
        <v>569</v>
      </c>
      <c r="E126" s="212">
        <v>5085</v>
      </c>
      <c r="F126" s="213">
        <v>6013</v>
      </c>
      <c r="G126" s="214">
        <v>7344</v>
      </c>
      <c r="H126" s="215">
        <v>86012</v>
      </c>
      <c r="I126" s="213">
        <v>119027</v>
      </c>
      <c r="J126" s="216">
        <v>170013</v>
      </c>
    </row>
    <row r="127" spans="1:10" x14ac:dyDescent="0.55000000000000004">
      <c r="A127" s="130">
        <v>2072</v>
      </c>
      <c r="B127" s="209">
        <v>263</v>
      </c>
      <c r="C127" s="210">
        <v>382</v>
      </c>
      <c r="D127" s="211">
        <v>573</v>
      </c>
      <c r="E127" s="212">
        <v>5160</v>
      </c>
      <c r="F127" s="213">
        <v>6099</v>
      </c>
      <c r="G127" s="214">
        <v>7444</v>
      </c>
      <c r="H127" s="215">
        <v>87006</v>
      </c>
      <c r="I127" s="213">
        <v>120252</v>
      </c>
      <c r="J127" s="216">
        <v>171523</v>
      </c>
    </row>
    <row r="128" spans="1:10" x14ac:dyDescent="0.55000000000000004">
      <c r="A128" s="130">
        <v>2073</v>
      </c>
      <c r="B128" s="209">
        <v>266</v>
      </c>
      <c r="C128" s="210">
        <v>385</v>
      </c>
      <c r="D128" s="211">
        <v>576</v>
      </c>
      <c r="E128" s="212">
        <v>5234</v>
      </c>
      <c r="F128" s="213">
        <v>6184</v>
      </c>
      <c r="G128" s="214">
        <v>7545</v>
      </c>
      <c r="H128" s="215">
        <v>87999</v>
      </c>
      <c r="I128" s="213">
        <v>121477</v>
      </c>
      <c r="J128" s="216">
        <v>173033</v>
      </c>
    </row>
    <row r="129" spans="1:26" x14ac:dyDescent="0.55000000000000004">
      <c r="A129" s="130">
        <v>2074</v>
      </c>
      <c r="B129" s="209">
        <v>269</v>
      </c>
      <c r="C129" s="210">
        <v>388</v>
      </c>
      <c r="D129" s="211">
        <v>580</v>
      </c>
      <c r="E129" s="212">
        <v>5309</v>
      </c>
      <c r="F129" s="213">
        <v>6270</v>
      </c>
      <c r="G129" s="214">
        <v>7645</v>
      </c>
      <c r="H129" s="215">
        <v>88992</v>
      </c>
      <c r="I129" s="213">
        <v>122702</v>
      </c>
      <c r="J129" s="216">
        <v>174543</v>
      </c>
    </row>
    <row r="130" spans="1:26" x14ac:dyDescent="0.55000000000000004">
      <c r="A130" s="130">
        <v>2075</v>
      </c>
      <c r="B130" s="209">
        <v>271</v>
      </c>
      <c r="C130" s="210">
        <v>391</v>
      </c>
      <c r="D130" s="211">
        <v>583</v>
      </c>
      <c r="E130" s="212">
        <v>5383</v>
      </c>
      <c r="F130" s="213">
        <v>6355</v>
      </c>
      <c r="G130" s="214">
        <v>7745</v>
      </c>
      <c r="H130" s="215">
        <v>89985</v>
      </c>
      <c r="I130" s="213">
        <v>123926</v>
      </c>
      <c r="J130" s="216">
        <v>176053</v>
      </c>
    </row>
    <row r="131" spans="1:26" x14ac:dyDescent="0.55000000000000004">
      <c r="A131" s="130">
        <v>2076</v>
      </c>
      <c r="B131" s="209">
        <v>274</v>
      </c>
      <c r="C131" s="210">
        <v>394</v>
      </c>
      <c r="D131" s="211">
        <v>587</v>
      </c>
      <c r="E131" s="212">
        <v>5458</v>
      </c>
      <c r="F131" s="213">
        <v>6441</v>
      </c>
      <c r="G131" s="214">
        <v>7845</v>
      </c>
      <c r="H131" s="215">
        <v>90978</v>
      </c>
      <c r="I131" s="213">
        <v>125151</v>
      </c>
      <c r="J131" s="216">
        <v>177563</v>
      </c>
    </row>
    <row r="132" spans="1:26" x14ac:dyDescent="0.55000000000000004">
      <c r="A132" s="130">
        <v>2077</v>
      </c>
      <c r="B132" s="209">
        <v>276</v>
      </c>
      <c r="C132" s="210">
        <v>398</v>
      </c>
      <c r="D132" s="211">
        <v>591</v>
      </c>
      <c r="E132" s="212">
        <v>5532</v>
      </c>
      <c r="F132" s="213">
        <v>6527</v>
      </c>
      <c r="G132" s="214">
        <v>7946</v>
      </c>
      <c r="H132" s="215">
        <v>91971</v>
      </c>
      <c r="I132" s="213">
        <v>126376</v>
      </c>
      <c r="J132" s="216">
        <v>179073</v>
      </c>
    </row>
    <row r="133" spans="1:26" x14ac:dyDescent="0.55000000000000004">
      <c r="A133" s="130">
        <v>2078</v>
      </c>
      <c r="B133" s="209">
        <v>279</v>
      </c>
      <c r="C133" s="210">
        <v>401</v>
      </c>
      <c r="D133" s="211">
        <v>594</v>
      </c>
      <c r="E133" s="212">
        <v>5607</v>
      </c>
      <c r="F133" s="213">
        <v>6612</v>
      </c>
      <c r="G133" s="214">
        <v>8046</v>
      </c>
      <c r="H133" s="215">
        <v>92964</v>
      </c>
      <c r="I133" s="213">
        <v>127601</v>
      </c>
      <c r="J133" s="216">
        <v>180582</v>
      </c>
    </row>
    <row r="134" spans="1:26" x14ac:dyDescent="0.55000000000000004">
      <c r="A134" s="130">
        <v>2079</v>
      </c>
      <c r="B134" s="209">
        <v>282</v>
      </c>
      <c r="C134" s="210">
        <v>404</v>
      </c>
      <c r="D134" s="211">
        <v>598</v>
      </c>
      <c r="E134" s="212">
        <v>5681</v>
      </c>
      <c r="F134" s="213">
        <v>6698</v>
      </c>
      <c r="G134" s="214">
        <v>8146</v>
      </c>
      <c r="H134" s="215">
        <v>93958</v>
      </c>
      <c r="I134" s="213">
        <v>128826</v>
      </c>
      <c r="J134" s="216">
        <v>182092</v>
      </c>
    </row>
    <row r="135" spans="1:26" ht="14.7" thickBot="1" x14ac:dyDescent="0.6">
      <c r="A135" s="131">
        <v>2080</v>
      </c>
      <c r="B135" s="217">
        <v>284</v>
      </c>
      <c r="C135" s="218">
        <v>407</v>
      </c>
      <c r="D135" s="219">
        <v>601</v>
      </c>
      <c r="E135" s="220">
        <v>5756</v>
      </c>
      <c r="F135" s="221">
        <v>6783</v>
      </c>
      <c r="G135" s="222">
        <v>8246</v>
      </c>
      <c r="H135" s="223">
        <v>94951</v>
      </c>
      <c r="I135" s="221">
        <v>130050</v>
      </c>
      <c r="J135" s="224">
        <v>183602</v>
      </c>
    </row>
    <row r="136" spans="1:26" x14ac:dyDescent="0.55000000000000004">
      <c r="A136" s="132" t="s">
        <v>13</v>
      </c>
    </row>
    <row r="137" spans="1:26" x14ac:dyDescent="0.55000000000000004">
      <c r="B137" s="133"/>
      <c r="C137" s="134"/>
      <c r="D137" s="134"/>
      <c r="F137" s="134"/>
      <c r="G137" s="134"/>
      <c r="H137" s="134"/>
      <c r="I137" s="134"/>
      <c r="J137" s="134"/>
      <c r="K137" s="134"/>
      <c r="L137" s="134"/>
      <c r="M137" s="134"/>
      <c r="N137" s="134"/>
      <c r="Z137" s="134"/>
    </row>
    <row r="138" spans="1:26" ht="14.7" thickBot="1" x14ac:dyDescent="0.6"/>
    <row r="139" spans="1:26" ht="14.7" thickBot="1" x14ac:dyDescent="0.6">
      <c r="B139" s="230" t="s">
        <v>14</v>
      </c>
      <c r="C139" s="231"/>
      <c r="D139" s="231"/>
      <c r="E139" s="231"/>
      <c r="F139" s="231"/>
      <c r="G139" s="231"/>
      <c r="H139" s="231"/>
      <c r="I139" s="231"/>
      <c r="J139" s="231"/>
      <c r="K139" s="231"/>
      <c r="L139" s="231"/>
      <c r="M139" s="231"/>
      <c r="N139" s="232"/>
      <c r="O139" s="232"/>
    </row>
    <row r="140" spans="1:26" ht="14.7" thickBot="1" x14ac:dyDescent="0.6">
      <c r="B140" s="135" t="s">
        <v>9</v>
      </c>
      <c r="C140" s="136">
        <v>2011</v>
      </c>
      <c r="D140" s="135">
        <v>2012</v>
      </c>
      <c r="E140" s="136">
        <v>2013</v>
      </c>
      <c r="F140" s="136">
        <v>2014</v>
      </c>
      <c r="G140" s="136">
        <v>2015</v>
      </c>
      <c r="H140" s="136">
        <v>2016</v>
      </c>
      <c r="I140" s="136">
        <v>2017</v>
      </c>
      <c r="J140" s="136">
        <v>2018</v>
      </c>
      <c r="K140" s="136">
        <v>2019</v>
      </c>
      <c r="L140" s="136">
        <v>2020</v>
      </c>
      <c r="M140" s="136">
        <v>2021</v>
      </c>
      <c r="N140" s="135">
        <v>2022</v>
      </c>
      <c r="O140" s="135">
        <v>2023</v>
      </c>
      <c r="Z140" s="137"/>
    </row>
    <row r="141" spans="1:26" ht="14.7" thickBot="1" x14ac:dyDescent="0.6">
      <c r="B141" s="138" t="s">
        <v>15</v>
      </c>
      <c r="C141" s="139">
        <v>91.480999999999995</v>
      </c>
      <c r="D141" s="139">
        <v>93.185000000000002</v>
      </c>
      <c r="E141" s="139">
        <v>94.771000000000001</v>
      </c>
      <c r="F141" s="139">
        <v>96.421000000000006</v>
      </c>
      <c r="G141" s="139">
        <v>97.316000000000003</v>
      </c>
      <c r="H141" s="139">
        <v>98.241</v>
      </c>
      <c r="I141" s="139">
        <v>100</v>
      </c>
      <c r="J141" s="139">
        <v>102.291</v>
      </c>
      <c r="K141" s="139">
        <v>104.008</v>
      </c>
      <c r="L141" s="139">
        <v>105.381</v>
      </c>
      <c r="M141" s="140">
        <v>110.21299999999999</v>
      </c>
      <c r="N141" s="139">
        <v>117.973</v>
      </c>
      <c r="O141" s="139">
        <v>122.273</v>
      </c>
      <c r="Z141" s="141"/>
    </row>
    <row r="142" spans="1:26" ht="14.7" thickBot="1" x14ac:dyDescent="0.6">
      <c r="B142" s="138" t="s">
        <v>16</v>
      </c>
      <c r="C142" s="142">
        <v>0.86809766466440819</v>
      </c>
      <c r="D142" s="142">
        <v>0.88426756246382177</v>
      </c>
      <c r="E142" s="142">
        <v>0.89931771381937919</v>
      </c>
      <c r="F142" s="142">
        <v>0.91497518528007904</v>
      </c>
      <c r="G142" s="142">
        <v>0.92346817737542819</v>
      </c>
      <c r="H142" s="142">
        <v>0.93224585077006294</v>
      </c>
      <c r="I142" s="142">
        <v>0.94893766428483317</v>
      </c>
      <c r="J142" s="142">
        <v>0.97067782617359866</v>
      </c>
      <c r="K142" s="142">
        <v>0.98697108586936921</v>
      </c>
      <c r="L142" s="142">
        <v>1</v>
      </c>
      <c r="M142" s="142">
        <v>1.0458526679382432</v>
      </c>
      <c r="N142" s="138">
        <v>1.1194902306867462</v>
      </c>
      <c r="O142" s="138">
        <v>1.160294550250994</v>
      </c>
      <c r="Z142" s="143"/>
    </row>
    <row r="143" spans="1:26" x14ac:dyDescent="0.55000000000000004">
      <c r="B143" s="134" t="s">
        <v>89</v>
      </c>
    </row>
    <row r="144" spans="1:26" x14ac:dyDescent="0.55000000000000004">
      <c r="B144" s="134"/>
    </row>
    <row r="145" spans="2:2" x14ac:dyDescent="0.55000000000000004">
      <c r="B145" s="134"/>
    </row>
  </sheetData>
  <sheetProtection sheet="1" objects="1" scenarios="1"/>
  <mergeCells count="12">
    <mergeCell ref="M7:O7"/>
    <mergeCell ref="B2:C2"/>
    <mergeCell ref="B3:C3"/>
    <mergeCell ref="A72:J72"/>
    <mergeCell ref="M5:O5"/>
    <mergeCell ref="B5:D5"/>
    <mergeCell ref="G5:I5"/>
    <mergeCell ref="J5:L5"/>
    <mergeCell ref="E7:E8"/>
    <mergeCell ref="G4:O4"/>
    <mergeCell ref="G7:I7"/>
    <mergeCell ref="J7:L7"/>
  </mergeCells>
  <conditionalFormatting sqref="E9:E69">
    <cfRule type="expression" dxfId="6" priority="5">
      <formula>NOT(AND(ISBLANK(B9), ISBLANK(C9)))</formula>
    </cfRule>
  </conditionalFormatting>
  <conditionalFormatting sqref="B9:D69">
    <cfRule type="expression" dxfId="5" priority="1">
      <formula>AND(B9&lt;0.0001,B9&gt;-0.0001)</formula>
    </cfRule>
    <cfRule type="expression" dxfId="4" priority="2">
      <formula>AND(B9&lt;0.01,B9&gt;-0.01)</formula>
    </cfRule>
    <cfRule type="expression" dxfId="3" priority="3">
      <formula>AND(B9&lt;1,B9&gt;-1)</formula>
    </cfRule>
  </conditionalFormatting>
  <dataValidations disablePrompts="1" count="2">
    <dataValidation type="list" allowBlank="1" showInputMessage="1" showErrorMessage="1" sqref="D2" xr:uid="{B433248B-DD39-482E-983E-195CAE23921F}">
      <formula1>"2020, 2021, 2022, 2023, 2024, 2025, 2026, 2027, 2028, 2029"</formula1>
    </dataValidation>
    <dataValidation type="list" allowBlank="1" showInputMessage="1" showErrorMessage="1" sqref="D3" xr:uid="{AA691FA9-9CE6-4AE3-820D-3DB55E39E08B}">
      <formula1>$C$140:$O$140</formula1>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98F98-8CA9-460A-91D3-684B03361613}">
  <sheetPr>
    <tabColor rgb="FFFF0000"/>
  </sheetPr>
  <dimension ref="A1:T68"/>
  <sheetViews>
    <sheetView workbookViewId="0"/>
  </sheetViews>
  <sheetFormatPr defaultRowHeight="14.4" x14ac:dyDescent="0.55000000000000004"/>
  <cols>
    <col min="1" max="1" width="5.3671875" style="125" bestFit="1" customWidth="1"/>
    <col min="2" max="4" width="14.62890625" style="125" customWidth="1"/>
    <col min="5" max="5" width="8.83984375" style="125"/>
    <col min="6" max="6" width="40" bestFit="1" customWidth="1"/>
    <col min="7" max="9" width="19.62890625" style="61" customWidth="1"/>
    <col min="11" max="11" width="6.3671875" bestFit="1" customWidth="1"/>
    <col min="12" max="20" width="19.62890625" customWidth="1"/>
  </cols>
  <sheetData>
    <row r="1" spans="1:20" ht="14.7" thickBot="1" x14ac:dyDescent="0.6">
      <c r="M1" s="236"/>
    </row>
    <row r="2" spans="1:20" ht="14.7" thickBot="1" x14ac:dyDescent="0.6">
      <c r="A2" s="288" t="s">
        <v>2</v>
      </c>
      <c r="B2" s="289"/>
      <c r="C2" s="289"/>
      <c r="D2" s="290"/>
      <c r="F2" s="296" t="s">
        <v>84</v>
      </c>
      <c r="G2" s="297"/>
      <c r="H2" s="297"/>
      <c r="I2" s="298"/>
      <c r="L2" s="259" t="str">
        <f>_xlfn.CONCAT("Discounted, Monetized Value of Emission Changes, discounted to ",Data!$D$2," (millions, ",Data!$D$3,"$) - Constant Discounting")</f>
        <v>Discounted, Monetized Value of Emission Changes, discounted to 2024 (millions, 2020$) - Constant Discounting</v>
      </c>
      <c r="M2" s="260"/>
      <c r="N2" s="260"/>
      <c r="O2" s="260"/>
      <c r="P2" s="260"/>
      <c r="Q2" s="260"/>
      <c r="R2" s="260"/>
      <c r="S2" s="260"/>
      <c r="T2" s="261"/>
    </row>
    <row r="3" spans="1:20" ht="30" customHeight="1" thickBot="1" x14ac:dyDescent="0.6">
      <c r="A3" s="294" t="s">
        <v>9</v>
      </c>
      <c r="B3" s="291" t="s">
        <v>58</v>
      </c>
      <c r="C3" s="292"/>
      <c r="D3" s="293"/>
      <c r="L3" s="269" t="str">
        <f>_xlfn.CONCAT("Discounted, Monetized Value of CO2 Emissions Changes",CHAR(10)," (millions, ",Data!$D$3,"$)")</f>
        <v>Discounted, Monetized Value of CO2 Emissions Changes
 (millions, 2020$)</v>
      </c>
      <c r="M3" s="270"/>
      <c r="N3" s="271"/>
      <c r="O3" s="269" t="str">
        <f>_xlfn.CONCAT("Discounted, Monetized Value of CH4 Emissions Changes",CHAR(10)," (millions, ",Data!$D$3,"$)")</f>
        <v>Discounted, Monetized Value of CH4 Emissions Changes
 (millions, 2020$)</v>
      </c>
      <c r="P3" s="270"/>
      <c r="Q3" s="271"/>
      <c r="R3" s="272" t="str">
        <f>_xlfn.CONCAT("Discounted, Monetized Value of N2O Emissions Changes",CHAR(10)," (millions, ",Data!$D$3,"$)")</f>
        <v>Discounted, Monetized Value of N2O Emissions Changes
 (millions, 2020$)</v>
      </c>
      <c r="S3" s="270"/>
      <c r="T3" s="271"/>
    </row>
    <row r="4" spans="1:20" ht="14.7" thickBot="1" x14ac:dyDescent="0.6">
      <c r="A4" s="295"/>
      <c r="B4" s="241" t="s">
        <v>6</v>
      </c>
      <c r="C4" s="242" t="s">
        <v>7</v>
      </c>
      <c r="D4" s="243" t="s">
        <v>8</v>
      </c>
      <c r="F4" s="100" t="s">
        <v>56</v>
      </c>
      <c r="G4" s="101">
        <f>MAX(COUNTA(Data!B9:B69),COUNTA(Data!C9:C69),COUNTA(Data!D9:D69))</f>
        <v>0</v>
      </c>
      <c r="L4" s="273" t="str">
        <f>_xlfn.CONCAT("Discounted Back to ", Data!$D$2)</f>
        <v>Discounted Back to 2024</v>
      </c>
      <c r="M4" s="274"/>
      <c r="N4" s="275"/>
      <c r="O4" s="276" t="str">
        <f>_xlfn.CONCAT("Discounted Back to ", Data!$D$2)</f>
        <v>Discounted Back to 2024</v>
      </c>
      <c r="P4" s="277"/>
      <c r="Q4" s="278"/>
      <c r="R4" s="279" t="str">
        <f>_xlfn.CONCAT("Discounted Back to ", Data!$D$2)</f>
        <v>Discounted Back to 2024</v>
      </c>
      <c r="S4" s="280"/>
      <c r="T4" s="281"/>
    </row>
    <row r="5" spans="1:20" ht="14.7" thickBot="1" x14ac:dyDescent="0.6">
      <c r="A5" s="155">
        <v>2020</v>
      </c>
      <c r="B5" s="244" t="str">
        <f>IF(ISBLANK(Data!B9), "", Data!B9)</f>
        <v/>
      </c>
      <c r="C5" s="244" t="str">
        <f>IF(ISBLANK(Data!C9), "", Data!C9)</f>
        <v/>
      </c>
      <c r="D5" s="245" t="str">
        <f>IF(ISBLANK(Data!D9), "", Data!D9)</f>
        <v/>
      </c>
      <c r="F5" s="46" t="s">
        <v>12</v>
      </c>
      <c r="G5" s="102">
        <v>2.5000000000000001E-2</v>
      </c>
      <c r="H5" s="102">
        <v>0.02</v>
      </c>
      <c r="I5" s="103">
        <v>1.4999999999999999E-2</v>
      </c>
      <c r="K5" s="86"/>
      <c r="L5" s="31" t="s">
        <v>6</v>
      </c>
      <c r="M5" s="32" t="s">
        <v>6</v>
      </c>
      <c r="N5" s="33" t="s">
        <v>6</v>
      </c>
      <c r="O5" s="31" t="s">
        <v>7</v>
      </c>
      <c r="P5" s="32" t="s">
        <v>7</v>
      </c>
      <c r="Q5" s="34" t="s">
        <v>7</v>
      </c>
      <c r="R5" s="35" t="s">
        <v>8</v>
      </c>
      <c r="S5" s="32" t="s">
        <v>8</v>
      </c>
      <c r="T5" s="34" t="s">
        <v>8</v>
      </c>
    </row>
    <row r="6" spans="1:20" ht="14.7" thickBot="1" x14ac:dyDescent="0.6">
      <c r="A6" s="144">
        <v>2021</v>
      </c>
      <c r="B6" s="244" t="str">
        <f>IF(ISBLANK(Data!B10), "", Data!B10)</f>
        <v/>
      </c>
      <c r="C6" s="244" t="str">
        <f>IF(ISBLANK(Data!C10), "", Data!C10)</f>
        <v/>
      </c>
      <c r="D6" s="246" t="str">
        <f>IF(ISBLANK(Data!D10), "", Data!D10)</f>
        <v/>
      </c>
      <c r="K6" s="15" t="s">
        <v>9</v>
      </c>
      <c r="L6" s="37">
        <v>2.5000000000000001E-2</v>
      </c>
      <c r="M6" s="38">
        <v>0.02</v>
      </c>
      <c r="N6" s="39">
        <v>1.4999999999999999E-2</v>
      </c>
      <c r="O6" s="37">
        <v>2.5000000000000001E-2</v>
      </c>
      <c r="P6" s="38">
        <v>0.02</v>
      </c>
      <c r="Q6" s="40">
        <v>1.4999999999999999E-2</v>
      </c>
      <c r="R6" s="41">
        <v>2.5000000000000001E-2</v>
      </c>
      <c r="S6" s="38">
        <v>0.02</v>
      </c>
      <c r="T6" s="40">
        <v>1.4999999999999999E-2</v>
      </c>
    </row>
    <row r="7" spans="1:20" ht="14.7" thickBot="1" x14ac:dyDescent="0.6">
      <c r="A7" s="144">
        <v>2022</v>
      </c>
      <c r="B7" s="244" t="str">
        <f>IF(ISBLANK(Data!B11), "", Data!B11)</f>
        <v/>
      </c>
      <c r="C7" s="244" t="str">
        <f>IF(ISBLANK(Data!C11), "", Data!C11)</f>
        <v/>
      </c>
      <c r="D7" s="246" t="str">
        <f>IF(ISBLANK(Data!D11), "", Data!D11)</f>
        <v/>
      </c>
      <c r="F7" s="282" t="str">
        <f>_xlfn.CONCAT("Present and Annualized Values of CO2 Emission Changes"," (millions, ",Data!D3,"$)")</f>
        <v>Present and Annualized Values of CO2 Emission Changes (millions, 2020$)</v>
      </c>
      <c r="G7" s="283"/>
      <c r="H7" s="283"/>
      <c r="I7" s="284"/>
      <c r="K7" s="6">
        <v>2020</v>
      </c>
      <c r="L7" s="20" t="str">
        <f>IFERROR(Data!G9*(1/(1+L$6)^(Data!$A9-Data!$D$2)),"")</f>
        <v/>
      </c>
      <c r="M7" s="20" t="str">
        <f>IFERROR(Data!H9*(1/(1+M$6)^(Data!$A9-Data!$D$2)),"")</f>
        <v/>
      </c>
      <c r="N7" s="20" t="str">
        <f>IFERROR(Data!I9*(1/(1+N$6)^(Data!$A9-Data!$D$2)),"")</f>
        <v/>
      </c>
      <c r="O7" s="20" t="str">
        <f>IFERROR(Data!J9*(1/(1+O$6)^(Data!$A9-Data!$D$2)),"")</f>
        <v/>
      </c>
      <c r="P7" s="20" t="str">
        <f>IFERROR(Data!K9*(1/(1+P$6)^(Data!$A9-Data!$D$2)),"")</f>
        <v/>
      </c>
      <c r="Q7" s="20" t="str">
        <f>IFERROR(Data!L9*(1/(1+Q$6)^(Data!$A9-Data!$D$2)),"")</f>
        <v/>
      </c>
      <c r="R7" s="20" t="str">
        <f>IFERROR(Data!M9*(1/(1+R$6)^(Data!$A9-Data!$D$2)),"")</f>
        <v/>
      </c>
      <c r="S7" s="20" t="str">
        <f>IFERROR(Data!N9*(1/(1+S$6)^(Data!$A9-Data!$D$2)),"")</f>
        <v/>
      </c>
      <c r="T7" s="20" t="str">
        <f>IFERROR(Data!O9*(1/(1+T$6)^(Data!$A9-Data!$D$2)),"")</f>
        <v/>
      </c>
    </row>
    <row r="8" spans="1:20" x14ac:dyDescent="0.55000000000000004">
      <c r="A8" s="144">
        <v>2023</v>
      </c>
      <c r="B8" s="244" t="str">
        <f>IF(ISBLANK(Data!B12), "", Data!B12)</f>
        <v/>
      </c>
      <c r="C8" s="244" t="str">
        <f>IF(ISBLANK(Data!C12), "", Data!C12)</f>
        <v/>
      </c>
      <c r="D8" s="246" t="str">
        <f>IF(ISBLANK(Data!D12), "", Data!D12)</f>
        <v/>
      </c>
      <c r="F8" s="104" t="s">
        <v>18</v>
      </c>
      <c r="G8" s="105" t="s">
        <v>6</v>
      </c>
      <c r="H8" s="105" t="s">
        <v>6</v>
      </c>
      <c r="I8" s="106" t="s">
        <v>6</v>
      </c>
      <c r="K8" s="13">
        <v>2021</v>
      </c>
      <c r="L8" s="20" t="str">
        <f>IFERROR(Data!G10*(1/(1+L$6)^(Data!$A10-Data!$D$2)),"")</f>
        <v/>
      </c>
      <c r="M8" s="20" t="str">
        <f>IFERROR(Data!H10*(1/(1+M$6)^(Data!$A10-Data!$D$2)),"")</f>
        <v/>
      </c>
      <c r="N8" s="20" t="str">
        <f>IFERROR(Data!I10*(1/(1+N$6)^(Data!$A10-Data!$D$2)),"")</f>
        <v/>
      </c>
      <c r="O8" s="20" t="str">
        <f>IFERROR(Data!J10*(1/(1+O$6)^(Data!$A10-Data!$D$2)),"")</f>
        <v/>
      </c>
      <c r="P8" s="20" t="str">
        <f>IFERROR(Data!K10*(1/(1+P$6)^(Data!$A10-Data!$D$2)),"")</f>
        <v/>
      </c>
      <c r="Q8" s="20" t="str">
        <f>IFERROR(Data!L10*(1/(1+Q$6)^(Data!$A10-Data!$D$2)),"")</f>
        <v/>
      </c>
      <c r="R8" s="20" t="str">
        <f>IFERROR(Data!M10*(1/(1+R$6)^(Data!$A10-Data!$D$2)),"")</f>
        <v/>
      </c>
      <c r="S8" s="20" t="str">
        <f>IFERROR(Data!N10*(1/(1+S$6)^(Data!$A10-Data!$D$2)),"")</f>
        <v/>
      </c>
      <c r="T8" s="20" t="str">
        <f>IFERROR(Data!O10*(1/(1+T$6)^(Data!$A10-Data!$D$2)),"")</f>
        <v/>
      </c>
    </row>
    <row r="9" spans="1:20" ht="14.7" thickBot="1" x14ac:dyDescent="0.6">
      <c r="A9" s="144">
        <v>2024</v>
      </c>
      <c r="B9" s="244" t="str">
        <f>IF(ISBLANK(Data!B13), "", Data!B13)</f>
        <v/>
      </c>
      <c r="C9" s="244" t="str">
        <f>IF(ISBLANK(Data!C13), "", Data!C13)</f>
        <v/>
      </c>
      <c r="D9" s="246" t="str">
        <f>IF(ISBLANK(Data!D13), "", Data!D13)</f>
        <v/>
      </c>
      <c r="F9" s="107" t="s">
        <v>12</v>
      </c>
      <c r="G9" s="108">
        <v>2.5000000000000001E-2</v>
      </c>
      <c r="H9" s="108">
        <v>0.02</v>
      </c>
      <c r="I9" s="109">
        <v>1.4999999999999999E-2</v>
      </c>
      <c r="K9" s="13">
        <v>2022</v>
      </c>
      <c r="L9" s="20" t="str">
        <f>IFERROR(Data!G11*(1/(1+L$6)^(Data!$A11-Data!$D$2)),"")</f>
        <v/>
      </c>
      <c r="M9" s="20" t="str">
        <f>IFERROR(Data!H11*(1/(1+M$6)^(Data!$A11-Data!$D$2)),"")</f>
        <v/>
      </c>
      <c r="N9" s="20" t="str">
        <f>IFERROR(Data!I11*(1/(1+N$6)^(Data!$A11-Data!$D$2)),"")</f>
        <v/>
      </c>
      <c r="O9" s="20" t="str">
        <f>IFERROR(Data!J11*(1/(1+O$6)^(Data!$A11-Data!$D$2)),"")</f>
        <v/>
      </c>
      <c r="P9" s="20" t="str">
        <f>IFERROR(Data!K11*(1/(1+P$6)^(Data!$A11-Data!$D$2)),"")</f>
        <v/>
      </c>
      <c r="Q9" s="20" t="str">
        <f>IFERROR(Data!L11*(1/(1+Q$6)^(Data!$A11-Data!$D$2)),"")</f>
        <v/>
      </c>
      <c r="R9" s="20" t="str">
        <f>IFERROR(Data!M11*(1/(1+R$6)^(Data!$A11-Data!$D$2)),"")</f>
        <v/>
      </c>
      <c r="S9" s="20" t="str">
        <f>IFERROR(Data!N11*(1/(1+S$6)^(Data!$A11-Data!$D$2)),"")</f>
        <v/>
      </c>
      <c r="T9" s="20" t="str">
        <f>IFERROR(Data!O11*(1/(1+T$6)^(Data!$A11-Data!$D$2)),"")</f>
        <v/>
      </c>
    </row>
    <row r="10" spans="1:20" x14ac:dyDescent="0.55000000000000004">
      <c r="A10" s="144">
        <v>2025</v>
      </c>
      <c r="B10" s="244" t="str">
        <f>IF(ISBLANK(Data!B14), "", Data!B14)</f>
        <v/>
      </c>
      <c r="C10" s="244" t="str">
        <f>IF(ISBLANK(Data!C14), "", Data!C14)</f>
        <v/>
      </c>
      <c r="D10" s="246" t="str">
        <f>IF(ISBLANK(Data!D14), "", Data!D14)</f>
        <v/>
      </c>
      <c r="F10" s="44" t="str">
        <f>_xlfn.CONCAT("Present Value in ",Data!D2," (",Data!D3,"$)")</f>
        <v>Present Value in 2024 (2020$)</v>
      </c>
      <c r="G10" s="53">
        <f>L68</f>
        <v>0</v>
      </c>
      <c r="H10" s="53">
        <f t="shared" ref="H10:I10" si="0">M68</f>
        <v>0</v>
      </c>
      <c r="I10" s="53">
        <f t="shared" si="0"/>
        <v>0</v>
      </c>
      <c r="K10" s="13">
        <v>2023</v>
      </c>
      <c r="L10" s="20" t="str">
        <f>IFERROR(Data!G12*(1/(1+L$6)^(Data!$A12-Data!$D$2)),"")</f>
        <v/>
      </c>
      <c r="M10" s="20" t="str">
        <f>IFERROR(Data!H12*(1/(1+M$6)^(Data!$A12-Data!$D$2)),"")</f>
        <v/>
      </c>
      <c r="N10" s="20" t="str">
        <f>IFERROR(Data!I12*(1/(1+N$6)^(Data!$A12-Data!$D$2)),"")</f>
        <v/>
      </c>
      <c r="O10" s="20" t="str">
        <f>IFERROR(Data!J12*(1/(1+O$6)^(Data!$A12-Data!$D$2)),"")</f>
        <v/>
      </c>
      <c r="P10" s="20" t="str">
        <f>IFERROR(Data!K12*(1/(1+P$6)^(Data!$A12-Data!$D$2)),"")</f>
        <v/>
      </c>
      <c r="Q10" s="20" t="str">
        <f>IFERROR(Data!L12*(1/(1+Q$6)^(Data!$A12-Data!$D$2)),"")</f>
        <v/>
      </c>
      <c r="R10" s="20" t="str">
        <f>IFERROR(Data!M12*(1/(1+R$6)^(Data!$A12-Data!$D$2)),"")</f>
        <v/>
      </c>
      <c r="S10" s="20" t="str">
        <f>IFERROR(Data!N12*(1/(1+S$6)^(Data!$A12-Data!$D$2)),"")</f>
        <v/>
      </c>
      <c r="T10" s="20" t="str">
        <f>IFERROR(Data!O12*(1/(1+T$6)^(Data!$A12-Data!$D$2)),"")</f>
        <v/>
      </c>
    </row>
    <row r="11" spans="1:20" ht="14.7" thickBot="1" x14ac:dyDescent="0.6">
      <c r="A11" s="144">
        <v>2026</v>
      </c>
      <c r="B11" s="244" t="str">
        <f>IF(ISBLANK(Data!B15), "", Data!B15)</f>
        <v/>
      </c>
      <c r="C11" s="244" t="str">
        <f>IF(ISBLANK(Data!C15), "", Data!C15)</f>
        <v/>
      </c>
      <c r="D11" s="246" t="str">
        <f>IF(ISBLANK(Data!D15), "", Data!D15)</f>
        <v/>
      </c>
      <c r="F11" s="45" t="str">
        <f>_xlfn.CONCAT("Annualized Value (",G4," Years, ",Data!D3,"$)")</f>
        <v>Annualized Value (0 Years, 2020$)</v>
      </c>
      <c r="G11" s="54">
        <f>IF(G10=0,0, PMT(G$5,$G$4,-G10))</f>
        <v>0</v>
      </c>
      <c r="H11" s="54">
        <f t="shared" ref="H11:I11" si="1">IF(H10=0,0, PMT(H$5,$G$4,-H10))</f>
        <v>0</v>
      </c>
      <c r="I11" s="54">
        <f t="shared" si="1"/>
        <v>0</v>
      </c>
      <c r="K11" s="13">
        <v>2024</v>
      </c>
      <c r="L11" s="20" t="str">
        <f>IFERROR(Data!G13*(1/(1+L$6)^(Data!$A13-Data!$D$2)),"")</f>
        <v/>
      </c>
      <c r="M11" s="20" t="str">
        <f>IFERROR(Data!H13*(1/(1+M$6)^(Data!$A13-Data!$D$2)),"")</f>
        <v/>
      </c>
      <c r="N11" s="20" t="str">
        <f>IFERROR(Data!I13*(1/(1+N$6)^(Data!$A13-Data!$D$2)),"")</f>
        <v/>
      </c>
      <c r="O11" s="20" t="str">
        <f>IFERROR(Data!J13*(1/(1+O$6)^(Data!$A13-Data!$D$2)),"")</f>
        <v/>
      </c>
      <c r="P11" s="20" t="str">
        <f>IFERROR(Data!K13*(1/(1+P$6)^(Data!$A13-Data!$D$2)),"")</f>
        <v/>
      </c>
      <c r="Q11" s="20" t="str">
        <f>IFERROR(Data!L13*(1/(1+Q$6)^(Data!$A13-Data!$D$2)),"")</f>
        <v/>
      </c>
      <c r="R11" s="20" t="str">
        <f>IFERROR(Data!M13*(1/(1+R$6)^(Data!$A13-Data!$D$2)),"")</f>
        <v/>
      </c>
      <c r="S11" s="20" t="str">
        <f>IFERROR(Data!N13*(1/(1+S$6)^(Data!$A13-Data!$D$2)),"")</f>
        <v/>
      </c>
      <c r="T11" s="20" t="str">
        <f>IFERROR(Data!O13*(1/(1+T$6)^(Data!$A13-Data!$D$2)),"")</f>
        <v/>
      </c>
    </row>
    <row r="12" spans="1:20" ht="14.7" thickBot="1" x14ac:dyDescent="0.6">
      <c r="A12" s="144">
        <v>2027</v>
      </c>
      <c r="B12" s="244" t="str">
        <f>IF(ISBLANK(Data!B16), "", Data!B16)</f>
        <v/>
      </c>
      <c r="C12" s="244" t="str">
        <f>IF(ISBLANK(Data!C16), "", Data!C16)</f>
        <v/>
      </c>
      <c r="D12" s="246" t="str">
        <f>IF(ISBLANK(Data!D16), "", Data!D16)</f>
        <v/>
      </c>
      <c r="K12" s="13">
        <v>2025</v>
      </c>
      <c r="L12" s="20" t="str">
        <f>IFERROR(Data!G14*(1/(1+L$6)^(Data!$A14-Data!$D$2)),"")</f>
        <v/>
      </c>
      <c r="M12" s="20" t="str">
        <f>IFERROR(Data!H14*(1/(1+M$6)^(Data!$A14-Data!$D$2)),"")</f>
        <v/>
      </c>
      <c r="N12" s="20" t="str">
        <f>IFERROR(Data!I14*(1/(1+N$6)^(Data!$A14-Data!$D$2)),"")</f>
        <v/>
      </c>
      <c r="O12" s="20" t="str">
        <f>IFERROR(Data!J14*(1/(1+O$6)^(Data!$A14-Data!$D$2)),"")</f>
        <v/>
      </c>
      <c r="P12" s="20" t="str">
        <f>IFERROR(Data!K14*(1/(1+P$6)^(Data!$A14-Data!$D$2)),"")</f>
        <v/>
      </c>
      <c r="Q12" s="20" t="str">
        <f>IFERROR(Data!L14*(1/(1+Q$6)^(Data!$A14-Data!$D$2)),"")</f>
        <v/>
      </c>
      <c r="R12" s="20" t="str">
        <f>IFERROR(Data!M14*(1/(1+R$6)^(Data!$A14-Data!$D$2)),"")</f>
        <v/>
      </c>
      <c r="S12" s="20" t="str">
        <f>IFERROR(Data!N14*(1/(1+S$6)^(Data!$A14-Data!$D$2)),"")</f>
        <v/>
      </c>
      <c r="T12" s="20" t="str">
        <f>IFERROR(Data!O14*(1/(1+T$6)^(Data!$A14-Data!$D$2)),"")</f>
        <v/>
      </c>
    </row>
    <row r="13" spans="1:20" ht="14.7" thickBot="1" x14ac:dyDescent="0.6">
      <c r="A13" s="144">
        <v>2028</v>
      </c>
      <c r="B13" s="244" t="str">
        <f>IF(ISBLANK(Data!B17), "", Data!B17)</f>
        <v/>
      </c>
      <c r="C13" s="244" t="str">
        <f>IF(ISBLANK(Data!C17), "", Data!C17)</f>
        <v/>
      </c>
      <c r="D13" s="246" t="str">
        <f>IF(ISBLANK(Data!D17), "", Data!D17)</f>
        <v/>
      </c>
      <c r="F13" s="282" t="str">
        <f>_xlfn.CONCAT("Present and Annualized Values of CH4 Emission Changes"," (millions, ",Data!D3,"$)")</f>
        <v>Present and Annualized Values of CH4 Emission Changes (millions, 2020$)</v>
      </c>
      <c r="G13" s="283"/>
      <c r="H13" s="283"/>
      <c r="I13" s="284"/>
      <c r="K13" s="13">
        <v>2026</v>
      </c>
      <c r="L13" s="20" t="str">
        <f>IFERROR(Data!G15*(1/(1+L$6)^(Data!$A15-Data!$D$2)),"")</f>
        <v/>
      </c>
      <c r="M13" s="20" t="str">
        <f>IFERROR(Data!H15*(1/(1+M$6)^(Data!$A15-Data!$D$2)),"")</f>
        <v/>
      </c>
      <c r="N13" s="20" t="str">
        <f>IFERROR(Data!I15*(1/(1+N$6)^(Data!$A15-Data!$D$2)),"")</f>
        <v/>
      </c>
      <c r="O13" s="20" t="str">
        <f>IFERROR(Data!J15*(1/(1+O$6)^(Data!$A15-Data!$D$2)),"")</f>
        <v/>
      </c>
      <c r="P13" s="20" t="str">
        <f>IFERROR(Data!K15*(1/(1+P$6)^(Data!$A15-Data!$D$2)),"")</f>
        <v/>
      </c>
      <c r="Q13" s="20" t="str">
        <f>IFERROR(Data!L15*(1/(1+Q$6)^(Data!$A15-Data!$D$2)),"")</f>
        <v/>
      </c>
      <c r="R13" s="20" t="str">
        <f>IFERROR(Data!M15*(1/(1+R$6)^(Data!$A15-Data!$D$2)),"")</f>
        <v/>
      </c>
      <c r="S13" s="20" t="str">
        <f>IFERROR(Data!N15*(1/(1+S$6)^(Data!$A15-Data!$D$2)),"")</f>
        <v/>
      </c>
      <c r="T13" s="20" t="str">
        <f>IFERROR(Data!O15*(1/(1+T$6)^(Data!$A15-Data!$D$2)),"")</f>
        <v/>
      </c>
    </row>
    <row r="14" spans="1:20" x14ac:dyDescent="0.55000000000000004">
      <c r="A14" s="144">
        <v>2029</v>
      </c>
      <c r="B14" s="244" t="str">
        <f>IF(ISBLANK(Data!B18), "", Data!B18)</f>
        <v/>
      </c>
      <c r="C14" s="244" t="str">
        <f>IF(ISBLANK(Data!C18), "", Data!C18)</f>
        <v/>
      </c>
      <c r="D14" s="246" t="str">
        <f>IF(ISBLANK(Data!D18), "", Data!D18)</f>
        <v/>
      </c>
      <c r="F14" s="104" t="s">
        <v>18</v>
      </c>
      <c r="G14" s="105" t="s">
        <v>7</v>
      </c>
      <c r="H14" s="105" t="s">
        <v>7</v>
      </c>
      <c r="I14" s="106" t="s">
        <v>7</v>
      </c>
      <c r="K14" s="13">
        <v>2027</v>
      </c>
      <c r="L14" s="20" t="str">
        <f>IFERROR(Data!G16*(1/(1+L$6)^(Data!$A16-Data!$D$2)),"")</f>
        <v/>
      </c>
      <c r="M14" s="20" t="str">
        <f>IFERROR(Data!H16*(1/(1+M$6)^(Data!$A16-Data!$D$2)),"")</f>
        <v/>
      </c>
      <c r="N14" s="20" t="str">
        <f>IFERROR(Data!I16*(1/(1+N$6)^(Data!$A16-Data!$D$2)),"")</f>
        <v/>
      </c>
      <c r="O14" s="20" t="str">
        <f>IFERROR(Data!J16*(1/(1+O$6)^(Data!$A16-Data!$D$2)),"")</f>
        <v/>
      </c>
      <c r="P14" s="20" t="str">
        <f>IFERROR(Data!K16*(1/(1+P$6)^(Data!$A16-Data!$D$2)),"")</f>
        <v/>
      </c>
      <c r="Q14" s="20" t="str">
        <f>IFERROR(Data!L16*(1/(1+Q$6)^(Data!$A16-Data!$D$2)),"")</f>
        <v/>
      </c>
      <c r="R14" s="20" t="str">
        <f>IFERROR(Data!M16*(1/(1+R$6)^(Data!$A16-Data!$D$2)),"")</f>
        <v/>
      </c>
      <c r="S14" s="20" t="str">
        <f>IFERROR(Data!N16*(1/(1+S$6)^(Data!$A16-Data!$D$2)),"")</f>
        <v/>
      </c>
      <c r="T14" s="20" t="str">
        <f>IFERROR(Data!O16*(1/(1+T$6)^(Data!$A16-Data!$D$2)),"")</f>
        <v/>
      </c>
    </row>
    <row r="15" spans="1:20" ht="14.7" thickBot="1" x14ac:dyDescent="0.6">
      <c r="A15" s="144">
        <v>2030</v>
      </c>
      <c r="B15" s="244" t="str">
        <f>IF(ISBLANK(Data!B19), "", Data!B19)</f>
        <v/>
      </c>
      <c r="C15" s="244" t="str">
        <f>IF(ISBLANK(Data!C19), "", Data!C19)</f>
        <v/>
      </c>
      <c r="D15" s="246" t="str">
        <f>IF(ISBLANK(Data!D19), "", Data!D19)</f>
        <v/>
      </c>
      <c r="F15" s="107" t="s">
        <v>12</v>
      </c>
      <c r="G15" s="108">
        <v>2.5000000000000001E-2</v>
      </c>
      <c r="H15" s="108">
        <v>0.02</v>
      </c>
      <c r="I15" s="109">
        <v>1.4999999999999999E-2</v>
      </c>
      <c r="K15" s="13">
        <v>2028</v>
      </c>
      <c r="L15" s="20" t="str">
        <f>IFERROR(Data!G17*(1/(1+L$6)^(Data!$A17-Data!$D$2)),"")</f>
        <v/>
      </c>
      <c r="M15" s="20" t="str">
        <f>IFERROR(Data!H17*(1/(1+M$6)^(Data!$A17-Data!$D$2)),"")</f>
        <v/>
      </c>
      <c r="N15" s="20" t="str">
        <f>IFERROR(Data!I17*(1/(1+N$6)^(Data!$A17-Data!$D$2)),"")</f>
        <v/>
      </c>
      <c r="O15" s="20" t="str">
        <f>IFERROR(Data!J17*(1/(1+O$6)^(Data!$A17-Data!$D$2)),"")</f>
        <v/>
      </c>
      <c r="P15" s="20" t="str">
        <f>IFERROR(Data!K17*(1/(1+P$6)^(Data!$A17-Data!$D$2)),"")</f>
        <v/>
      </c>
      <c r="Q15" s="20" t="str">
        <f>IFERROR(Data!L17*(1/(1+Q$6)^(Data!$A17-Data!$D$2)),"")</f>
        <v/>
      </c>
      <c r="R15" s="20" t="str">
        <f>IFERROR(Data!M17*(1/(1+R$6)^(Data!$A17-Data!$D$2)),"")</f>
        <v/>
      </c>
      <c r="S15" s="20" t="str">
        <f>IFERROR(Data!N17*(1/(1+S$6)^(Data!$A17-Data!$D$2)),"")</f>
        <v/>
      </c>
      <c r="T15" s="20" t="str">
        <f>IFERROR(Data!O17*(1/(1+T$6)^(Data!$A17-Data!$D$2)),"")</f>
        <v/>
      </c>
    </row>
    <row r="16" spans="1:20" x14ac:dyDescent="0.55000000000000004">
      <c r="A16" s="144">
        <v>2031</v>
      </c>
      <c r="B16" s="244" t="str">
        <f>IF(ISBLANK(Data!B20), "", Data!B20)</f>
        <v/>
      </c>
      <c r="C16" s="244" t="str">
        <f>IF(ISBLANK(Data!C20), "", Data!C20)</f>
        <v/>
      </c>
      <c r="D16" s="246" t="str">
        <f>IF(ISBLANK(Data!D20), "", Data!D20)</f>
        <v/>
      </c>
      <c r="F16" s="44" t="str">
        <f>_xlfn.CONCAT("Present Value in ",Data!D2," (",Data!D3,"$)")</f>
        <v>Present Value in 2024 (2020$)</v>
      </c>
      <c r="G16" s="53">
        <f>O68</f>
        <v>0</v>
      </c>
      <c r="H16" s="53">
        <f t="shared" ref="H16:I16" si="2">P68</f>
        <v>0</v>
      </c>
      <c r="I16" s="53">
        <f t="shared" si="2"/>
        <v>0</v>
      </c>
      <c r="K16" s="13">
        <v>2029</v>
      </c>
      <c r="L16" s="20" t="str">
        <f>IFERROR(Data!G18*(1/(1+L$6)^(Data!$A18-Data!$D$2)),"")</f>
        <v/>
      </c>
      <c r="M16" s="20" t="str">
        <f>IFERROR(Data!H18*(1/(1+M$6)^(Data!$A18-Data!$D$2)),"")</f>
        <v/>
      </c>
      <c r="N16" s="20" t="str">
        <f>IFERROR(Data!I18*(1/(1+N$6)^(Data!$A18-Data!$D$2)),"")</f>
        <v/>
      </c>
      <c r="O16" s="20" t="str">
        <f>IFERROR(Data!J18*(1/(1+O$6)^(Data!$A18-Data!$D$2)),"")</f>
        <v/>
      </c>
      <c r="P16" s="20" t="str">
        <f>IFERROR(Data!K18*(1/(1+P$6)^(Data!$A18-Data!$D$2)),"")</f>
        <v/>
      </c>
      <c r="Q16" s="20" t="str">
        <f>IFERROR(Data!L18*(1/(1+Q$6)^(Data!$A18-Data!$D$2)),"")</f>
        <v/>
      </c>
      <c r="R16" s="20" t="str">
        <f>IFERROR(Data!M18*(1/(1+R$6)^(Data!$A18-Data!$D$2)),"")</f>
        <v/>
      </c>
      <c r="S16" s="20" t="str">
        <f>IFERROR(Data!N18*(1/(1+S$6)^(Data!$A18-Data!$D$2)),"")</f>
        <v/>
      </c>
      <c r="T16" s="20" t="str">
        <f>IFERROR(Data!O18*(1/(1+T$6)^(Data!$A18-Data!$D$2)),"")</f>
        <v/>
      </c>
    </row>
    <row r="17" spans="1:20" ht="14.7" thickBot="1" x14ac:dyDescent="0.6">
      <c r="A17" s="144">
        <v>2032</v>
      </c>
      <c r="B17" s="244" t="str">
        <f>IF(ISBLANK(Data!B21), "", Data!B21)</f>
        <v/>
      </c>
      <c r="C17" s="244" t="str">
        <f>IF(ISBLANK(Data!C21), "", Data!C21)</f>
        <v/>
      </c>
      <c r="D17" s="246" t="str">
        <f>IF(ISBLANK(Data!D21), "", Data!D21)</f>
        <v/>
      </c>
      <c r="F17" s="45" t="str">
        <f>_xlfn.CONCAT("Annualized Value (",G4," Years, ",Data!D3,"$)")</f>
        <v>Annualized Value (0 Years, 2020$)</v>
      </c>
      <c r="G17" s="54">
        <f t="shared" ref="G17:I17" si="3">IF(G16=0,0, PMT(G$5,$G$4,-G16))</f>
        <v>0</v>
      </c>
      <c r="H17" s="54">
        <f t="shared" si="3"/>
        <v>0</v>
      </c>
      <c r="I17" s="54">
        <f t="shared" si="3"/>
        <v>0</v>
      </c>
      <c r="K17" s="13">
        <v>2030</v>
      </c>
      <c r="L17" s="20" t="str">
        <f>IFERROR(Data!G19*(1/(1+L$6)^(Data!$A19-Data!$D$2)),"")</f>
        <v/>
      </c>
      <c r="M17" s="20" t="str">
        <f>IFERROR(Data!H19*(1/(1+M$6)^(Data!$A19-Data!$D$2)),"")</f>
        <v/>
      </c>
      <c r="N17" s="20" t="str">
        <f>IFERROR(Data!I19*(1/(1+N$6)^(Data!$A19-Data!$D$2)),"")</f>
        <v/>
      </c>
      <c r="O17" s="20" t="str">
        <f>IFERROR(Data!J19*(1/(1+O$6)^(Data!$A19-Data!$D$2)),"")</f>
        <v/>
      </c>
      <c r="P17" s="20" t="str">
        <f>IFERROR(Data!K19*(1/(1+P$6)^(Data!$A19-Data!$D$2)),"")</f>
        <v/>
      </c>
      <c r="Q17" s="20" t="str">
        <f>IFERROR(Data!L19*(1/(1+Q$6)^(Data!$A19-Data!$D$2)),"")</f>
        <v/>
      </c>
      <c r="R17" s="20" t="str">
        <f>IFERROR(Data!M19*(1/(1+R$6)^(Data!$A19-Data!$D$2)),"")</f>
        <v/>
      </c>
      <c r="S17" s="20" t="str">
        <f>IFERROR(Data!N19*(1/(1+S$6)^(Data!$A19-Data!$D$2)),"")</f>
        <v/>
      </c>
      <c r="T17" s="20" t="str">
        <f>IFERROR(Data!O19*(1/(1+T$6)^(Data!$A19-Data!$D$2)),"")</f>
        <v/>
      </c>
    </row>
    <row r="18" spans="1:20" ht="14.7" thickBot="1" x14ac:dyDescent="0.6">
      <c r="A18" s="144">
        <v>2033</v>
      </c>
      <c r="B18" s="244" t="str">
        <f>IF(ISBLANK(Data!B22), "", Data!B22)</f>
        <v/>
      </c>
      <c r="C18" s="244" t="str">
        <f>IF(ISBLANK(Data!C22), "", Data!C22)</f>
        <v/>
      </c>
      <c r="D18" s="246" t="str">
        <f>IF(ISBLANK(Data!D22), "", Data!D22)</f>
        <v/>
      </c>
      <c r="K18" s="13">
        <v>2031</v>
      </c>
      <c r="L18" s="20" t="str">
        <f>IFERROR(Data!G20*(1/(1+L$6)^(Data!$A20-Data!$D$2)),"")</f>
        <v/>
      </c>
      <c r="M18" s="20" t="str">
        <f>IFERROR(Data!H20*(1/(1+M$6)^(Data!$A20-Data!$D$2)),"")</f>
        <v/>
      </c>
      <c r="N18" s="20" t="str">
        <f>IFERROR(Data!I20*(1/(1+N$6)^(Data!$A20-Data!$D$2)),"")</f>
        <v/>
      </c>
      <c r="O18" s="20" t="str">
        <f>IFERROR(Data!J20*(1/(1+O$6)^(Data!$A20-Data!$D$2)),"")</f>
        <v/>
      </c>
      <c r="P18" s="20" t="str">
        <f>IFERROR(Data!K20*(1/(1+P$6)^(Data!$A20-Data!$D$2)),"")</f>
        <v/>
      </c>
      <c r="Q18" s="20" t="str">
        <f>IFERROR(Data!L20*(1/(1+Q$6)^(Data!$A20-Data!$D$2)),"")</f>
        <v/>
      </c>
      <c r="R18" s="20" t="str">
        <f>IFERROR(Data!M20*(1/(1+R$6)^(Data!$A20-Data!$D$2)),"")</f>
        <v/>
      </c>
      <c r="S18" s="20" t="str">
        <f>IFERROR(Data!N20*(1/(1+S$6)^(Data!$A20-Data!$D$2)),"")</f>
        <v/>
      </c>
      <c r="T18" s="20" t="str">
        <f>IFERROR(Data!O20*(1/(1+T$6)^(Data!$A20-Data!$D$2)),"")</f>
        <v/>
      </c>
    </row>
    <row r="19" spans="1:20" ht="14.7" thickBot="1" x14ac:dyDescent="0.6">
      <c r="A19" s="144">
        <v>2034</v>
      </c>
      <c r="B19" s="244" t="str">
        <f>IF(ISBLANK(Data!B23), "", Data!B23)</f>
        <v/>
      </c>
      <c r="C19" s="244" t="str">
        <f>IF(ISBLANK(Data!C23), "", Data!C23)</f>
        <v/>
      </c>
      <c r="D19" s="246" t="str">
        <f>IF(ISBLANK(Data!D23), "", Data!D23)</f>
        <v/>
      </c>
      <c r="F19" s="282" t="str">
        <f>_xlfn.CONCAT("Present and Annualized Values of N2O Emission Changes"," (millions, ",Data!D3,"$)")</f>
        <v>Present and Annualized Values of N2O Emission Changes (millions, 2020$)</v>
      </c>
      <c r="G19" s="283"/>
      <c r="H19" s="283"/>
      <c r="I19" s="284"/>
      <c r="K19" s="13">
        <v>2032</v>
      </c>
      <c r="L19" s="20" t="str">
        <f>IFERROR(Data!G21*(1/(1+L$6)^(Data!$A21-Data!$D$2)),"")</f>
        <v/>
      </c>
      <c r="M19" s="20" t="str">
        <f>IFERROR(Data!H21*(1/(1+M$6)^(Data!$A21-Data!$D$2)),"")</f>
        <v/>
      </c>
      <c r="N19" s="20" t="str">
        <f>IFERROR(Data!I21*(1/(1+N$6)^(Data!$A21-Data!$D$2)),"")</f>
        <v/>
      </c>
      <c r="O19" s="20" t="str">
        <f>IFERROR(Data!J21*(1/(1+O$6)^(Data!$A21-Data!$D$2)),"")</f>
        <v/>
      </c>
      <c r="P19" s="20" t="str">
        <f>IFERROR(Data!K21*(1/(1+P$6)^(Data!$A21-Data!$D$2)),"")</f>
        <v/>
      </c>
      <c r="Q19" s="20" t="str">
        <f>IFERROR(Data!L21*(1/(1+Q$6)^(Data!$A21-Data!$D$2)),"")</f>
        <v/>
      </c>
      <c r="R19" s="20" t="str">
        <f>IFERROR(Data!M21*(1/(1+R$6)^(Data!$A21-Data!$D$2)),"")</f>
        <v/>
      </c>
      <c r="S19" s="20" t="str">
        <f>IFERROR(Data!N21*(1/(1+S$6)^(Data!$A21-Data!$D$2)),"")</f>
        <v/>
      </c>
      <c r="T19" s="20" t="str">
        <f>IFERROR(Data!O21*(1/(1+T$6)^(Data!$A21-Data!$D$2)),"")</f>
        <v/>
      </c>
    </row>
    <row r="20" spans="1:20" x14ac:dyDescent="0.55000000000000004">
      <c r="A20" s="144">
        <v>2035</v>
      </c>
      <c r="B20" s="244" t="str">
        <f>IF(ISBLANK(Data!B24), "", Data!B24)</f>
        <v/>
      </c>
      <c r="C20" s="244" t="str">
        <f>IF(ISBLANK(Data!C24), "", Data!C24)</f>
        <v/>
      </c>
      <c r="D20" s="246" t="str">
        <f>IF(ISBLANK(Data!D24), "", Data!D24)</f>
        <v/>
      </c>
      <c r="F20" s="104" t="s">
        <v>18</v>
      </c>
      <c r="G20" s="105" t="s">
        <v>8</v>
      </c>
      <c r="H20" s="105" t="s">
        <v>8</v>
      </c>
      <c r="I20" s="106" t="s">
        <v>8</v>
      </c>
      <c r="K20" s="13">
        <v>2033</v>
      </c>
      <c r="L20" s="20" t="str">
        <f>IFERROR(Data!G22*(1/(1+L$6)^(Data!$A22-Data!$D$2)),"")</f>
        <v/>
      </c>
      <c r="M20" s="20" t="str">
        <f>IFERROR(Data!H22*(1/(1+M$6)^(Data!$A22-Data!$D$2)),"")</f>
        <v/>
      </c>
      <c r="N20" s="20" t="str">
        <f>IFERROR(Data!I22*(1/(1+N$6)^(Data!$A22-Data!$D$2)),"")</f>
        <v/>
      </c>
      <c r="O20" s="20" t="str">
        <f>IFERROR(Data!J22*(1/(1+O$6)^(Data!$A22-Data!$D$2)),"")</f>
        <v/>
      </c>
      <c r="P20" s="20" t="str">
        <f>IFERROR(Data!K22*(1/(1+P$6)^(Data!$A22-Data!$D$2)),"")</f>
        <v/>
      </c>
      <c r="Q20" s="20" t="str">
        <f>IFERROR(Data!L22*(1/(1+Q$6)^(Data!$A22-Data!$D$2)),"")</f>
        <v/>
      </c>
      <c r="R20" s="20" t="str">
        <f>IFERROR(Data!M22*(1/(1+R$6)^(Data!$A22-Data!$D$2)),"")</f>
        <v/>
      </c>
      <c r="S20" s="20" t="str">
        <f>IFERROR(Data!N22*(1/(1+S$6)^(Data!$A22-Data!$D$2)),"")</f>
        <v/>
      </c>
      <c r="T20" s="20" t="str">
        <f>IFERROR(Data!O22*(1/(1+T$6)^(Data!$A22-Data!$D$2)),"")</f>
        <v/>
      </c>
    </row>
    <row r="21" spans="1:20" ht="14.7" thickBot="1" x14ac:dyDescent="0.6">
      <c r="A21" s="144">
        <v>2036</v>
      </c>
      <c r="B21" s="244" t="str">
        <f>IF(ISBLANK(Data!B25), "", Data!B25)</f>
        <v/>
      </c>
      <c r="C21" s="244" t="str">
        <f>IF(ISBLANK(Data!C25), "", Data!C25)</f>
        <v/>
      </c>
      <c r="D21" s="246" t="str">
        <f>IF(ISBLANK(Data!D25), "", Data!D25)</f>
        <v/>
      </c>
      <c r="F21" s="107" t="s">
        <v>12</v>
      </c>
      <c r="G21" s="108">
        <v>2.5000000000000001E-2</v>
      </c>
      <c r="H21" s="108">
        <v>0.02</v>
      </c>
      <c r="I21" s="109">
        <v>1.4999999999999999E-2</v>
      </c>
      <c r="K21" s="13">
        <v>2034</v>
      </c>
      <c r="L21" s="20" t="str">
        <f>IFERROR(Data!G23*(1/(1+L$6)^(Data!$A23-Data!$D$2)),"")</f>
        <v/>
      </c>
      <c r="M21" s="20" t="str">
        <f>IFERROR(Data!H23*(1/(1+M$6)^(Data!$A23-Data!$D$2)),"")</f>
        <v/>
      </c>
      <c r="N21" s="20" t="str">
        <f>IFERROR(Data!I23*(1/(1+N$6)^(Data!$A23-Data!$D$2)),"")</f>
        <v/>
      </c>
      <c r="O21" s="20" t="str">
        <f>IFERROR(Data!J23*(1/(1+O$6)^(Data!$A23-Data!$D$2)),"")</f>
        <v/>
      </c>
      <c r="P21" s="20" t="str">
        <f>IFERROR(Data!K23*(1/(1+P$6)^(Data!$A23-Data!$D$2)),"")</f>
        <v/>
      </c>
      <c r="Q21" s="20" t="str">
        <f>IFERROR(Data!L23*(1/(1+Q$6)^(Data!$A23-Data!$D$2)),"")</f>
        <v/>
      </c>
      <c r="R21" s="20" t="str">
        <f>IFERROR(Data!M23*(1/(1+R$6)^(Data!$A23-Data!$D$2)),"")</f>
        <v/>
      </c>
      <c r="S21" s="20" t="str">
        <f>IFERROR(Data!N23*(1/(1+S$6)^(Data!$A23-Data!$D$2)),"")</f>
        <v/>
      </c>
      <c r="T21" s="20" t="str">
        <f>IFERROR(Data!O23*(1/(1+T$6)^(Data!$A23-Data!$D$2)),"")</f>
        <v/>
      </c>
    </row>
    <row r="22" spans="1:20" x14ac:dyDescent="0.55000000000000004">
      <c r="A22" s="144">
        <v>2037</v>
      </c>
      <c r="B22" s="244" t="str">
        <f>IF(ISBLANK(Data!B26), "", Data!B26)</f>
        <v/>
      </c>
      <c r="C22" s="244" t="str">
        <f>IF(ISBLANK(Data!C26), "", Data!C26)</f>
        <v/>
      </c>
      <c r="D22" s="246" t="str">
        <f>IF(ISBLANK(Data!D26), "", Data!D26)</f>
        <v/>
      </c>
      <c r="F22" s="44" t="str">
        <f>_xlfn.CONCAT("Present Value in ",Data!D2," (",Data!D3,"$)")</f>
        <v>Present Value in 2024 (2020$)</v>
      </c>
      <c r="G22" s="55">
        <f>R68</f>
        <v>0</v>
      </c>
      <c r="H22" s="55">
        <f t="shared" ref="H22:I22" si="4">S68</f>
        <v>0</v>
      </c>
      <c r="I22" s="55">
        <f t="shared" si="4"/>
        <v>0</v>
      </c>
      <c r="K22" s="13">
        <v>2035</v>
      </c>
      <c r="L22" s="20" t="str">
        <f>IFERROR(Data!G24*(1/(1+L$6)^(Data!$A24-Data!$D$2)),"")</f>
        <v/>
      </c>
      <c r="M22" s="20" t="str">
        <f>IFERROR(Data!H24*(1/(1+M$6)^(Data!$A24-Data!$D$2)),"")</f>
        <v/>
      </c>
      <c r="N22" s="20" t="str">
        <f>IFERROR(Data!I24*(1/(1+N$6)^(Data!$A24-Data!$D$2)),"")</f>
        <v/>
      </c>
      <c r="O22" s="20" t="str">
        <f>IFERROR(Data!J24*(1/(1+O$6)^(Data!$A24-Data!$D$2)),"")</f>
        <v/>
      </c>
      <c r="P22" s="20" t="str">
        <f>IFERROR(Data!K24*(1/(1+P$6)^(Data!$A24-Data!$D$2)),"")</f>
        <v/>
      </c>
      <c r="Q22" s="20" t="str">
        <f>IFERROR(Data!L24*(1/(1+Q$6)^(Data!$A24-Data!$D$2)),"")</f>
        <v/>
      </c>
      <c r="R22" s="20" t="str">
        <f>IFERROR(Data!M24*(1/(1+R$6)^(Data!$A24-Data!$D$2)),"")</f>
        <v/>
      </c>
      <c r="S22" s="20" t="str">
        <f>IFERROR(Data!N24*(1/(1+S$6)^(Data!$A24-Data!$D$2)),"")</f>
        <v/>
      </c>
      <c r="T22" s="20" t="str">
        <f>IFERROR(Data!O24*(1/(1+T$6)^(Data!$A24-Data!$D$2)),"")</f>
        <v/>
      </c>
    </row>
    <row r="23" spans="1:20" ht="14.7" thickBot="1" x14ac:dyDescent="0.6">
      <c r="A23" s="144">
        <v>2038</v>
      </c>
      <c r="B23" s="244" t="str">
        <f>IF(ISBLANK(Data!B27), "", Data!B27)</f>
        <v/>
      </c>
      <c r="C23" s="244" t="str">
        <f>IF(ISBLANK(Data!C27), "", Data!C27)</f>
        <v/>
      </c>
      <c r="D23" s="246" t="str">
        <f>IF(ISBLANK(Data!D27), "", Data!D27)</f>
        <v/>
      </c>
      <c r="F23" s="45" t="str">
        <f>_xlfn.CONCAT("Annualized Value (",G4," Years, ",Data!D3,"$)")</f>
        <v>Annualized Value (0 Years, 2020$)</v>
      </c>
      <c r="G23" s="54">
        <f t="shared" ref="G23:I23" si="5">IF(G22=0,0, PMT(G$5,$G$4,-G22))</f>
        <v>0</v>
      </c>
      <c r="H23" s="54">
        <f t="shared" si="5"/>
        <v>0</v>
      </c>
      <c r="I23" s="54">
        <f t="shared" si="5"/>
        <v>0</v>
      </c>
      <c r="K23" s="13">
        <v>2036</v>
      </c>
      <c r="L23" s="20" t="str">
        <f>IFERROR(Data!G25*(1/(1+L$6)^(Data!$A25-Data!$D$2)),"")</f>
        <v/>
      </c>
      <c r="M23" s="20" t="str">
        <f>IFERROR(Data!H25*(1/(1+M$6)^(Data!$A25-Data!$D$2)),"")</f>
        <v/>
      </c>
      <c r="N23" s="20" t="str">
        <f>IFERROR(Data!I25*(1/(1+N$6)^(Data!$A25-Data!$D$2)),"")</f>
        <v/>
      </c>
      <c r="O23" s="20" t="str">
        <f>IFERROR(Data!J25*(1/(1+O$6)^(Data!$A25-Data!$D$2)),"")</f>
        <v/>
      </c>
      <c r="P23" s="20" t="str">
        <f>IFERROR(Data!K25*(1/(1+P$6)^(Data!$A25-Data!$D$2)),"")</f>
        <v/>
      </c>
      <c r="Q23" s="20" t="str">
        <f>IFERROR(Data!L25*(1/(1+Q$6)^(Data!$A25-Data!$D$2)),"")</f>
        <v/>
      </c>
      <c r="R23" s="20" t="str">
        <f>IFERROR(Data!M25*(1/(1+R$6)^(Data!$A25-Data!$D$2)),"")</f>
        <v/>
      </c>
      <c r="S23" s="20" t="str">
        <f>IFERROR(Data!N25*(1/(1+S$6)^(Data!$A25-Data!$D$2)),"")</f>
        <v/>
      </c>
      <c r="T23" s="20" t="str">
        <f>IFERROR(Data!O25*(1/(1+T$6)^(Data!$A25-Data!$D$2)),"")</f>
        <v/>
      </c>
    </row>
    <row r="24" spans="1:20" ht="14.7" thickBot="1" x14ac:dyDescent="0.6">
      <c r="A24" s="144">
        <v>2039</v>
      </c>
      <c r="B24" s="244" t="str">
        <f>IF(ISBLANK(Data!B28), "", Data!B28)</f>
        <v/>
      </c>
      <c r="C24" s="244" t="str">
        <f>IF(ISBLANK(Data!C28), "", Data!C28)</f>
        <v/>
      </c>
      <c r="D24" s="246" t="str">
        <f>IF(ISBLANK(Data!D28), "", Data!D28)</f>
        <v/>
      </c>
      <c r="K24" s="13">
        <v>2037</v>
      </c>
      <c r="L24" s="20" t="str">
        <f>IFERROR(Data!G26*(1/(1+L$6)^(Data!$A26-Data!$D$2)),"")</f>
        <v/>
      </c>
      <c r="M24" s="20" t="str">
        <f>IFERROR(Data!H26*(1/(1+M$6)^(Data!$A26-Data!$D$2)),"")</f>
        <v/>
      </c>
      <c r="N24" s="20" t="str">
        <f>IFERROR(Data!I26*(1/(1+N$6)^(Data!$A26-Data!$D$2)),"")</f>
        <v/>
      </c>
      <c r="O24" s="20" t="str">
        <f>IFERROR(Data!J26*(1/(1+O$6)^(Data!$A26-Data!$D$2)),"")</f>
        <v/>
      </c>
      <c r="P24" s="20" t="str">
        <f>IFERROR(Data!K26*(1/(1+P$6)^(Data!$A26-Data!$D$2)),"")</f>
        <v/>
      </c>
      <c r="Q24" s="20" t="str">
        <f>IFERROR(Data!L26*(1/(1+Q$6)^(Data!$A26-Data!$D$2)),"")</f>
        <v/>
      </c>
      <c r="R24" s="20" t="str">
        <f>IFERROR(Data!M26*(1/(1+R$6)^(Data!$A26-Data!$D$2)),"")</f>
        <v/>
      </c>
      <c r="S24" s="20" t="str">
        <f>IFERROR(Data!N26*(1/(1+S$6)^(Data!$A26-Data!$D$2)),"")</f>
        <v/>
      </c>
      <c r="T24" s="20" t="str">
        <f>IFERROR(Data!O26*(1/(1+T$6)^(Data!$A26-Data!$D$2)),"")</f>
        <v/>
      </c>
    </row>
    <row r="25" spans="1:20" ht="14.7" thickBot="1" x14ac:dyDescent="0.6">
      <c r="A25" s="144">
        <v>2040</v>
      </c>
      <c r="B25" s="244" t="str">
        <f>IF(ISBLANK(Data!B29), "", Data!B29)</f>
        <v/>
      </c>
      <c r="C25" s="244" t="str">
        <f>IF(ISBLANK(Data!C29), "", Data!C29)</f>
        <v/>
      </c>
      <c r="D25" s="246" t="str">
        <f>IF(ISBLANK(Data!D29), "", Data!D29)</f>
        <v/>
      </c>
      <c r="F25" s="285" t="str">
        <f>_xlfn.CONCAT("Total Present and Annualized Values of all GHG Emission Changes (CO2, CH4, and N2O)"," (millions, ",Data!D3,"$)")</f>
        <v>Total Present and Annualized Values of all GHG Emission Changes (CO2, CH4, and N2O) (millions, 2020$)</v>
      </c>
      <c r="G25" s="286"/>
      <c r="H25" s="286"/>
      <c r="I25" s="287"/>
      <c r="K25" s="13">
        <v>2038</v>
      </c>
      <c r="L25" s="20" t="str">
        <f>IFERROR(Data!G27*(1/(1+L$6)^(Data!$A27-Data!$D$2)),"")</f>
        <v/>
      </c>
      <c r="M25" s="20" t="str">
        <f>IFERROR(Data!H27*(1/(1+M$6)^(Data!$A27-Data!$D$2)),"")</f>
        <v/>
      </c>
      <c r="N25" s="20" t="str">
        <f>IFERROR(Data!I27*(1/(1+N$6)^(Data!$A27-Data!$D$2)),"")</f>
        <v/>
      </c>
      <c r="O25" s="20" t="str">
        <f>IFERROR(Data!J27*(1/(1+O$6)^(Data!$A27-Data!$D$2)),"")</f>
        <v/>
      </c>
      <c r="P25" s="20" t="str">
        <f>IFERROR(Data!K27*(1/(1+P$6)^(Data!$A27-Data!$D$2)),"")</f>
        <v/>
      </c>
      <c r="Q25" s="20" t="str">
        <f>IFERROR(Data!L27*(1/(1+Q$6)^(Data!$A27-Data!$D$2)),"")</f>
        <v/>
      </c>
      <c r="R25" s="20" t="str">
        <f>IFERROR(Data!M27*(1/(1+R$6)^(Data!$A27-Data!$D$2)),"")</f>
        <v/>
      </c>
      <c r="S25" s="20" t="str">
        <f>IFERROR(Data!N27*(1/(1+S$6)^(Data!$A27-Data!$D$2)),"")</f>
        <v/>
      </c>
      <c r="T25" s="20" t="str">
        <f>IFERROR(Data!O27*(1/(1+T$6)^(Data!$A27-Data!$D$2)),"")</f>
        <v/>
      </c>
    </row>
    <row r="26" spans="1:20" x14ac:dyDescent="0.55000000000000004">
      <c r="A26" s="144">
        <v>2041</v>
      </c>
      <c r="B26" s="244" t="str">
        <f>IF(ISBLANK(Data!B30), "", Data!B30)</f>
        <v/>
      </c>
      <c r="C26" s="244" t="str">
        <f>IF(ISBLANK(Data!C30), "", Data!C30)</f>
        <v/>
      </c>
      <c r="D26" s="246" t="str">
        <f>IF(ISBLANK(Data!D30), "", Data!D30)</f>
        <v/>
      </c>
      <c r="F26" s="104" t="s">
        <v>18</v>
      </c>
      <c r="G26" s="105" t="s">
        <v>19</v>
      </c>
      <c r="H26" s="105" t="s">
        <v>20</v>
      </c>
      <c r="I26" s="106" t="s">
        <v>20</v>
      </c>
      <c r="K26" s="13">
        <v>2039</v>
      </c>
      <c r="L26" s="20" t="str">
        <f>IFERROR(Data!G28*(1/(1+L$6)^(Data!$A28-Data!$D$2)),"")</f>
        <v/>
      </c>
      <c r="M26" s="20" t="str">
        <f>IFERROR(Data!H28*(1/(1+M$6)^(Data!$A28-Data!$D$2)),"")</f>
        <v/>
      </c>
      <c r="N26" s="20" t="str">
        <f>IFERROR(Data!I28*(1/(1+N$6)^(Data!$A28-Data!$D$2)),"")</f>
        <v/>
      </c>
      <c r="O26" s="20" t="str">
        <f>IFERROR(Data!J28*(1/(1+O$6)^(Data!$A28-Data!$D$2)),"")</f>
        <v/>
      </c>
      <c r="P26" s="20" t="str">
        <f>IFERROR(Data!K28*(1/(1+P$6)^(Data!$A28-Data!$D$2)),"")</f>
        <v/>
      </c>
      <c r="Q26" s="20" t="str">
        <f>IFERROR(Data!L28*(1/(1+Q$6)^(Data!$A28-Data!$D$2)),"")</f>
        <v/>
      </c>
      <c r="R26" s="20" t="str">
        <f>IFERROR(Data!M28*(1/(1+R$6)^(Data!$A28-Data!$D$2)),"")</f>
        <v/>
      </c>
      <c r="S26" s="20" t="str">
        <f>IFERROR(Data!N28*(1/(1+S$6)^(Data!$A28-Data!$D$2)),"")</f>
        <v/>
      </c>
      <c r="T26" s="20" t="str">
        <f>IFERROR(Data!O28*(1/(1+T$6)^(Data!$A28-Data!$D$2)),"")</f>
        <v/>
      </c>
    </row>
    <row r="27" spans="1:20" ht="14.7" thickBot="1" x14ac:dyDescent="0.6">
      <c r="A27" s="144">
        <v>2042</v>
      </c>
      <c r="B27" s="244" t="str">
        <f>IF(ISBLANK(Data!B31), "", Data!B31)</f>
        <v/>
      </c>
      <c r="C27" s="244" t="str">
        <f>IF(ISBLANK(Data!C31), "", Data!C31)</f>
        <v/>
      </c>
      <c r="D27" s="246" t="str">
        <f>IF(ISBLANK(Data!D31), "", Data!D31)</f>
        <v/>
      </c>
      <c r="F27" s="107" t="s">
        <v>12</v>
      </c>
      <c r="G27" s="108">
        <v>2.5000000000000001E-2</v>
      </c>
      <c r="H27" s="108">
        <v>0.02</v>
      </c>
      <c r="I27" s="109">
        <v>1.4999999999999999E-2</v>
      </c>
      <c r="K27" s="13">
        <v>2040</v>
      </c>
      <c r="L27" s="20" t="str">
        <f>IFERROR(Data!G29*(1/(1+L$6)^(Data!$A29-Data!$D$2)),"")</f>
        <v/>
      </c>
      <c r="M27" s="20" t="str">
        <f>IFERROR(Data!H29*(1/(1+M$6)^(Data!$A29-Data!$D$2)),"")</f>
        <v/>
      </c>
      <c r="N27" s="20" t="str">
        <f>IFERROR(Data!I29*(1/(1+N$6)^(Data!$A29-Data!$D$2)),"")</f>
        <v/>
      </c>
      <c r="O27" s="20" t="str">
        <f>IFERROR(Data!J29*(1/(1+O$6)^(Data!$A29-Data!$D$2)),"")</f>
        <v/>
      </c>
      <c r="P27" s="20" t="str">
        <f>IFERROR(Data!K29*(1/(1+P$6)^(Data!$A29-Data!$D$2)),"")</f>
        <v/>
      </c>
      <c r="Q27" s="20" t="str">
        <f>IFERROR(Data!L29*(1/(1+Q$6)^(Data!$A29-Data!$D$2)),"")</f>
        <v/>
      </c>
      <c r="R27" s="20" t="str">
        <f>IFERROR(Data!M29*(1/(1+R$6)^(Data!$A29-Data!$D$2)),"")</f>
        <v/>
      </c>
      <c r="S27" s="20" t="str">
        <f>IFERROR(Data!N29*(1/(1+S$6)^(Data!$A29-Data!$D$2)),"")</f>
        <v/>
      </c>
      <c r="T27" s="20" t="str">
        <f>IFERROR(Data!O29*(1/(1+T$6)^(Data!$A29-Data!$D$2)),"")</f>
        <v/>
      </c>
    </row>
    <row r="28" spans="1:20" x14ac:dyDescent="0.55000000000000004">
      <c r="A28" s="144">
        <v>2043</v>
      </c>
      <c r="B28" s="244" t="str">
        <f>IF(ISBLANK(Data!B32), "", Data!B32)</f>
        <v/>
      </c>
      <c r="C28" s="244" t="str">
        <f>IF(ISBLANK(Data!C32), "", Data!C32)</f>
        <v/>
      </c>
      <c r="D28" s="246" t="str">
        <f>IF(ISBLANK(Data!D32), "", Data!D32)</f>
        <v/>
      </c>
      <c r="F28" s="43" t="str">
        <f>_xlfn.CONCAT("Present Value in ",Data!D2," (",Data!D3,"$)")</f>
        <v>Present Value in 2024 (2020$)</v>
      </c>
      <c r="G28" s="56">
        <f>G10+G16+G22</f>
        <v>0</v>
      </c>
      <c r="H28" s="56">
        <f>H10+H16+H22</f>
        <v>0</v>
      </c>
      <c r="I28" s="57">
        <f>I10+I16+I22</f>
        <v>0</v>
      </c>
      <c r="K28" s="13">
        <v>2041</v>
      </c>
      <c r="L28" s="20" t="str">
        <f>IFERROR(Data!G30*(1/(1+L$6)^(Data!$A30-Data!$D$2)),"")</f>
        <v/>
      </c>
      <c r="M28" s="20" t="str">
        <f>IFERROR(Data!H30*(1/(1+M$6)^(Data!$A30-Data!$D$2)),"")</f>
        <v/>
      </c>
      <c r="N28" s="20" t="str">
        <f>IFERROR(Data!I30*(1/(1+N$6)^(Data!$A30-Data!$D$2)),"")</f>
        <v/>
      </c>
      <c r="O28" s="20" t="str">
        <f>IFERROR(Data!J30*(1/(1+O$6)^(Data!$A30-Data!$D$2)),"")</f>
        <v/>
      </c>
      <c r="P28" s="20" t="str">
        <f>IFERROR(Data!K30*(1/(1+P$6)^(Data!$A30-Data!$D$2)),"")</f>
        <v/>
      </c>
      <c r="Q28" s="20" t="str">
        <f>IFERROR(Data!L30*(1/(1+Q$6)^(Data!$A30-Data!$D$2)),"")</f>
        <v/>
      </c>
      <c r="R28" s="20" t="str">
        <f>IFERROR(Data!M30*(1/(1+R$6)^(Data!$A30-Data!$D$2)),"")</f>
        <v/>
      </c>
      <c r="S28" s="20" t="str">
        <f>IFERROR(Data!N30*(1/(1+S$6)^(Data!$A30-Data!$D$2)),"")</f>
        <v/>
      </c>
      <c r="T28" s="20" t="str">
        <f>IFERROR(Data!O30*(1/(1+T$6)^(Data!$A30-Data!$D$2)),"")</f>
        <v/>
      </c>
    </row>
    <row r="29" spans="1:20" ht="14.7" thickBot="1" x14ac:dyDescent="0.6">
      <c r="A29" s="144">
        <v>2044</v>
      </c>
      <c r="B29" s="244" t="str">
        <f>IF(ISBLANK(Data!B33), "", Data!B33)</f>
        <v/>
      </c>
      <c r="C29" s="244" t="str">
        <f>IF(ISBLANK(Data!C33), "", Data!C33)</f>
        <v/>
      </c>
      <c r="D29" s="246" t="str">
        <f>IF(ISBLANK(Data!D33), "", Data!D33)</f>
        <v/>
      </c>
      <c r="F29" s="45" t="str">
        <f>_xlfn.CONCAT("Annualized Value (",G4," Years, ",Data!D3,"$)")</f>
        <v>Annualized Value (0 Years, 2020$)</v>
      </c>
      <c r="G29" s="58">
        <f>G11+G17+G23</f>
        <v>0</v>
      </c>
      <c r="H29" s="58">
        <f t="shared" ref="H29:I29" si="6">H11+H17+H23</f>
        <v>0</v>
      </c>
      <c r="I29" s="58">
        <f t="shared" si="6"/>
        <v>0</v>
      </c>
      <c r="K29" s="13">
        <v>2042</v>
      </c>
      <c r="L29" s="20" t="str">
        <f>IFERROR(Data!G31*(1/(1+L$6)^(Data!$A31-Data!$D$2)),"")</f>
        <v/>
      </c>
      <c r="M29" s="20" t="str">
        <f>IFERROR(Data!H31*(1/(1+M$6)^(Data!$A31-Data!$D$2)),"")</f>
        <v/>
      </c>
      <c r="N29" s="20" t="str">
        <f>IFERROR(Data!I31*(1/(1+N$6)^(Data!$A31-Data!$D$2)),"")</f>
        <v/>
      </c>
      <c r="O29" s="20" t="str">
        <f>IFERROR(Data!J31*(1/(1+O$6)^(Data!$A31-Data!$D$2)),"")</f>
        <v/>
      </c>
      <c r="P29" s="20" t="str">
        <f>IFERROR(Data!K31*(1/(1+P$6)^(Data!$A31-Data!$D$2)),"")</f>
        <v/>
      </c>
      <c r="Q29" s="20" t="str">
        <f>IFERROR(Data!L31*(1/(1+Q$6)^(Data!$A31-Data!$D$2)),"")</f>
        <v/>
      </c>
      <c r="R29" s="20" t="str">
        <f>IFERROR(Data!M31*(1/(1+R$6)^(Data!$A31-Data!$D$2)),"")</f>
        <v/>
      </c>
      <c r="S29" s="20" t="str">
        <f>IFERROR(Data!N31*(1/(1+S$6)^(Data!$A31-Data!$D$2)),"")</f>
        <v/>
      </c>
      <c r="T29" s="20" t="str">
        <f>IFERROR(Data!O31*(1/(1+T$6)^(Data!$A31-Data!$D$2)),"")</f>
        <v/>
      </c>
    </row>
    <row r="30" spans="1:20" x14ac:dyDescent="0.55000000000000004">
      <c r="A30" s="144">
        <v>2045</v>
      </c>
      <c r="B30" s="244" t="str">
        <f>IF(ISBLANK(Data!B34), "", Data!B34)</f>
        <v/>
      </c>
      <c r="C30" s="244" t="str">
        <f>IF(ISBLANK(Data!C34), "", Data!C34)</f>
        <v/>
      </c>
      <c r="D30" s="246" t="str">
        <f>IF(ISBLANK(Data!D34), "", Data!D34)</f>
        <v/>
      </c>
      <c r="K30" s="13">
        <v>2043</v>
      </c>
      <c r="L30" s="20" t="str">
        <f>IFERROR(Data!G32*(1/(1+L$6)^(Data!$A32-Data!$D$2)),"")</f>
        <v/>
      </c>
      <c r="M30" s="20" t="str">
        <f>IFERROR(Data!H32*(1/(1+M$6)^(Data!$A32-Data!$D$2)),"")</f>
        <v/>
      </c>
      <c r="N30" s="20" t="str">
        <f>IFERROR(Data!I32*(1/(1+N$6)^(Data!$A32-Data!$D$2)),"")</f>
        <v/>
      </c>
      <c r="O30" s="20" t="str">
        <f>IFERROR(Data!J32*(1/(1+O$6)^(Data!$A32-Data!$D$2)),"")</f>
        <v/>
      </c>
      <c r="P30" s="20" t="str">
        <f>IFERROR(Data!K32*(1/(1+P$6)^(Data!$A32-Data!$D$2)),"")</f>
        <v/>
      </c>
      <c r="Q30" s="20" t="str">
        <f>IFERROR(Data!L32*(1/(1+Q$6)^(Data!$A32-Data!$D$2)),"")</f>
        <v/>
      </c>
      <c r="R30" s="20" t="str">
        <f>IFERROR(Data!M32*(1/(1+R$6)^(Data!$A32-Data!$D$2)),"")</f>
        <v/>
      </c>
      <c r="S30" s="20" t="str">
        <f>IFERROR(Data!N32*(1/(1+S$6)^(Data!$A32-Data!$D$2)),"")</f>
        <v/>
      </c>
      <c r="T30" s="20" t="str">
        <f>IFERROR(Data!O32*(1/(1+T$6)^(Data!$A32-Data!$D$2)),"")</f>
        <v/>
      </c>
    </row>
    <row r="31" spans="1:20" x14ac:dyDescent="0.55000000000000004">
      <c r="A31" s="144">
        <v>2046</v>
      </c>
      <c r="B31" s="244" t="str">
        <f>IF(ISBLANK(Data!B35), "", Data!B35)</f>
        <v/>
      </c>
      <c r="C31" s="244" t="str">
        <f>IF(ISBLANK(Data!C35), "", Data!C35)</f>
        <v/>
      </c>
      <c r="D31" s="246" t="str">
        <f>IF(ISBLANK(Data!D35), "", Data!D35)</f>
        <v/>
      </c>
      <c r="K31" s="13">
        <v>2044</v>
      </c>
      <c r="L31" s="20" t="str">
        <f>IFERROR(Data!G33*(1/(1+L$6)^(Data!$A33-Data!$D$2)),"")</f>
        <v/>
      </c>
      <c r="M31" s="20" t="str">
        <f>IFERROR(Data!H33*(1/(1+M$6)^(Data!$A33-Data!$D$2)),"")</f>
        <v/>
      </c>
      <c r="N31" s="20" t="str">
        <f>IFERROR(Data!I33*(1/(1+N$6)^(Data!$A33-Data!$D$2)),"")</f>
        <v/>
      </c>
      <c r="O31" s="20" t="str">
        <f>IFERROR(Data!J33*(1/(1+O$6)^(Data!$A33-Data!$D$2)),"")</f>
        <v/>
      </c>
      <c r="P31" s="20" t="str">
        <f>IFERROR(Data!K33*(1/(1+P$6)^(Data!$A33-Data!$D$2)),"")</f>
        <v/>
      </c>
      <c r="Q31" s="20" t="str">
        <f>IFERROR(Data!L33*(1/(1+Q$6)^(Data!$A33-Data!$D$2)),"")</f>
        <v/>
      </c>
      <c r="R31" s="20" t="str">
        <f>IFERROR(Data!M33*(1/(1+R$6)^(Data!$A33-Data!$D$2)),"")</f>
        <v/>
      </c>
      <c r="S31" s="20" t="str">
        <f>IFERROR(Data!N33*(1/(1+S$6)^(Data!$A33-Data!$D$2)),"")</f>
        <v/>
      </c>
      <c r="T31" s="20" t="str">
        <f>IFERROR(Data!O33*(1/(1+T$6)^(Data!$A33-Data!$D$2)),"")</f>
        <v/>
      </c>
    </row>
    <row r="32" spans="1:20" x14ac:dyDescent="0.55000000000000004">
      <c r="A32" s="144">
        <v>2047</v>
      </c>
      <c r="B32" s="244" t="str">
        <f>IF(ISBLANK(Data!B36), "", Data!B36)</f>
        <v/>
      </c>
      <c r="C32" s="244" t="str">
        <f>IF(ISBLANK(Data!C36), "", Data!C36)</f>
        <v/>
      </c>
      <c r="D32" s="246" t="str">
        <f>IF(ISBLANK(Data!D36), "", Data!D36)</f>
        <v/>
      </c>
      <c r="H32"/>
      <c r="I32"/>
      <c r="K32" s="13">
        <v>2045</v>
      </c>
      <c r="L32" s="20" t="str">
        <f>IFERROR(Data!G34*(1/(1+L$6)^(Data!$A34-Data!$D$2)),"")</f>
        <v/>
      </c>
      <c r="M32" s="20" t="str">
        <f>IFERROR(Data!H34*(1/(1+M$6)^(Data!$A34-Data!$D$2)),"")</f>
        <v/>
      </c>
      <c r="N32" s="20" t="str">
        <f>IFERROR(Data!I34*(1/(1+N$6)^(Data!$A34-Data!$D$2)),"")</f>
        <v/>
      </c>
      <c r="O32" s="20" t="str">
        <f>IFERROR(Data!J34*(1/(1+O$6)^(Data!$A34-Data!$D$2)),"")</f>
        <v/>
      </c>
      <c r="P32" s="20" t="str">
        <f>IFERROR(Data!K34*(1/(1+P$6)^(Data!$A34-Data!$D$2)),"")</f>
        <v/>
      </c>
      <c r="Q32" s="20" t="str">
        <f>IFERROR(Data!L34*(1/(1+Q$6)^(Data!$A34-Data!$D$2)),"")</f>
        <v/>
      </c>
      <c r="R32" s="20" t="str">
        <f>IFERROR(Data!M34*(1/(1+R$6)^(Data!$A34-Data!$D$2)),"")</f>
        <v/>
      </c>
      <c r="S32" s="20" t="str">
        <f>IFERROR(Data!N34*(1/(1+S$6)^(Data!$A34-Data!$D$2)),"")</f>
        <v/>
      </c>
      <c r="T32" s="20" t="str">
        <f>IFERROR(Data!O34*(1/(1+T$6)^(Data!$A34-Data!$D$2)),"")</f>
        <v/>
      </c>
    </row>
    <row r="33" spans="1:20" x14ac:dyDescent="0.55000000000000004">
      <c r="A33" s="144">
        <v>2048</v>
      </c>
      <c r="B33" s="244" t="str">
        <f>IF(ISBLANK(Data!B37), "", Data!B37)</f>
        <v/>
      </c>
      <c r="C33" s="244" t="str">
        <f>IF(ISBLANK(Data!C37), "", Data!C37)</f>
        <v/>
      </c>
      <c r="D33" s="246" t="str">
        <f>IF(ISBLANK(Data!D37), "", Data!D37)</f>
        <v/>
      </c>
      <c r="H33"/>
      <c r="I33"/>
      <c r="K33" s="13">
        <v>2046</v>
      </c>
      <c r="L33" s="20" t="str">
        <f>IFERROR(Data!G35*(1/(1+L$6)^(Data!$A35-Data!$D$2)),"")</f>
        <v/>
      </c>
      <c r="M33" s="20" t="str">
        <f>IFERROR(Data!H35*(1/(1+M$6)^(Data!$A35-Data!$D$2)),"")</f>
        <v/>
      </c>
      <c r="N33" s="20" t="str">
        <f>IFERROR(Data!I35*(1/(1+N$6)^(Data!$A35-Data!$D$2)),"")</f>
        <v/>
      </c>
      <c r="O33" s="20" t="str">
        <f>IFERROR(Data!J35*(1/(1+O$6)^(Data!$A35-Data!$D$2)),"")</f>
        <v/>
      </c>
      <c r="P33" s="20" t="str">
        <f>IFERROR(Data!K35*(1/(1+P$6)^(Data!$A35-Data!$D$2)),"")</f>
        <v/>
      </c>
      <c r="Q33" s="20" t="str">
        <f>IFERROR(Data!L35*(1/(1+Q$6)^(Data!$A35-Data!$D$2)),"")</f>
        <v/>
      </c>
      <c r="R33" s="20" t="str">
        <f>IFERROR(Data!M35*(1/(1+R$6)^(Data!$A35-Data!$D$2)),"")</f>
        <v/>
      </c>
      <c r="S33" s="20" t="str">
        <f>IFERROR(Data!N35*(1/(1+S$6)^(Data!$A35-Data!$D$2)),"")</f>
        <v/>
      </c>
      <c r="T33" s="20" t="str">
        <f>IFERROR(Data!O35*(1/(1+T$6)^(Data!$A35-Data!$D$2)),"")</f>
        <v/>
      </c>
    </row>
    <row r="34" spans="1:20" x14ac:dyDescent="0.55000000000000004">
      <c r="A34" s="144">
        <v>2049</v>
      </c>
      <c r="B34" s="244" t="str">
        <f>IF(ISBLANK(Data!B38), "", Data!B38)</f>
        <v/>
      </c>
      <c r="C34" s="244" t="str">
        <f>IF(ISBLANK(Data!C38), "", Data!C38)</f>
        <v/>
      </c>
      <c r="D34" s="246" t="str">
        <f>IF(ISBLANK(Data!D38), "", Data!D38)</f>
        <v/>
      </c>
      <c r="K34" s="13">
        <v>2047</v>
      </c>
      <c r="L34" s="20" t="str">
        <f>IFERROR(Data!G36*(1/(1+L$6)^(Data!$A36-Data!$D$2)),"")</f>
        <v/>
      </c>
      <c r="M34" s="20" t="str">
        <f>IFERROR(Data!H36*(1/(1+M$6)^(Data!$A36-Data!$D$2)),"")</f>
        <v/>
      </c>
      <c r="N34" s="20" t="str">
        <f>IFERROR(Data!I36*(1/(1+N$6)^(Data!$A36-Data!$D$2)),"")</f>
        <v/>
      </c>
      <c r="O34" s="20" t="str">
        <f>IFERROR(Data!J36*(1/(1+O$6)^(Data!$A36-Data!$D$2)),"")</f>
        <v/>
      </c>
      <c r="P34" s="20" t="str">
        <f>IFERROR(Data!K36*(1/(1+P$6)^(Data!$A36-Data!$D$2)),"")</f>
        <v/>
      </c>
      <c r="Q34" s="20" t="str">
        <f>IFERROR(Data!L36*(1/(1+Q$6)^(Data!$A36-Data!$D$2)),"")</f>
        <v/>
      </c>
      <c r="R34" s="20" t="str">
        <f>IFERROR(Data!M36*(1/(1+R$6)^(Data!$A36-Data!$D$2)),"")</f>
        <v/>
      </c>
      <c r="S34" s="20" t="str">
        <f>IFERROR(Data!N36*(1/(1+S$6)^(Data!$A36-Data!$D$2)),"")</f>
        <v/>
      </c>
      <c r="T34" s="20" t="str">
        <f>IFERROR(Data!O36*(1/(1+T$6)^(Data!$A36-Data!$D$2)),"")</f>
        <v/>
      </c>
    </row>
    <row r="35" spans="1:20" x14ac:dyDescent="0.55000000000000004">
      <c r="A35" s="144">
        <v>2050</v>
      </c>
      <c r="B35" s="244" t="str">
        <f>IF(ISBLANK(Data!B39), "", Data!B39)</f>
        <v/>
      </c>
      <c r="C35" s="244" t="str">
        <f>IF(ISBLANK(Data!C39), "", Data!C39)</f>
        <v/>
      </c>
      <c r="D35" s="246" t="str">
        <f>IF(ISBLANK(Data!D39), "", Data!D39)</f>
        <v/>
      </c>
      <c r="K35" s="13">
        <v>2048</v>
      </c>
      <c r="L35" s="20" t="str">
        <f>IFERROR(Data!G37*(1/(1+L$6)^(Data!$A37-Data!$D$2)),"")</f>
        <v/>
      </c>
      <c r="M35" s="20" t="str">
        <f>IFERROR(Data!H37*(1/(1+M$6)^(Data!$A37-Data!$D$2)),"")</f>
        <v/>
      </c>
      <c r="N35" s="20" t="str">
        <f>IFERROR(Data!I37*(1/(1+N$6)^(Data!$A37-Data!$D$2)),"")</f>
        <v/>
      </c>
      <c r="O35" s="20" t="str">
        <f>IFERROR(Data!J37*(1/(1+O$6)^(Data!$A37-Data!$D$2)),"")</f>
        <v/>
      </c>
      <c r="P35" s="20" t="str">
        <f>IFERROR(Data!K37*(1/(1+P$6)^(Data!$A37-Data!$D$2)),"")</f>
        <v/>
      </c>
      <c r="Q35" s="20" t="str">
        <f>IFERROR(Data!L37*(1/(1+Q$6)^(Data!$A37-Data!$D$2)),"")</f>
        <v/>
      </c>
      <c r="R35" s="20" t="str">
        <f>IFERROR(Data!M37*(1/(1+R$6)^(Data!$A37-Data!$D$2)),"")</f>
        <v/>
      </c>
      <c r="S35" s="20" t="str">
        <f>IFERROR(Data!N37*(1/(1+S$6)^(Data!$A37-Data!$D$2)),"")</f>
        <v/>
      </c>
      <c r="T35" s="20" t="str">
        <f>IFERROR(Data!O37*(1/(1+T$6)^(Data!$A37-Data!$D$2)),"")</f>
        <v/>
      </c>
    </row>
    <row r="36" spans="1:20" x14ac:dyDescent="0.55000000000000004">
      <c r="A36" s="144">
        <v>2051</v>
      </c>
      <c r="B36" s="244" t="str">
        <f>IF(ISBLANK(Data!B40), "", Data!B40)</f>
        <v/>
      </c>
      <c r="C36" s="244" t="str">
        <f>IF(ISBLANK(Data!C40), "", Data!C40)</f>
        <v/>
      </c>
      <c r="D36" s="246" t="str">
        <f>IF(ISBLANK(Data!D40), "", Data!D40)</f>
        <v/>
      </c>
      <c r="K36" s="13">
        <v>2049</v>
      </c>
      <c r="L36" s="20" t="str">
        <f>IFERROR(Data!G38*(1/(1+L$6)^(Data!$A38-Data!$D$2)),"")</f>
        <v/>
      </c>
      <c r="M36" s="20" t="str">
        <f>IFERROR(Data!H38*(1/(1+M$6)^(Data!$A38-Data!$D$2)),"")</f>
        <v/>
      </c>
      <c r="N36" s="20" t="str">
        <f>IFERROR(Data!I38*(1/(1+N$6)^(Data!$A38-Data!$D$2)),"")</f>
        <v/>
      </c>
      <c r="O36" s="20" t="str">
        <f>IFERROR(Data!J38*(1/(1+O$6)^(Data!$A38-Data!$D$2)),"")</f>
        <v/>
      </c>
      <c r="P36" s="20" t="str">
        <f>IFERROR(Data!K38*(1/(1+P$6)^(Data!$A38-Data!$D$2)),"")</f>
        <v/>
      </c>
      <c r="Q36" s="20" t="str">
        <f>IFERROR(Data!L38*(1/(1+Q$6)^(Data!$A38-Data!$D$2)),"")</f>
        <v/>
      </c>
      <c r="R36" s="20" t="str">
        <f>IFERROR(Data!M38*(1/(1+R$6)^(Data!$A38-Data!$D$2)),"")</f>
        <v/>
      </c>
      <c r="S36" s="20" t="str">
        <f>IFERROR(Data!N38*(1/(1+S$6)^(Data!$A38-Data!$D$2)),"")</f>
        <v/>
      </c>
      <c r="T36" s="20" t="str">
        <f>IFERROR(Data!O38*(1/(1+T$6)^(Data!$A38-Data!$D$2)),"")</f>
        <v/>
      </c>
    </row>
    <row r="37" spans="1:20" x14ac:dyDescent="0.55000000000000004">
      <c r="A37" s="144">
        <v>2052</v>
      </c>
      <c r="B37" s="244" t="str">
        <f>IF(ISBLANK(Data!B41), "", Data!B41)</f>
        <v/>
      </c>
      <c r="C37" s="244" t="str">
        <f>IF(ISBLANK(Data!C41), "", Data!C41)</f>
        <v/>
      </c>
      <c r="D37" s="246" t="str">
        <f>IF(ISBLANK(Data!D41), "", Data!D41)</f>
        <v/>
      </c>
      <c r="K37" s="13">
        <v>2050</v>
      </c>
      <c r="L37" s="20" t="str">
        <f>IFERROR(Data!G39*(1/(1+L$6)^(Data!$A39-Data!$D$2)),"")</f>
        <v/>
      </c>
      <c r="M37" s="20" t="str">
        <f>IFERROR(Data!H39*(1/(1+M$6)^(Data!$A39-Data!$D$2)),"")</f>
        <v/>
      </c>
      <c r="N37" s="20" t="str">
        <f>IFERROR(Data!I39*(1/(1+N$6)^(Data!$A39-Data!$D$2)),"")</f>
        <v/>
      </c>
      <c r="O37" s="20" t="str">
        <f>IFERROR(Data!J39*(1/(1+O$6)^(Data!$A39-Data!$D$2)),"")</f>
        <v/>
      </c>
      <c r="P37" s="20" t="str">
        <f>IFERROR(Data!K39*(1/(1+P$6)^(Data!$A39-Data!$D$2)),"")</f>
        <v/>
      </c>
      <c r="Q37" s="20" t="str">
        <f>IFERROR(Data!L39*(1/(1+Q$6)^(Data!$A39-Data!$D$2)),"")</f>
        <v/>
      </c>
      <c r="R37" s="20" t="str">
        <f>IFERROR(Data!M39*(1/(1+R$6)^(Data!$A39-Data!$D$2)),"")</f>
        <v/>
      </c>
      <c r="S37" s="20" t="str">
        <f>IFERROR(Data!N39*(1/(1+S$6)^(Data!$A39-Data!$D$2)),"")</f>
        <v/>
      </c>
      <c r="T37" s="20" t="str">
        <f>IFERROR(Data!O39*(1/(1+T$6)^(Data!$A39-Data!$D$2)),"")</f>
        <v/>
      </c>
    </row>
    <row r="38" spans="1:20" x14ac:dyDescent="0.55000000000000004">
      <c r="A38" s="144">
        <v>2053</v>
      </c>
      <c r="B38" s="244" t="str">
        <f>IF(ISBLANK(Data!B42), "", Data!B42)</f>
        <v/>
      </c>
      <c r="C38" s="244" t="str">
        <f>IF(ISBLANK(Data!C42), "", Data!C42)</f>
        <v/>
      </c>
      <c r="D38" s="246" t="str">
        <f>IF(ISBLANK(Data!D42), "", Data!D42)</f>
        <v/>
      </c>
      <c r="K38" s="13">
        <v>2051</v>
      </c>
      <c r="L38" s="20" t="str">
        <f>IFERROR(Data!G40*(1/(1+L$6)^(Data!$A40-Data!$D$2)),"")</f>
        <v/>
      </c>
      <c r="M38" s="20" t="str">
        <f>IFERROR(Data!H40*(1/(1+M$6)^(Data!$A40-Data!$D$2)),"")</f>
        <v/>
      </c>
      <c r="N38" s="20" t="str">
        <f>IFERROR(Data!I40*(1/(1+N$6)^(Data!$A40-Data!$D$2)),"")</f>
        <v/>
      </c>
      <c r="O38" s="20" t="str">
        <f>IFERROR(Data!J40*(1/(1+O$6)^(Data!$A40-Data!$D$2)),"")</f>
        <v/>
      </c>
      <c r="P38" s="20" t="str">
        <f>IFERROR(Data!K40*(1/(1+P$6)^(Data!$A40-Data!$D$2)),"")</f>
        <v/>
      </c>
      <c r="Q38" s="20" t="str">
        <f>IFERROR(Data!L40*(1/(1+Q$6)^(Data!$A40-Data!$D$2)),"")</f>
        <v/>
      </c>
      <c r="R38" s="20" t="str">
        <f>IFERROR(Data!M40*(1/(1+R$6)^(Data!$A40-Data!$D$2)),"")</f>
        <v/>
      </c>
      <c r="S38" s="20" t="str">
        <f>IFERROR(Data!N40*(1/(1+S$6)^(Data!$A40-Data!$D$2)),"")</f>
        <v/>
      </c>
      <c r="T38" s="20" t="str">
        <f>IFERROR(Data!O40*(1/(1+T$6)^(Data!$A40-Data!$D$2)),"")</f>
        <v/>
      </c>
    </row>
    <row r="39" spans="1:20" x14ac:dyDescent="0.55000000000000004">
      <c r="A39" s="144">
        <v>2054</v>
      </c>
      <c r="B39" s="244" t="str">
        <f>IF(ISBLANK(Data!B43), "", Data!B43)</f>
        <v/>
      </c>
      <c r="C39" s="244" t="str">
        <f>IF(ISBLANK(Data!C43), "", Data!C43)</f>
        <v/>
      </c>
      <c r="D39" s="246" t="str">
        <f>IF(ISBLANK(Data!D43), "", Data!D43)</f>
        <v/>
      </c>
      <c r="K39" s="13">
        <v>2052</v>
      </c>
      <c r="L39" s="20" t="str">
        <f>IFERROR(Data!G41*(1/(1+L$6)^(Data!$A41-Data!$D$2)),"")</f>
        <v/>
      </c>
      <c r="M39" s="20" t="str">
        <f>IFERROR(Data!H41*(1/(1+M$6)^(Data!$A41-Data!$D$2)),"")</f>
        <v/>
      </c>
      <c r="N39" s="20" t="str">
        <f>IFERROR(Data!I41*(1/(1+N$6)^(Data!$A41-Data!$D$2)),"")</f>
        <v/>
      </c>
      <c r="O39" s="20" t="str">
        <f>IFERROR(Data!J41*(1/(1+O$6)^(Data!$A41-Data!$D$2)),"")</f>
        <v/>
      </c>
      <c r="P39" s="20" t="str">
        <f>IFERROR(Data!K41*(1/(1+P$6)^(Data!$A41-Data!$D$2)),"")</f>
        <v/>
      </c>
      <c r="Q39" s="20" t="str">
        <f>IFERROR(Data!L41*(1/(1+Q$6)^(Data!$A41-Data!$D$2)),"")</f>
        <v/>
      </c>
      <c r="R39" s="20" t="str">
        <f>IFERROR(Data!M41*(1/(1+R$6)^(Data!$A41-Data!$D$2)),"")</f>
        <v/>
      </c>
      <c r="S39" s="20" t="str">
        <f>IFERROR(Data!N41*(1/(1+S$6)^(Data!$A41-Data!$D$2)),"")</f>
        <v/>
      </c>
      <c r="T39" s="20" t="str">
        <f>IFERROR(Data!O41*(1/(1+T$6)^(Data!$A41-Data!$D$2)),"")</f>
        <v/>
      </c>
    </row>
    <row r="40" spans="1:20" x14ac:dyDescent="0.55000000000000004">
      <c r="A40" s="144">
        <v>2055</v>
      </c>
      <c r="B40" s="244" t="str">
        <f>IF(ISBLANK(Data!B44), "", Data!B44)</f>
        <v/>
      </c>
      <c r="C40" s="244" t="str">
        <f>IF(ISBLANK(Data!C44), "", Data!C44)</f>
        <v/>
      </c>
      <c r="D40" s="246" t="str">
        <f>IF(ISBLANK(Data!D44), "", Data!D44)</f>
        <v/>
      </c>
      <c r="K40" s="13">
        <v>2053</v>
      </c>
      <c r="L40" s="20" t="str">
        <f>IFERROR(Data!G42*(1/(1+L$6)^(Data!$A42-Data!$D$2)),"")</f>
        <v/>
      </c>
      <c r="M40" s="20" t="str">
        <f>IFERROR(Data!H42*(1/(1+M$6)^(Data!$A42-Data!$D$2)),"")</f>
        <v/>
      </c>
      <c r="N40" s="20" t="str">
        <f>IFERROR(Data!I42*(1/(1+N$6)^(Data!$A42-Data!$D$2)),"")</f>
        <v/>
      </c>
      <c r="O40" s="20" t="str">
        <f>IFERROR(Data!J42*(1/(1+O$6)^(Data!$A42-Data!$D$2)),"")</f>
        <v/>
      </c>
      <c r="P40" s="20" t="str">
        <f>IFERROR(Data!K42*(1/(1+P$6)^(Data!$A42-Data!$D$2)),"")</f>
        <v/>
      </c>
      <c r="Q40" s="20" t="str">
        <f>IFERROR(Data!L42*(1/(1+Q$6)^(Data!$A42-Data!$D$2)),"")</f>
        <v/>
      </c>
      <c r="R40" s="20" t="str">
        <f>IFERROR(Data!M42*(1/(1+R$6)^(Data!$A42-Data!$D$2)),"")</f>
        <v/>
      </c>
      <c r="S40" s="20" t="str">
        <f>IFERROR(Data!N42*(1/(1+S$6)^(Data!$A42-Data!$D$2)),"")</f>
        <v/>
      </c>
      <c r="T40" s="20" t="str">
        <f>IFERROR(Data!O42*(1/(1+T$6)^(Data!$A42-Data!$D$2)),"")</f>
        <v/>
      </c>
    </row>
    <row r="41" spans="1:20" x14ac:dyDescent="0.55000000000000004">
      <c r="A41" s="144">
        <v>2056</v>
      </c>
      <c r="B41" s="244" t="str">
        <f>IF(ISBLANK(Data!B45), "", Data!B45)</f>
        <v/>
      </c>
      <c r="C41" s="244" t="str">
        <f>IF(ISBLANK(Data!C45), "", Data!C45)</f>
        <v/>
      </c>
      <c r="D41" s="246" t="str">
        <f>IF(ISBLANK(Data!D45), "", Data!D45)</f>
        <v/>
      </c>
      <c r="K41" s="13">
        <v>2054</v>
      </c>
      <c r="L41" s="20" t="str">
        <f>IFERROR(Data!G43*(1/(1+L$6)^(Data!$A43-Data!$D$2)),"")</f>
        <v/>
      </c>
      <c r="M41" s="20" t="str">
        <f>IFERROR(Data!H43*(1/(1+M$6)^(Data!$A43-Data!$D$2)),"")</f>
        <v/>
      </c>
      <c r="N41" s="20" t="str">
        <f>IFERROR(Data!I43*(1/(1+N$6)^(Data!$A43-Data!$D$2)),"")</f>
        <v/>
      </c>
      <c r="O41" s="20" t="str">
        <f>IFERROR(Data!J43*(1/(1+O$6)^(Data!$A43-Data!$D$2)),"")</f>
        <v/>
      </c>
      <c r="P41" s="20" t="str">
        <f>IFERROR(Data!K43*(1/(1+P$6)^(Data!$A43-Data!$D$2)),"")</f>
        <v/>
      </c>
      <c r="Q41" s="20" t="str">
        <f>IFERROR(Data!L43*(1/(1+Q$6)^(Data!$A43-Data!$D$2)),"")</f>
        <v/>
      </c>
      <c r="R41" s="20" t="str">
        <f>IFERROR(Data!M43*(1/(1+R$6)^(Data!$A43-Data!$D$2)),"")</f>
        <v/>
      </c>
      <c r="S41" s="20" t="str">
        <f>IFERROR(Data!N43*(1/(1+S$6)^(Data!$A43-Data!$D$2)),"")</f>
        <v/>
      </c>
      <c r="T41" s="20" t="str">
        <f>IFERROR(Data!O43*(1/(1+T$6)^(Data!$A43-Data!$D$2)),"")</f>
        <v/>
      </c>
    </row>
    <row r="42" spans="1:20" x14ac:dyDescent="0.55000000000000004">
      <c r="A42" s="144">
        <v>2057</v>
      </c>
      <c r="B42" s="244" t="str">
        <f>IF(ISBLANK(Data!B46), "", Data!B46)</f>
        <v/>
      </c>
      <c r="C42" s="244" t="str">
        <f>IF(ISBLANK(Data!C46), "", Data!C46)</f>
        <v/>
      </c>
      <c r="D42" s="246" t="str">
        <f>IF(ISBLANK(Data!D46), "", Data!D46)</f>
        <v/>
      </c>
      <c r="K42" s="13">
        <v>2055</v>
      </c>
      <c r="L42" s="20" t="str">
        <f>IFERROR(Data!G44*(1/(1+L$6)^(Data!$A44-Data!$D$2)),"")</f>
        <v/>
      </c>
      <c r="M42" s="20" t="str">
        <f>IFERROR(Data!H44*(1/(1+M$6)^(Data!$A44-Data!$D$2)),"")</f>
        <v/>
      </c>
      <c r="N42" s="20" t="str">
        <f>IFERROR(Data!I44*(1/(1+N$6)^(Data!$A44-Data!$D$2)),"")</f>
        <v/>
      </c>
      <c r="O42" s="20" t="str">
        <f>IFERROR(Data!J44*(1/(1+O$6)^(Data!$A44-Data!$D$2)),"")</f>
        <v/>
      </c>
      <c r="P42" s="20" t="str">
        <f>IFERROR(Data!K44*(1/(1+P$6)^(Data!$A44-Data!$D$2)),"")</f>
        <v/>
      </c>
      <c r="Q42" s="20" t="str">
        <f>IFERROR(Data!L44*(1/(1+Q$6)^(Data!$A44-Data!$D$2)),"")</f>
        <v/>
      </c>
      <c r="R42" s="20" t="str">
        <f>IFERROR(Data!M44*(1/(1+R$6)^(Data!$A44-Data!$D$2)),"")</f>
        <v/>
      </c>
      <c r="S42" s="20" t="str">
        <f>IFERROR(Data!N44*(1/(1+S$6)^(Data!$A44-Data!$D$2)),"")</f>
        <v/>
      </c>
      <c r="T42" s="20" t="str">
        <f>IFERROR(Data!O44*(1/(1+T$6)^(Data!$A44-Data!$D$2)),"")</f>
        <v/>
      </c>
    </row>
    <row r="43" spans="1:20" x14ac:dyDescent="0.55000000000000004">
      <c r="A43" s="144">
        <v>2058</v>
      </c>
      <c r="B43" s="244" t="str">
        <f>IF(ISBLANK(Data!B47), "", Data!B47)</f>
        <v/>
      </c>
      <c r="C43" s="244" t="str">
        <f>IF(ISBLANK(Data!C47), "", Data!C47)</f>
        <v/>
      </c>
      <c r="D43" s="246" t="str">
        <f>IF(ISBLANK(Data!D47), "", Data!D47)</f>
        <v/>
      </c>
      <c r="K43" s="13">
        <v>2056</v>
      </c>
      <c r="L43" s="20" t="str">
        <f>IFERROR(Data!G45*(1/(1+L$6)^(Data!$A45-Data!$D$2)),"")</f>
        <v/>
      </c>
      <c r="M43" s="20" t="str">
        <f>IFERROR(Data!H45*(1/(1+M$6)^(Data!$A45-Data!$D$2)),"")</f>
        <v/>
      </c>
      <c r="N43" s="20" t="str">
        <f>IFERROR(Data!I45*(1/(1+N$6)^(Data!$A45-Data!$D$2)),"")</f>
        <v/>
      </c>
      <c r="O43" s="20" t="str">
        <f>IFERROR(Data!J45*(1/(1+O$6)^(Data!$A45-Data!$D$2)),"")</f>
        <v/>
      </c>
      <c r="P43" s="20" t="str">
        <f>IFERROR(Data!K45*(1/(1+P$6)^(Data!$A45-Data!$D$2)),"")</f>
        <v/>
      </c>
      <c r="Q43" s="20" t="str">
        <f>IFERROR(Data!L45*(1/(1+Q$6)^(Data!$A45-Data!$D$2)),"")</f>
        <v/>
      </c>
      <c r="R43" s="20" t="str">
        <f>IFERROR(Data!M45*(1/(1+R$6)^(Data!$A45-Data!$D$2)),"")</f>
        <v/>
      </c>
      <c r="S43" s="20" t="str">
        <f>IFERROR(Data!N45*(1/(1+S$6)^(Data!$A45-Data!$D$2)),"")</f>
        <v/>
      </c>
      <c r="T43" s="20" t="str">
        <f>IFERROR(Data!O45*(1/(1+T$6)^(Data!$A45-Data!$D$2)),"")</f>
        <v/>
      </c>
    </row>
    <row r="44" spans="1:20" x14ac:dyDescent="0.55000000000000004">
      <c r="A44" s="144">
        <v>2059</v>
      </c>
      <c r="B44" s="244" t="str">
        <f>IF(ISBLANK(Data!B48), "", Data!B48)</f>
        <v/>
      </c>
      <c r="C44" s="244" t="str">
        <f>IF(ISBLANK(Data!C48), "", Data!C48)</f>
        <v/>
      </c>
      <c r="D44" s="246" t="str">
        <f>IF(ISBLANK(Data!D48), "", Data!D48)</f>
        <v/>
      </c>
      <c r="K44" s="13">
        <v>2057</v>
      </c>
      <c r="L44" s="20" t="str">
        <f>IFERROR(Data!G46*(1/(1+L$6)^(Data!$A46-Data!$D$2)),"")</f>
        <v/>
      </c>
      <c r="M44" s="20" t="str">
        <f>IFERROR(Data!H46*(1/(1+M$6)^(Data!$A46-Data!$D$2)),"")</f>
        <v/>
      </c>
      <c r="N44" s="20" t="str">
        <f>IFERROR(Data!I46*(1/(1+N$6)^(Data!$A46-Data!$D$2)),"")</f>
        <v/>
      </c>
      <c r="O44" s="20" t="str">
        <f>IFERROR(Data!J46*(1/(1+O$6)^(Data!$A46-Data!$D$2)),"")</f>
        <v/>
      </c>
      <c r="P44" s="20" t="str">
        <f>IFERROR(Data!K46*(1/(1+P$6)^(Data!$A46-Data!$D$2)),"")</f>
        <v/>
      </c>
      <c r="Q44" s="20" t="str">
        <f>IFERROR(Data!L46*(1/(1+Q$6)^(Data!$A46-Data!$D$2)),"")</f>
        <v/>
      </c>
      <c r="R44" s="20" t="str">
        <f>IFERROR(Data!M46*(1/(1+R$6)^(Data!$A46-Data!$D$2)),"")</f>
        <v/>
      </c>
      <c r="S44" s="20" t="str">
        <f>IFERROR(Data!N46*(1/(1+S$6)^(Data!$A46-Data!$D$2)),"")</f>
        <v/>
      </c>
      <c r="T44" s="20" t="str">
        <f>IFERROR(Data!O46*(1/(1+T$6)^(Data!$A46-Data!$D$2)),"")</f>
        <v/>
      </c>
    </row>
    <row r="45" spans="1:20" x14ac:dyDescent="0.55000000000000004">
      <c r="A45" s="144">
        <v>2060</v>
      </c>
      <c r="B45" s="244" t="str">
        <f>IF(ISBLANK(Data!B49), "", Data!B49)</f>
        <v/>
      </c>
      <c r="C45" s="244" t="str">
        <f>IF(ISBLANK(Data!C49), "", Data!C49)</f>
        <v/>
      </c>
      <c r="D45" s="246" t="str">
        <f>IF(ISBLANK(Data!D49), "", Data!D49)</f>
        <v/>
      </c>
      <c r="K45" s="13">
        <v>2058</v>
      </c>
      <c r="L45" s="20" t="str">
        <f>IFERROR(Data!G47*(1/(1+L$6)^(Data!$A47-Data!$D$2)),"")</f>
        <v/>
      </c>
      <c r="M45" s="20" t="str">
        <f>IFERROR(Data!H47*(1/(1+M$6)^(Data!$A47-Data!$D$2)),"")</f>
        <v/>
      </c>
      <c r="N45" s="20" t="str">
        <f>IFERROR(Data!I47*(1/(1+N$6)^(Data!$A47-Data!$D$2)),"")</f>
        <v/>
      </c>
      <c r="O45" s="20" t="str">
        <f>IFERROR(Data!J47*(1/(1+O$6)^(Data!$A47-Data!$D$2)),"")</f>
        <v/>
      </c>
      <c r="P45" s="20" t="str">
        <f>IFERROR(Data!K47*(1/(1+P$6)^(Data!$A47-Data!$D$2)),"")</f>
        <v/>
      </c>
      <c r="Q45" s="20" t="str">
        <f>IFERROR(Data!L47*(1/(1+Q$6)^(Data!$A47-Data!$D$2)),"")</f>
        <v/>
      </c>
      <c r="R45" s="20" t="str">
        <f>IFERROR(Data!M47*(1/(1+R$6)^(Data!$A47-Data!$D$2)),"")</f>
        <v/>
      </c>
      <c r="S45" s="20" t="str">
        <f>IFERROR(Data!N47*(1/(1+S$6)^(Data!$A47-Data!$D$2)),"")</f>
        <v/>
      </c>
      <c r="T45" s="20" t="str">
        <f>IFERROR(Data!O47*(1/(1+T$6)^(Data!$A47-Data!$D$2)),"")</f>
        <v/>
      </c>
    </row>
    <row r="46" spans="1:20" x14ac:dyDescent="0.55000000000000004">
      <c r="A46" s="144">
        <v>2061</v>
      </c>
      <c r="B46" s="244" t="str">
        <f>IF(ISBLANK(Data!B50), "", Data!B50)</f>
        <v/>
      </c>
      <c r="C46" s="244" t="str">
        <f>IF(ISBLANK(Data!C50), "", Data!C50)</f>
        <v/>
      </c>
      <c r="D46" s="246" t="str">
        <f>IF(ISBLANK(Data!D50), "", Data!D50)</f>
        <v/>
      </c>
      <c r="K46" s="13">
        <v>2059</v>
      </c>
      <c r="L46" s="20" t="str">
        <f>IFERROR(Data!G48*(1/(1+L$6)^(Data!$A48-Data!$D$2)),"")</f>
        <v/>
      </c>
      <c r="M46" s="20" t="str">
        <f>IFERROR(Data!H48*(1/(1+M$6)^(Data!$A48-Data!$D$2)),"")</f>
        <v/>
      </c>
      <c r="N46" s="20" t="str">
        <f>IFERROR(Data!I48*(1/(1+N$6)^(Data!$A48-Data!$D$2)),"")</f>
        <v/>
      </c>
      <c r="O46" s="20" t="str">
        <f>IFERROR(Data!J48*(1/(1+O$6)^(Data!$A48-Data!$D$2)),"")</f>
        <v/>
      </c>
      <c r="P46" s="20" t="str">
        <f>IFERROR(Data!K48*(1/(1+P$6)^(Data!$A48-Data!$D$2)),"")</f>
        <v/>
      </c>
      <c r="Q46" s="20" t="str">
        <f>IFERROR(Data!L48*(1/(1+Q$6)^(Data!$A48-Data!$D$2)),"")</f>
        <v/>
      </c>
      <c r="R46" s="20" t="str">
        <f>IFERROR(Data!M48*(1/(1+R$6)^(Data!$A48-Data!$D$2)),"")</f>
        <v/>
      </c>
      <c r="S46" s="20" t="str">
        <f>IFERROR(Data!N48*(1/(1+S$6)^(Data!$A48-Data!$D$2)),"")</f>
        <v/>
      </c>
      <c r="T46" s="20" t="str">
        <f>IFERROR(Data!O48*(1/(1+T$6)^(Data!$A48-Data!$D$2)),"")</f>
        <v/>
      </c>
    </row>
    <row r="47" spans="1:20" x14ac:dyDescent="0.55000000000000004">
      <c r="A47" s="144">
        <v>2062</v>
      </c>
      <c r="B47" s="244" t="str">
        <f>IF(ISBLANK(Data!B51), "", Data!B51)</f>
        <v/>
      </c>
      <c r="C47" s="244" t="str">
        <f>IF(ISBLANK(Data!C51), "", Data!C51)</f>
        <v/>
      </c>
      <c r="D47" s="246" t="str">
        <f>IF(ISBLANK(Data!D51), "", Data!D51)</f>
        <v/>
      </c>
      <c r="K47" s="13">
        <v>2060</v>
      </c>
      <c r="L47" s="20" t="str">
        <f>IFERROR(Data!G49*(1/(1+L$6)^(Data!$A49-Data!$D$2)),"")</f>
        <v/>
      </c>
      <c r="M47" s="20" t="str">
        <f>IFERROR(Data!H49*(1/(1+M$6)^(Data!$A49-Data!$D$2)),"")</f>
        <v/>
      </c>
      <c r="N47" s="20" t="str">
        <f>IFERROR(Data!I49*(1/(1+N$6)^(Data!$A49-Data!$D$2)),"")</f>
        <v/>
      </c>
      <c r="O47" s="20" t="str">
        <f>IFERROR(Data!J49*(1/(1+O$6)^(Data!$A49-Data!$D$2)),"")</f>
        <v/>
      </c>
      <c r="P47" s="20" t="str">
        <f>IFERROR(Data!K49*(1/(1+P$6)^(Data!$A49-Data!$D$2)),"")</f>
        <v/>
      </c>
      <c r="Q47" s="20" t="str">
        <f>IFERROR(Data!L49*(1/(1+Q$6)^(Data!$A49-Data!$D$2)),"")</f>
        <v/>
      </c>
      <c r="R47" s="20" t="str">
        <f>IFERROR(Data!M49*(1/(1+R$6)^(Data!$A49-Data!$D$2)),"")</f>
        <v/>
      </c>
      <c r="S47" s="20" t="str">
        <f>IFERROR(Data!N49*(1/(1+S$6)^(Data!$A49-Data!$D$2)),"")</f>
        <v/>
      </c>
      <c r="T47" s="20" t="str">
        <f>IFERROR(Data!O49*(1/(1+T$6)^(Data!$A49-Data!$D$2)),"")</f>
        <v/>
      </c>
    </row>
    <row r="48" spans="1:20" x14ac:dyDescent="0.55000000000000004">
      <c r="A48" s="144">
        <v>2063</v>
      </c>
      <c r="B48" s="244" t="str">
        <f>IF(ISBLANK(Data!B52), "", Data!B52)</f>
        <v/>
      </c>
      <c r="C48" s="244" t="str">
        <f>IF(ISBLANK(Data!C52), "", Data!C52)</f>
        <v/>
      </c>
      <c r="D48" s="246" t="str">
        <f>IF(ISBLANK(Data!D52), "", Data!D52)</f>
        <v/>
      </c>
      <c r="K48" s="13">
        <v>2061</v>
      </c>
      <c r="L48" s="20" t="str">
        <f>IFERROR(Data!G50*(1/(1+L$6)^(Data!$A50-Data!$D$2)),"")</f>
        <v/>
      </c>
      <c r="M48" s="20" t="str">
        <f>IFERROR(Data!H50*(1/(1+M$6)^(Data!$A50-Data!$D$2)),"")</f>
        <v/>
      </c>
      <c r="N48" s="20" t="str">
        <f>IFERROR(Data!I50*(1/(1+N$6)^(Data!$A50-Data!$D$2)),"")</f>
        <v/>
      </c>
      <c r="O48" s="20" t="str">
        <f>IFERROR(Data!J50*(1/(1+O$6)^(Data!$A50-Data!$D$2)),"")</f>
        <v/>
      </c>
      <c r="P48" s="20" t="str">
        <f>IFERROR(Data!K50*(1/(1+P$6)^(Data!$A50-Data!$D$2)),"")</f>
        <v/>
      </c>
      <c r="Q48" s="20" t="str">
        <f>IFERROR(Data!L50*(1/(1+Q$6)^(Data!$A50-Data!$D$2)),"")</f>
        <v/>
      </c>
      <c r="R48" s="20" t="str">
        <f>IFERROR(Data!M50*(1/(1+R$6)^(Data!$A50-Data!$D$2)),"")</f>
        <v/>
      </c>
      <c r="S48" s="20" t="str">
        <f>IFERROR(Data!N50*(1/(1+S$6)^(Data!$A50-Data!$D$2)),"")</f>
        <v/>
      </c>
      <c r="T48" s="20" t="str">
        <f>IFERROR(Data!O50*(1/(1+T$6)^(Data!$A50-Data!$D$2)),"")</f>
        <v/>
      </c>
    </row>
    <row r="49" spans="1:20" x14ac:dyDescent="0.55000000000000004">
      <c r="A49" s="144">
        <v>2064</v>
      </c>
      <c r="B49" s="244" t="str">
        <f>IF(ISBLANK(Data!B53), "", Data!B53)</f>
        <v/>
      </c>
      <c r="C49" s="244" t="str">
        <f>IF(ISBLANK(Data!C53), "", Data!C53)</f>
        <v/>
      </c>
      <c r="D49" s="246" t="str">
        <f>IF(ISBLANK(Data!D53), "", Data!D53)</f>
        <v/>
      </c>
      <c r="K49" s="13">
        <v>2062</v>
      </c>
      <c r="L49" s="20" t="str">
        <f>IFERROR(Data!G51*(1/(1+L$6)^(Data!$A51-Data!$D$2)),"")</f>
        <v/>
      </c>
      <c r="M49" s="20" t="str">
        <f>IFERROR(Data!H51*(1/(1+M$6)^(Data!$A51-Data!$D$2)),"")</f>
        <v/>
      </c>
      <c r="N49" s="20" t="str">
        <f>IFERROR(Data!I51*(1/(1+N$6)^(Data!$A51-Data!$D$2)),"")</f>
        <v/>
      </c>
      <c r="O49" s="20" t="str">
        <f>IFERROR(Data!J51*(1/(1+O$6)^(Data!$A51-Data!$D$2)),"")</f>
        <v/>
      </c>
      <c r="P49" s="20" t="str">
        <f>IFERROR(Data!K51*(1/(1+P$6)^(Data!$A51-Data!$D$2)),"")</f>
        <v/>
      </c>
      <c r="Q49" s="20" t="str">
        <f>IFERROR(Data!L51*(1/(1+Q$6)^(Data!$A51-Data!$D$2)),"")</f>
        <v/>
      </c>
      <c r="R49" s="20" t="str">
        <f>IFERROR(Data!M51*(1/(1+R$6)^(Data!$A51-Data!$D$2)),"")</f>
        <v/>
      </c>
      <c r="S49" s="20" t="str">
        <f>IFERROR(Data!N51*(1/(1+S$6)^(Data!$A51-Data!$D$2)),"")</f>
        <v/>
      </c>
      <c r="T49" s="20" t="str">
        <f>IFERROR(Data!O51*(1/(1+T$6)^(Data!$A51-Data!$D$2)),"")</f>
        <v/>
      </c>
    </row>
    <row r="50" spans="1:20" x14ac:dyDescent="0.55000000000000004">
      <c r="A50" s="144">
        <v>2065</v>
      </c>
      <c r="B50" s="244" t="str">
        <f>IF(ISBLANK(Data!B54), "", Data!B54)</f>
        <v/>
      </c>
      <c r="C50" s="244" t="str">
        <f>IF(ISBLANK(Data!C54), "", Data!C54)</f>
        <v/>
      </c>
      <c r="D50" s="246" t="str">
        <f>IF(ISBLANK(Data!D54), "", Data!D54)</f>
        <v/>
      </c>
      <c r="K50" s="13">
        <v>2063</v>
      </c>
      <c r="L50" s="20" t="str">
        <f>IFERROR(Data!G52*(1/(1+L$6)^(Data!$A52-Data!$D$2)),"")</f>
        <v/>
      </c>
      <c r="M50" s="20" t="str">
        <f>IFERROR(Data!H52*(1/(1+M$6)^(Data!$A52-Data!$D$2)),"")</f>
        <v/>
      </c>
      <c r="N50" s="20" t="str">
        <f>IFERROR(Data!I52*(1/(1+N$6)^(Data!$A52-Data!$D$2)),"")</f>
        <v/>
      </c>
      <c r="O50" s="20" t="str">
        <f>IFERROR(Data!J52*(1/(1+O$6)^(Data!$A52-Data!$D$2)),"")</f>
        <v/>
      </c>
      <c r="P50" s="20" t="str">
        <f>IFERROR(Data!K52*(1/(1+P$6)^(Data!$A52-Data!$D$2)),"")</f>
        <v/>
      </c>
      <c r="Q50" s="20" t="str">
        <f>IFERROR(Data!L52*(1/(1+Q$6)^(Data!$A52-Data!$D$2)),"")</f>
        <v/>
      </c>
      <c r="R50" s="20" t="str">
        <f>IFERROR(Data!M52*(1/(1+R$6)^(Data!$A52-Data!$D$2)),"")</f>
        <v/>
      </c>
      <c r="S50" s="20" t="str">
        <f>IFERROR(Data!N52*(1/(1+S$6)^(Data!$A52-Data!$D$2)),"")</f>
        <v/>
      </c>
      <c r="T50" s="20" t="str">
        <f>IFERROR(Data!O52*(1/(1+T$6)^(Data!$A52-Data!$D$2)),"")</f>
        <v/>
      </c>
    </row>
    <row r="51" spans="1:20" x14ac:dyDescent="0.55000000000000004">
      <c r="A51" s="144">
        <v>2066</v>
      </c>
      <c r="B51" s="244" t="str">
        <f>IF(ISBLANK(Data!B55), "", Data!B55)</f>
        <v/>
      </c>
      <c r="C51" s="244" t="str">
        <f>IF(ISBLANK(Data!C55), "", Data!C55)</f>
        <v/>
      </c>
      <c r="D51" s="246" t="str">
        <f>IF(ISBLANK(Data!D55), "", Data!D55)</f>
        <v/>
      </c>
      <c r="K51" s="13">
        <v>2064</v>
      </c>
      <c r="L51" s="20" t="str">
        <f>IFERROR(Data!G53*(1/(1+L$6)^(Data!$A53-Data!$D$2)),"")</f>
        <v/>
      </c>
      <c r="M51" s="20" t="str">
        <f>IFERROR(Data!H53*(1/(1+M$6)^(Data!$A53-Data!$D$2)),"")</f>
        <v/>
      </c>
      <c r="N51" s="20" t="str">
        <f>IFERROR(Data!I53*(1/(1+N$6)^(Data!$A53-Data!$D$2)),"")</f>
        <v/>
      </c>
      <c r="O51" s="20" t="str">
        <f>IFERROR(Data!J53*(1/(1+O$6)^(Data!$A53-Data!$D$2)),"")</f>
        <v/>
      </c>
      <c r="P51" s="20" t="str">
        <f>IFERROR(Data!K53*(1/(1+P$6)^(Data!$A53-Data!$D$2)),"")</f>
        <v/>
      </c>
      <c r="Q51" s="20" t="str">
        <f>IFERROR(Data!L53*(1/(1+Q$6)^(Data!$A53-Data!$D$2)),"")</f>
        <v/>
      </c>
      <c r="R51" s="20" t="str">
        <f>IFERROR(Data!M53*(1/(1+R$6)^(Data!$A53-Data!$D$2)),"")</f>
        <v/>
      </c>
      <c r="S51" s="20" t="str">
        <f>IFERROR(Data!N53*(1/(1+S$6)^(Data!$A53-Data!$D$2)),"")</f>
        <v/>
      </c>
      <c r="T51" s="20" t="str">
        <f>IFERROR(Data!O53*(1/(1+T$6)^(Data!$A53-Data!$D$2)),"")</f>
        <v/>
      </c>
    </row>
    <row r="52" spans="1:20" x14ac:dyDescent="0.55000000000000004">
      <c r="A52" s="144">
        <v>2067</v>
      </c>
      <c r="B52" s="244" t="str">
        <f>IF(ISBLANK(Data!B56), "", Data!B56)</f>
        <v/>
      </c>
      <c r="C52" s="244" t="str">
        <f>IF(ISBLANK(Data!C56), "", Data!C56)</f>
        <v/>
      </c>
      <c r="D52" s="246" t="str">
        <f>IF(ISBLANK(Data!D56), "", Data!D56)</f>
        <v/>
      </c>
      <c r="K52" s="13">
        <v>2065</v>
      </c>
      <c r="L52" s="20" t="str">
        <f>IFERROR(Data!G54*(1/(1+L$6)^(Data!$A54-Data!$D$2)),"")</f>
        <v/>
      </c>
      <c r="M52" s="20" t="str">
        <f>IFERROR(Data!H54*(1/(1+M$6)^(Data!$A54-Data!$D$2)),"")</f>
        <v/>
      </c>
      <c r="N52" s="20" t="str">
        <f>IFERROR(Data!I54*(1/(1+N$6)^(Data!$A54-Data!$D$2)),"")</f>
        <v/>
      </c>
      <c r="O52" s="20" t="str">
        <f>IFERROR(Data!J54*(1/(1+O$6)^(Data!$A54-Data!$D$2)),"")</f>
        <v/>
      </c>
      <c r="P52" s="20" t="str">
        <f>IFERROR(Data!K54*(1/(1+P$6)^(Data!$A54-Data!$D$2)),"")</f>
        <v/>
      </c>
      <c r="Q52" s="20" t="str">
        <f>IFERROR(Data!L54*(1/(1+Q$6)^(Data!$A54-Data!$D$2)),"")</f>
        <v/>
      </c>
      <c r="R52" s="20" t="str">
        <f>IFERROR(Data!M54*(1/(1+R$6)^(Data!$A54-Data!$D$2)),"")</f>
        <v/>
      </c>
      <c r="S52" s="20" t="str">
        <f>IFERROR(Data!N54*(1/(1+S$6)^(Data!$A54-Data!$D$2)),"")</f>
        <v/>
      </c>
      <c r="T52" s="20" t="str">
        <f>IFERROR(Data!O54*(1/(1+T$6)^(Data!$A54-Data!$D$2)),"")</f>
        <v/>
      </c>
    </row>
    <row r="53" spans="1:20" x14ac:dyDescent="0.55000000000000004">
      <c r="A53" s="144">
        <v>2068</v>
      </c>
      <c r="B53" s="244" t="str">
        <f>IF(ISBLANK(Data!B57), "", Data!B57)</f>
        <v/>
      </c>
      <c r="C53" s="244" t="str">
        <f>IF(ISBLANK(Data!C57), "", Data!C57)</f>
        <v/>
      </c>
      <c r="D53" s="246" t="str">
        <f>IF(ISBLANK(Data!D57), "", Data!D57)</f>
        <v/>
      </c>
      <c r="K53" s="13">
        <v>2066</v>
      </c>
      <c r="L53" s="20" t="str">
        <f>IFERROR(Data!G55*(1/(1+L$6)^(Data!$A55-Data!$D$2)),"")</f>
        <v/>
      </c>
      <c r="M53" s="20" t="str">
        <f>IFERROR(Data!H55*(1/(1+M$6)^(Data!$A55-Data!$D$2)),"")</f>
        <v/>
      </c>
      <c r="N53" s="20" t="str">
        <f>IFERROR(Data!I55*(1/(1+N$6)^(Data!$A55-Data!$D$2)),"")</f>
        <v/>
      </c>
      <c r="O53" s="20" t="str">
        <f>IFERROR(Data!J55*(1/(1+O$6)^(Data!$A55-Data!$D$2)),"")</f>
        <v/>
      </c>
      <c r="P53" s="20" t="str">
        <f>IFERROR(Data!K55*(1/(1+P$6)^(Data!$A55-Data!$D$2)),"")</f>
        <v/>
      </c>
      <c r="Q53" s="20" t="str">
        <f>IFERROR(Data!L55*(1/(1+Q$6)^(Data!$A55-Data!$D$2)),"")</f>
        <v/>
      </c>
      <c r="R53" s="20" t="str">
        <f>IFERROR(Data!M55*(1/(1+R$6)^(Data!$A55-Data!$D$2)),"")</f>
        <v/>
      </c>
      <c r="S53" s="20" t="str">
        <f>IFERROR(Data!N55*(1/(1+S$6)^(Data!$A55-Data!$D$2)),"")</f>
        <v/>
      </c>
      <c r="T53" s="20" t="str">
        <f>IFERROR(Data!O55*(1/(1+T$6)^(Data!$A55-Data!$D$2)),"")</f>
        <v/>
      </c>
    </row>
    <row r="54" spans="1:20" x14ac:dyDescent="0.55000000000000004">
      <c r="A54" s="144">
        <v>2069</v>
      </c>
      <c r="B54" s="244" t="str">
        <f>IF(ISBLANK(Data!B58), "", Data!B58)</f>
        <v/>
      </c>
      <c r="C54" s="244" t="str">
        <f>IF(ISBLANK(Data!C58), "", Data!C58)</f>
        <v/>
      </c>
      <c r="D54" s="246" t="str">
        <f>IF(ISBLANK(Data!D58), "", Data!D58)</f>
        <v/>
      </c>
      <c r="K54" s="13">
        <v>2067</v>
      </c>
      <c r="L54" s="20" t="str">
        <f>IFERROR(Data!G56*(1/(1+L$6)^(Data!$A56-Data!$D$2)),"")</f>
        <v/>
      </c>
      <c r="M54" s="20" t="str">
        <f>IFERROR(Data!H56*(1/(1+M$6)^(Data!$A56-Data!$D$2)),"")</f>
        <v/>
      </c>
      <c r="N54" s="20" t="str">
        <f>IFERROR(Data!I56*(1/(1+N$6)^(Data!$A56-Data!$D$2)),"")</f>
        <v/>
      </c>
      <c r="O54" s="20" t="str">
        <f>IFERROR(Data!J56*(1/(1+O$6)^(Data!$A56-Data!$D$2)),"")</f>
        <v/>
      </c>
      <c r="P54" s="20" t="str">
        <f>IFERROR(Data!K56*(1/(1+P$6)^(Data!$A56-Data!$D$2)),"")</f>
        <v/>
      </c>
      <c r="Q54" s="20" t="str">
        <f>IFERROR(Data!L56*(1/(1+Q$6)^(Data!$A56-Data!$D$2)),"")</f>
        <v/>
      </c>
      <c r="R54" s="20" t="str">
        <f>IFERROR(Data!M56*(1/(1+R$6)^(Data!$A56-Data!$D$2)),"")</f>
        <v/>
      </c>
      <c r="S54" s="20" t="str">
        <f>IFERROR(Data!N56*(1/(1+S$6)^(Data!$A56-Data!$D$2)),"")</f>
        <v/>
      </c>
      <c r="T54" s="20" t="str">
        <f>IFERROR(Data!O56*(1/(1+T$6)^(Data!$A56-Data!$D$2)),"")</f>
        <v/>
      </c>
    </row>
    <row r="55" spans="1:20" x14ac:dyDescent="0.55000000000000004">
      <c r="A55" s="144">
        <v>2070</v>
      </c>
      <c r="B55" s="244" t="str">
        <f>IF(ISBLANK(Data!B59), "", Data!B59)</f>
        <v/>
      </c>
      <c r="C55" s="244" t="str">
        <f>IF(ISBLANK(Data!C59), "", Data!C59)</f>
        <v/>
      </c>
      <c r="D55" s="246" t="str">
        <f>IF(ISBLANK(Data!D59), "", Data!D59)</f>
        <v/>
      </c>
      <c r="K55" s="13">
        <v>2068</v>
      </c>
      <c r="L55" s="20" t="str">
        <f>IFERROR(Data!G57*(1/(1+L$6)^(Data!$A57-Data!$D$2)),"")</f>
        <v/>
      </c>
      <c r="M55" s="20" t="str">
        <f>IFERROR(Data!H57*(1/(1+M$6)^(Data!$A57-Data!$D$2)),"")</f>
        <v/>
      </c>
      <c r="N55" s="20" t="str">
        <f>IFERROR(Data!I57*(1/(1+N$6)^(Data!$A57-Data!$D$2)),"")</f>
        <v/>
      </c>
      <c r="O55" s="20" t="str">
        <f>IFERROR(Data!J57*(1/(1+O$6)^(Data!$A57-Data!$D$2)),"")</f>
        <v/>
      </c>
      <c r="P55" s="20" t="str">
        <f>IFERROR(Data!K57*(1/(1+P$6)^(Data!$A57-Data!$D$2)),"")</f>
        <v/>
      </c>
      <c r="Q55" s="20" t="str">
        <f>IFERROR(Data!L57*(1/(1+Q$6)^(Data!$A57-Data!$D$2)),"")</f>
        <v/>
      </c>
      <c r="R55" s="20" t="str">
        <f>IFERROR(Data!M57*(1/(1+R$6)^(Data!$A57-Data!$D$2)),"")</f>
        <v/>
      </c>
      <c r="S55" s="20" t="str">
        <f>IFERROR(Data!N57*(1/(1+S$6)^(Data!$A57-Data!$D$2)),"")</f>
        <v/>
      </c>
      <c r="T55" s="20" t="str">
        <f>IFERROR(Data!O57*(1/(1+T$6)^(Data!$A57-Data!$D$2)),"")</f>
        <v/>
      </c>
    </row>
    <row r="56" spans="1:20" x14ac:dyDescent="0.55000000000000004">
      <c r="A56" s="144">
        <v>2071</v>
      </c>
      <c r="B56" s="244" t="str">
        <f>IF(ISBLANK(Data!B60), "", Data!B60)</f>
        <v/>
      </c>
      <c r="C56" s="244" t="str">
        <f>IF(ISBLANK(Data!C60), "", Data!C60)</f>
        <v/>
      </c>
      <c r="D56" s="246" t="str">
        <f>IF(ISBLANK(Data!D60), "", Data!D60)</f>
        <v/>
      </c>
      <c r="K56" s="13">
        <v>2069</v>
      </c>
      <c r="L56" s="20" t="str">
        <f>IFERROR(Data!G58*(1/(1+L$6)^(Data!$A58-Data!$D$2)),"")</f>
        <v/>
      </c>
      <c r="M56" s="20" t="str">
        <f>IFERROR(Data!H58*(1/(1+M$6)^(Data!$A58-Data!$D$2)),"")</f>
        <v/>
      </c>
      <c r="N56" s="20" t="str">
        <f>IFERROR(Data!I58*(1/(1+N$6)^(Data!$A58-Data!$D$2)),"")</f>
        <v/>
      </c>
      <c r="O56" s="20" t="str">
        <f>IFERROR(Data!J58*(1/(1+O$6)^(Data!$A58-Data!$D$2)),"")</f>
        <v/>
      </c>
      <c r="P56" s="20" t="str">
        <f>IFERROR(Data!K58*(1/(1+P$6)^(Data!$A58-Data!$D$2)),"")</f>
        <v/>
      </c>
      <c r="Q56" s="20" t="str">
        <f>IFERROR(Data!L58*(1/(1+Q$6)^(Data!$A58-Data!$D$2)),"")</f>
        <v/>
      </c>
      <c r="R56" s="20" t="str">
        <f>IFERROR(Data!M58*(1/(1+R$6)^(Data!$A58-Data!$D$2)),"")</f>
        <v/>
      </c>
      <c r="S56" s="20" t="str">
        <f>IFERROR(Data!N58*(1/(1+S$6)^(Data!$A58-Data!$D$2)),"")</f>
        <v/>
      </c>
      <c r="T56" s="20" t="str">
        <f>IFERROR(Data!O58*(1/(1+T$6)^(Data!$A58-Data!$D$2)),"")</f>
        <v/>
      </c>
    </row>
    <row r="57" spans="1:20" x14ac:dyDescent="0.55000000000000004">
      <c r="A57" s="144">
        <v>2072</v>
      </c>
      <c r="B57" s="244" t="str">
        <f>IF(ISBLANK(Data!B61), "", Data!B61)</f>
        <v/>
      </c>
      <c r="C57" s="244" t="str">
        <f>IF(ISBLANK(Data!C61), "", Data!C61)</f>
        <v/>
      </c>
      <c r="D57" s="246" t="str">
        <f>IF(ISBLANK(Data!D61), "", Data!D61)</f>
        <v/>
      </c>
      <c r="K57" s="13">
        <v>2070</v>
      </c>
      <c r="L57" s="20" t="str">
        <f>IFERROR(Data!G59*(1/(1+L$6)^(Data!$A59-Data!$D$2)),"")</f>
        <v/>
      </c>
      <c r="M57" s="20" t="str">
        <f>IFERROR(Data!H59*(1/(1+M$6)^(Data!$A59-Data!$D$2)),"")</f>
        <v/>
      </c>
      <c r="N57" s="20" t="str">
        <f>IFERROR(Data!I59*(1/(1+N$6)^(Data!$A59-Data!$D$2)),"")</f>
        <v/>
      </c>
      <c r="O57" s="20" t="str">
        <f>IFERROR(Data!J59*(1/(1+O$6)^(Data!$A59-Data!$D$2)),"")</f>
        <v/>
      </c>
      <c r="P57" s="20" t="str">
        <f>IFERROR(Data!K59*(1/(1+P$6)^(Data!$A59-Data!$D$2)),"")</f>
        <v/>
      </c>
      <c r="Q57" s="20" t="str">
        <f>IFERROR(Data!L59*(1/(1+Q$6)^(Data!$A59-Data!$D$2)),"")</f>
        <v/>
      </c>
      <c r="R57" s="20" t="str">
        <f>IFERROR(Data!M59*(1/(1+R$6)^(Data!$A59-Data!$D$2)),"")</f>
        <v/>
      </c>
      <c r="S57" s="20" t="str">
        <f>IFERROR(Data!N59*(1/(1+S$6)^(Data!$A59-Data!$D$2)),"")</f>
        <v/>
      </c>
      <c r="T57" s="20" t="str">
        <f>IFERROR(Data!O59*(1/(1+T$6)^(Data!$A59-Data!$D$2)),"")</f>
        <v/>
      </c>
    </row>
    <row r="58" spans="1:20" x14ac:dyDescent="0.55000000000000004">
      <c r="A58" s="144">
        <v>2073</v>
      </c>
      <c r="B58" s="244" t="str">
        <f>IF(ISBLANK(Data!B62), "", Data!B62)</f>
        <v/>
      </c>
      <c r="C58" s="244" t="str">
        <f>IF(ISBLANK(Data!C62), "", Data!C62)</f>
        <v/>
      </c>
      <c r="D58" s="246" t="str">
        <f>IF(ISBLANK(Data!D62), "", Data!D62)</f>
        <v/>
      </c>
      <c r="K58" s="13">
        <v>2071</v>
      </c>
      <c r="L58" s="20" t="str">
        <f>IFERROR(Data!G60*(1/(1+L$6)^(Data!$A60-Data!$D$2)),"")</f>
        <v/>
      </c>
      <c r="M58" s="20" t="str">
        <f>IFERROR(Data!H60*(1/(1+M$6)^(Data!$A60-Data!$D$2)),"")</f>
        <v/>
      </c>
      <c r="N58" s="20" t="str">
        <f>IFERROR(Data!I60*(1/(1+N$6)^(Data!$A60-Data!$D$2)),"")</f>
        <v/>
      </c>
      <c r="O58" s="20" t="str">
        <f>IFERROR(Data!J60*(1/(1+O$6)^(Data!$A60-Data!$D$2)),"")</f>
        <v/>
      </c>
      <c r="P58" s="20" t="str">
        <f>IFERROR(Data!K60*(1/(1+P$6)^(Data!$A60-Data!$D$2)),"")</f>
        <v/>
      </c>
      <c r="Q58" s="20" t="str">
        <f>IFERROR(Data!L60*(1/(1+Q$6)^(Data!$A60-Data!$D$2)),"")</f>
        <v/>
      </c>
      <c r="R58" s="20" t="str">
        <f>IFERROR(Data!M60*(1/(1+R$6)^(Data!$A60-Data!$D$2)),"")</f>
        <v/>
      </c>
      <c r="S58" s="20" t="str">
        <f>IFERROR(Data!N60*(1/(1+S$6)^(Data!$A60-Data!$D$2)),"")</f>
        <v/>
      </c>
      <c r="T58" s="20" t="str">
        <f>IFERROR(Data!O60*(1/(1+T$6)^(Data!$A60-Data!$D$2)),"")</f>
        <v/>
      </c>
    </row>
    <row r="59" spans="1:20" x14ac:dyDescent="0.55000000000000004">
      <c r="A59" s="144">
        <v>2074</v>
      </c>
      <c r="B59" s="244" t="str">
        <f>IF(ISBLANK(Data!B63), "", Data!B63)</f>
        <v/>
      </c>
      <c r="C59" s="244" t="str">
        <f>IF(ISBLANK(Data!C63), "", Data!C63)</f>
        <v/>
      </c>
      <c r="D59" s="246" t="str">
        <f>IF(ISBLANK(Data!D63), "", Data!D63)</f>
        <v/>
      </c>
      <c r="K59" s="13">
        <v>2072</v>
      </c>
      <c r="L59" s="20" t="str">
        <f>IFERROR(Data!G61*(1/(1+L$6)^(Data!$A61-Data!$D$2)),"")</f>
        <v/>
      </c>
      <c r="M59" s="20" t="str">
        <f>IFERROR(Data!H61*(1/(1+M$6)^(Data!$A61-Data!$D$2)),"")</f>
        <v/>
      </c>
      <c r="N59" s="20" t="str">
        <f>IFERROR(Data!I61*(1/(1+N$6)^(Data!$A61-Data!$D$2)),"")</f>
        <v/>
      </c>
      <c r="O59" s="20" t="str">
        <f>IFERROR(Data!J61*(1/(1+O$6)^(Data!$A61-Data!$D$2)),"")</f>
        <v/>
      </c>
      <c r="P59" s="20" t="str">
        <f>IFERROR(Data!K61*(1/(1+P$6)^(Data!$A61-Data!$D$2)),"")</f>
        <v/>
      </c>
      <c r="Q59" s="20" t="str">
        <f>IFERROR(Data!L61*(1/(1+Q$6)^(Data!$A61-Data!$D$2)),"")</f>
        <v/>
      </c>
      <c r="R59" s="20" t="str">
        <f>IFERROR(Data!M61*(1/(1+R$6)^(Data!$A61-Data!$D$2)),"")</f>
        <v/>
      </c>
      <c r="S59" s="20" t="str">
        <f>IFERROR(Data!N61*(1/(1+S$6)^(Data!$A61-Data!$D$2)),"")</f>
        <v/>
      </c>
      <c r="T59" s="20" t="str">
        <f>IFERROR(Data!O61*(1/(1+T$6)^(Data!$A61-Data!$D$2)),"")</f>
        <v/>
      </c>
    </row>
    <row r="60" spans="1:20" x14ac:dyDescent="0.55000000000000004">
      <c r="A60" s="144">
        <v>2075</v>
      </c>
      <c r="B60" s="244" t="str">
        <f>IF(ISBLANK(Data!B64), "", Data!B64)</f>
        <v/>
      </c>
      <c r="C60" s="244" t="str">
        <f>IF(ISBLANK(Data!C64), "", Data!C64)</f>
        <v/>
      </c>
      <c r="D60" s="246" t="str">
        <f>IF(ISBLANK(Data!D64), "", Data!D64)</f>
        <v/>
      </c>
      <c r="K60" s="13">
        <v>2073</v>
      </c>
      <c r="L60" s="20" t="str">
        <f>IFERROR(Data!G62*(1/(1+L$6)^(Data!$A62-Data!$D$2)),"")</f>
        <v/>
      </c>
      <c r="M60" s="20" t="str">
        <f>IFERROR(Data!H62*(1/(1+M$6)^(Data!$A62-Data!$D$2)),"")</f>
        <v/>
      </c>
      <c r="N60" s="20" t="str">
        <f>IFERROR(Data!I62*(1/(1+N$6)^(Data!$A62-Data!$D$2)),"")</f>
        <v/>
      </c>
      <c r="O60" s="20" t="str">
        <f>IFERROR(Data!J62*(1/(1+O$6)^(Data!$A62-Data!$D$2)),"")</f>
        <v/>
      </c>
      <c r="P60" s="20" t="str">
        <f>IFERROR(Data!K62*(1/(1+P$6)^(Data!$A62-Data!$D$2)),"")</f>
        <v/>
      </c>
      <c r="Q60" s="20" t="str">
        <f>IFERROR(Data!L62*(1/(1+Q$6)^(Data!$A62-Data!$D$2)),"")</f>
        <v/>
      </c>
      <c r="R60" s="20" t="str">
        <f>IFERROR(Data!M62*(1/(1+R$6)^(Data!$A62-Data!$D$2)),"")</f>
        <v/>
      </c>
      <c r="S60" s="20" t="str">
        <f>IFERROR(Data!N62*(1/(1+S$6)^(Data!$A62-Data!$D$2)),"")</f>
        <v/>
      </c>
      <c r="T60" s="20" t="str">
        <f>IFERROR(Data!O62*(1/(1+T$6)^(Data!$A62-Data!$D$2)),"")</f>
        <v/>
      </c>
    </row>
    <row r="61" spans="1:20" x14ac:dyDescent="0.55000000000000004">
      <c r="A61" s="144">
        <v>2076</v>
      </c>
      <c r="B61" s="244" t="str">
        <f>IF(ISBLANK(Data!B65), "", Data!B65)</f>
        <v/>
      </c>
      <c r="C61" s="244" t="str">
        <f>IF(ISBLANK(Data!C65), "", Data!C65)</f>
        <v/>
      </c>
      <c r="D61" s="246" t="str">
        <f>IF(ISBLANK(Data!D65), "", Data!D65)</f>
        <v/>
      </c>
      <c r="K61" s="13">
        <v>2074</v>
      </c>
      <c r="L61" s="20" t="str">
        <f>IFERROR(Data!G63*(1/(1+L$6)^(Data!$A63-Data!$D$2)),"")</f>
        <v/>
      </c>
      <c r="M61" s="20" t="str">
        <f>IFERROR(Data!H63*(1/(1+M$6)^(Data!$A63-Data!$D$2)),"")</f>
        <v/>
      </c>
      <c r="N61" s="20" t="str">
        <f>IFERROR(Data!I63*(1/(1+N$6)^(Data!$A63-Data!$D$2)),"")</f>
        <v/>
      </c>
      <c r="O61" s="20" t="str">
        <f>IFERROR(Data!J63*(1/(1+O$6)^(Data!$A63-Data!$D$2)),"")</f>
        <v/>
      </c>
      <c r="P61" s="20" t="str">
        <f>IFERROR(Data!K63*(1/(1+P$6)^(Data!$A63-Data!$D$2)),"")</f>
        <v/>
      </c>
      <c r="Q61" s="20" t="str">
        <f>IFERROR(Data!L63*(1/(1+Q$6)^(Data!$A63-Data!$D$2)),"")</f>
        <v/>
      </c>
      <c r="R61" s="20" t="str">
        <f>IFERROR(Data!M63*(1/(1+R$6)^(Data!$A63-Data!$D$2)),"")</f>
        <v/>
      </c>
      <c r="S61" s="20" t="str">
        <f>IFERROR(Data!N63*(1/(1+S$6)^(Data!$A63-Data!$D$2)),"")</f>
        <v/>
      </c>
      <c r="T61" s="20" t="str">
        <f>IFERROR(Data!O63*(1/(1+T$6)^(Data!$A63-Data!$D$2)),"")</f>
        <v/>
      </c>
    </row>
    <row r="62" spans="1:20" x14ac:dyDescent="0.55000000000000004">
      <c r="A62" s="144">
        <v>2077</v>
      </c>
      <c r="B62" s="244" t="str">
        <f>IF(ISBLANK(Data!B66), "", Data!B66)</f>
        <v/>
      </c>
      <c r="C62" s="244" t="str">
        <f>IF(ISBLANK(Data!C66), "", Data!C66)</f>
        <v/>
      </c>
      <c r="D62" s="246" t="str">
        <f>IF(ISBLANK(Data!D66), "", Data!D66)</f>
        <v/>
      </c>
      <c r="K62" s="13">
        <v>2075</v>
      </c>
      <c r="L62" s="20" t="str">
        <f>IFERROR(Data!G64*(1/(1+L$6)^(Data!$A64-Data!$D$2)),"")</f>
        <v/>
      </c>
      <c r="M62" s="20" t="str">
        <f>IFERROR(Data!H64*(1/(1+M$6)^(Data!$A64-Data!$D$2)),"")</f>
        <v/>
      </c>
      <c r="N62" s="20" t="str">
        <f>IFERROR(Data!I64*(1/(1+N$6)^(Data!$A64-Data!$D$2)),"")</f>
        <v/>
      </c>
      <c r="O62" s="20" t="str">
        <f>IFERROR(Data!J64*(1/(1+O$6)^(Data!$A64-Data!$D$2)),"")</f>
        <v/>
      </c>
      <c r="P62" s="20" t="str">
        <f>IFERROR(Data!K64*(1/(1+P$6)^(Data!$A64-Data!$D$2)),"")</f>
        <v/>
      </c>
      <c r="Q62" s="20" t="str">
        <f>IFERROR(Data!L64*(1/(1+Q$6)^(Data!$A64-Data!$D$2)),"")</f>
        <v/>
      </c>
      <c r="R62" s="20" t="str">
        <f>IFERROR(Data!M64*(1/(1+R$6)^(Data!$A64-Data!$D$2)),"")</f>
        <v/>
      </c>
      <c r="S62" s="20" t="str">
        <f>IFERROR(Data!N64*(1/(1+S$6)^(Data!$A64-Data!$D$2)),"")</f>
        <v/>
      </c>
      <c r="T62" s="20" t="str">
        <f>IFERROR(Data!O64*(1/(1+T$6)^(Data!$A64-Data!$D$2)),"")</f>
        <v/>
      </c>
    </row>
    <row r="63" spans="1:20" x14ac:dyDescent="0.55000000000000004">
      <c r="A63" s="144">
        <v>2078</v>
      </c>
      <c r="B63" s="244" t="str">
        <f>IF(ISBLANK(Data!B67), "", Data!B67)</f>
        <v/>
      </c>
      <c r="C63" s="244" t="str">
        <f>IF(ISBLANK(Data!C67), "", Data!C67)</f>
        <v/>
      </c>
      <c r="D63" s="246" t="str">
        <f>IF(ISBLANK(Data!D67), "", Data!D67)</f>
        <v/>
      </c>
      <c r="K63" s="13">
        <v>2076</v>
      </c>
      <c r="L63" s="20" t="str">
        <f>IFERROR(Data!G65*(1/(1+L$6)^(Data!$A65-Data!$D$2)),"")</f>
        <v/>
      </c>
      <c r="M63" s="20" t="str">
        <f>IFERROR(Data!H65*(1/(1+M$6)^(Data!$A65-Data!$D$2)),"")</f>
        <v/>
      </c>
      <c r="N63" s="20" t="str">
        <f>IFERROR(Data!I65*(1/(1+N$6)^(Data!$A65-Data!$D$2)),"")</f>
        <v/>
      </c>
      <c r="O63" s="20" t="str">
        <f>IFERROR(Data!J65*(1/(1+O$6)^(Data!$A65-Data!$D$2)),"")</f>
        <v/>
      </c>
      <c r="P63" s="20" t="str">
        <f>IFERROR(Data!K65*(1/(1+P$6)^(Data!$A65-Data!$D$2)),"")</f>
        <v/>
      </c>
      <c r="Q63" s="20" t="str">
        <f>IFERROR(Data!L65*(1/(1+Q$6)^(Data!$A65-Data!$D$2)),"")</f>
        <v/>
      </c>
      <c r="R63" s="20" t="str">
        <f>IFERROR(Data!M65*(1/(1+R$6)^(Data!$A65-Data!$D$2)),"")</f>
        <v/>
      </c>
      <c r="S63" s="20" t="str">
        <f>IFERROR(Data!N65*(1/(1+S$6)^(Data!$A65-Data!$D$2)),"")</f>
        <v/>
      </c>
      <c r="T63" s="20" t="str">
        <f>IFERROR(Data!O65*(1/(1+T$6)^(Data!$A65-Data!$D$2)),"")</f>
        <v/>
      </c>
    </row>
    <row r="64" spans="1:20" x14ac:dyDescent="0.55000000000000004">
      <c r="A64" s="144">
        <v>2079</v>
      </c>
      <c r="B64" s="244" t="str">
        <f>IF(ISBLANK(Data!B68), "", Data!B68)</f>
        <v/>
      </c>
      <c r="C64" s="244" t="str">
        <f>IF(ISBLANK(Data!C68), "", Data!C68)</f>
        <v/>
      </c>
      <c r="D64" s="246" t="str">
        <f>IF(ISBLANK(Data!D68), "", Data!D68)</f>
        <v/>
      </c>
      <c r="K64" s="13">
        <v>2077</v>
      </c>
      <c r="L64" s="20" t="str">
        <f>IFERROR(Data!G66*(1/(1+L$6)^(Data!$A66-Data!$D$2)),"")</f>
        <v/>
      </c>
      <c r="M64" s="20" t="str">
        <f>IFERROR(Data!H66*(1/(1+M$6)^(Data!$A66-Data!$D$2)),"")</f>
        <v/>
      </c>
      <c r="N64" s="20" t="str">
        <f>IFERROR(Data!I66*(1/(1+N$6)^(Data!$A66-Data!$D$2)),"")</f>
        <v/>
      </c>
      <c r="O64" s="20" t="str">
        <f>IFERROR(Data!J66*(1/(1+O$6)^(Data!$A66-Data!$D$2)),"")</f>
        <v/>
      </c>
      <c r="P64" s="20" t="str">
        <f>IFERROR(Data!K66*(1/(1+P$6)^(Data!$A66-Data!$D$2)),"")</f>
        <v/>
      </c>
      <c r="Q64" s="20" t="str">
        <f>IFERROR(Data!L66*(1/(1+Q$6)^(Data!$A66-Data!$D$2)),"")</f>
        <v/>
      </c>
      <c r="R64" s="20" t="str">
        <f>IFERROR(Data!M66*(1/(1+R$6)^(Data!$A66-Data!$D$2)),"")</f>
        <v/>
      </c>
      <c r="S64" s="20" t="str">
        <f>IFERROR(Data!N66*(1/(1+S$6)^(Data!$A66-Data!$D$2)),"")</f>
        <v/>
      </c>
      <c r="T64" s="20" t="str">
        <f>IFERROR(Data!O66*(1/(1+T$6)^(Data!$A66-Data!$D$2)),"")</f>
        <v/>
      </c>
    </row>
    <row r="65" spans="1:20" ht="14.7" thickBot="1" x14ac:dyDescent="0.6">
      <c r="A65" s="151">
        <v>2080</v>
      </c>
      <c r="B65" s="244" t="str">
        <f>IF(ISBLANK(Data!B69), "", Data!B69)</f>
        <v/>
      </c>
      <c r="C65" s="244" t="str">
        <f>IF(ISBLANK(Data!C69), "", Data!C69)</f>
        <v/>
      </c>
      <c r="D65" s="246" t="str">
        <f>IF(ISBLANK(Data!D69), "", Data!D69)</f>
        <v/>
      </c>
      <c r="K65" s="13">
        <v>2078</v>
      </c>
      <c r="L65" s="20" t="str">
        <f>IFERROR(Data!G67*(1/(1+L$6)^(Data!$A67-Data!$D$2)),"")</f>
        <v/>
      </c>
      <c r="M65" s="20" t="str">
        <f>IFERROR(Data!H67*(1/(1+M$6)^(Data!$A67-Data!$D$2)),"")</f>
        <v/>
      </c>
      <c r="N65" s="20" t="str">
        <f>IFERROR(Data!I67*(1/(1+N$6)^(Data!$A67-Data!$D$2)),"")</f>
        <v/>
      </c>
      <c r="O65" s="20" t="str">
        <f>IFERROR(Data!J67*(1/(1+O$6)^(Data!$A67-Data!$D$2)),"")</f>
        <v/>
      </c>
      <c r="P65" s="20" t="str">
        <f>IFERROR(Data!K67*(1/(1+P$6)^(Data!$A67-Data!$D$2)),"")</f>
        <v/>
      </c>
      <c r="Q65" s="20" t="str">
        <f>IFERROR(Data!L67*(1/(1+Q$6)^(Data!$A67-Data!$D$2)),"")</f>
        <v/>
      </c>
      <c r="R65" s="20" t="str">
        <f>IFERROR(Data!M67*(1/(1+R$6)^(Data!$A67-Data!$D$2)),"")</f>
        <v/>
      </c>
      <c r="S65" s="20" t="str">
        <f>IFERROR(Data!N67*(1/(1+S$6)^(Data!$A67-Data!$D$2)),"")</f>
        <v/>
      </c>
      <c r="T65" s="20" t="str">
        <f>IFERROR(Data!O67*(1/(1+T$6)^(Data!$A67-Data!$D$2)),"")</f>
        <v/>
      </c>
    </row>
    <row r="66" spans="1:20" ht="14.7" thickBot="1" x14ac:dyDescent="0.6">
      <c r="A66" s="247" t="s">
        <v>20</v>
      </c>
      <c r="B66" s="248">
        <f>SUM(B5:B65)</f>
        <v>0</v>
      </c>
      <c r="C66" s="249">
        <f>SUM(C5:C65)</f>
        <v>0</v>
      </c>
      <c r="D66" s="250">
        <f>SUM(D5:D65)</f>
        <v>0</v>
      </c>
      <c r="E66" s="251"/>
      <c r="J66" s="2"/>
      <c r="K66" s="13">
        <v>2079</v>
      </c>
      <c r="L66" s="20" t="str">
        <f>IFERROR(Data!G68*(1/(1+L$6)^(Data!$A68-Data!$D$2)),"")</f>
        <v/>
      </c>
      <c r="M66" s="20" t="str">
        <f>IFERROR(Data!H68*(1/(1+M$6)^(Data!$A68-Data!$D$2)),"")</f>
        <v/>
      </c>
      <c r="N66" s="20" t="str">
        <f>IFERROR(Data!I68*(1/(1+N$6)^(Data!$A68-Data!$D$2)),"")</f>
        <v/>
      </c>
      <c r="O66" s="20" t="str">
        <f>IFERROR(Data!J68*(1/(1+O$6)^(Data!$A68-Data!$D$2)),"")</f>
        <v/>
      </c>
      <c r="P66" s="20" t="str">
        <f>IFERROR(Data!K68*(1/(1+P$6)^(Data!$A68-Data!$D$2)),"")</f>
        <v/>
      </c>
      <c r="Q66" s="20" t="str">
        <f>IFERROR(Data!L68*(1/(1+Q$6)^(Data!$A68-Data!$D$2)),"")</f>
        <v/>
      </c>
      <c r="R66" s="20" t="str">
        <f>IFERROR(Data!M68*(1/(1+R$6)^(Data!$A68-Data!$D$2)),"")</f>
        <v/>
      </c>
      <c r="S66" s="20" t="str">
        <f>IFERROR(Data!N68*(1/(1+S$6)^(Data!$A68-Data!$D$2)),"")</f>
        <v/>
      </c>
      <c r="T66" s="20" t="str">
        <f>IFERROR(Data!O68*(1/(1+T$6)^(Data!$A68-Data!$D$2)),"")</f>
        <v/>
      </c>
    </row>
    <row r="67" spans="1:20" ht="14.7" thickBot="1" x14ac:dyDescent="0.6">
      <c r="K67" s="14">
        <v>2080</v>
      </c>
      <c r="L67" s="20" t="str">
        <f>IFERROR(Data!G69*(1/(1+L$6)^(Data!$A69-Data!$D$2)),"")</f>
        <v/>
      </c>
      <c r="M67" s="20" t="str">
        <f>IFERROR(Data!H69*(1/(1+M$6)^(Data!$A69-Data!$D$2)),"")</f>
        <v/>
      </c>
      <c r="N67" s="20" t="str">
        <f>IFERROR(Data!I69*(1/(1+N$6)^(Data!$A69-Data!$D$2)),"")</f>
        <v/>
      </c>
      <c r="O67" s="20" t="str">
        <f>IFERROR(Data!J69*(1/(1+O$6)^(Data!$A69-Data!$D$2)),"")</f>
        <v/>
      </c>
      <c r="P67" s="20" t="str">
        <f>IFERROR(Data!K69*(1/(1+P$6)^(Data!$A69-Data!$D$2)),"")</f>
        <v/>
      </c>
      <c r="Q67" s="20" t="str">
        <f>IFERROR(Data!L69*(1/(1+Q$6)^(Data!$A69-Data!$D$2)),"")</f>
        <v/>
      </c>
      <c r="R67" s="20" t="str">
        <f>IFERROR(Data!M69*(1/(1+R$6)^(Data!$A69-Data!$D$2)),"")</f>
        <v/>
      </c>
      <c r="S67" s="20" t="str">
        <f>IFERROR(Data!N69*(1/(1+S$6)^(Data!$A69-Data!$D$2)),"")</f>
        <v/>
      </c>
      <c r="T67" s="20" t="str">
        <f>IFERROR(Data!O69*(1/(1+T$6)^(Data!$A69-Data!$D$2)),"")</f>
        <v/>
      </c>
    </row>
    <row r="68" spans="1:20" ht="14.7" thickBot="1" x14ac:dyDescent="0.6">
      <c r="K68" s="1" t="s">
        <v>10</v>
      </c>
      <c r="L68" s="22">
        <f t="shared" ref="L68:T68" si="7">SUM(L7:L67)</f>
        <v>0</v>
      </c>
      <c r="M68" s="23">
        <f t="shared" si="7"/>
        <v>0</v>
      </c>
      <c r="N68" s="24">
        <f t="shared" si="7"/>
        <v>0</v>
      </c>
      <c r="O68" s="25">
        <f t="shared" si="7"/>
        <v>0</v>
      </c>
      <c r="P68" s="25">
        <f t="shared" si="7"/>
        <v>0</v>
      </c>
      <c r="Q68" s="25">
        <f t="shared" si="7"/>
        <v>0</v>
      </c>
      <c r="R68" s="25">
        <f t="shared" si="7"/>
        <v>0</v>
      </c>
      <c r="S68" s="25">
        <f t="shared" si="7"/>
        <v>0</v>
      </c>
      <c r="T68" s="26">
        <f t="shared" si="7"/>
        <v>0</v>
      </c>
    </row>
  </sheetData>
  <sheetProtection sheet="1" objects="1" scenarios="1"/>
  <mergeCells count="15">
    <mergeCell ref="F13:I13"/>
    <mergeCell ref="F7:I7"/>
    <mergeCell ref="F25:I25"/>
    <mergeCell ref="F19:I19"/>
    <mergeCell ref="A2:D2"/>
    <mergeCell ref="B3:D3"/>
    <mergeCell ref="A3:A4"/>
    <mergeCell ref="F2:I2"/>
    <mergeCell ref="L2:T2"/>
    <mergeCell ref="L3:N3"/>
    <mergeCell ref="O3:Q3"/>
    <mergeCell ref="R3:T3"/>
    <mergeCell ref="L4:N4"/>
    <mergeCell ref="O4:Q4"/>
    <mergeCell ref="R4:T4"/>
  </mergeCells>
  <conditionalFormatting sqref="B5:D65">
    <cfRule type="expression" dxfId="2" priority="1">
      <formula>AND(B5&lt;0.0001,B5&gt;-0.0001)</formula>
    </cfRule>
    <cfRule type="expression" dxfId="1" priority="2">
      <formula>AND(B5&lt;0.01,B5&gt;-0.01)</formula>
    </cfRule>
    <cfRule type="expression" dxfId="0" priority="3">
      <formula>AND(B5&lt;1,B5&gt;-1)</formula>
    </cfRule>
  </conditionalFormatting>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2CC452-089D-4B62-94ED-E65530BF8CB6}">
  <dimension ref="A1:AO75"/>
  <sheetViews>
    <sheetView zoomScaleNormal="100" workbookViewId="0">
      <pane ySplit="11" topLeftCell="A12" activePane="bottomLeft" state="frozen"/>
      <selection pane="bottomLeft" activeCell="A12" sqref="A12"/>
    </sheetView>
  </sheetViews>
  <sheetFormatPr defaultRowHeight="14.4" x14ac:dyDescent="0.55000000000000004"/>
  <cols>
    <col min="3" max="3" width="13.62890625" bestFit="1" customWidth="1"/>
    <col min="4" max="4" width="15" bestFit="1" customWidth="1"/>
    <col min="6" max="6" width="12.62890625" customWidth="1"/>
    <col min="7" max="9" width="16.62890625" customWidth="1"/>
    <col min="11" max="11" width="12.62890625" customWidth="1"/>
    <col min="12" max="13" width="21.62890625" customWidth="1"/>
    <col min="14" max="14" width="19.62890625" customWidth="1"/>
    <col min="16" max="16" width="12.62890625" customWidth="1"/>
    <col min="17" max="19" width="19.62890625" customWidth="1"/>
    <col min="21" max="21" width="40" bestFit="1" customWidth="1"/>
    <col min="22" max="24" width="19.62890625" style="61" customWidth="1"/>
    <col min="27" max="29" width="19.62890625" customWidth="1"/>
    <col min="30" max="30" width="21.5234375" customWidth="1"/>
    <col min="32" max="32" width="8.62890625" style="92"/>
    <col min="33" max="35" width="19.62890625" style="92" customWidth="1"/>
    <col min="38" max="40" width="19.62890625" customWidth="1"/>
    <col min="41" max="41" width="8.62890625" style="92"/>
  </cols>
  <sheetData>
    <row r="1" spans="1:40" ht="15.6" x14ac:dyDescent="0.6">
      <c r="A1" s="111" t="s">
        <v>95</v>
      </c>
    </row>
    <row r="3" spans="1:40" s="2" customFormat="1" x14ac:dyDescent="0.55000000000000004">
      <c r="B3" s="2" t="s">
        <v>21</v>
      </c>
      <c r="F3" s="2" t="s">
        <v>22</v>
      </c>
      <c r="K3" s="2" t="s">
        <v>23</v>
      </c>
      <c r="O3"/>
      <c r="P3" s="2" t="s">
        <v>24</v>
      </c>
      <c r="T3"/>
      <c r="U3" s="2" t="s">
        <v>25</v>
      </c>
      <c r="X3" s="61"/>
      <c r="Y3"/>
      <c r="Z3" s="2" t="s">
        <v>26</v>
      </c>
    </row>
    <row r="4" spans="1:40" ht="14.8" customHeight="1" x14ac:dyDescent="0.55000000000000004">
      <c r="B4" s="299" t="s">
        <v>27</v>
      </c>
      <c r="C4" s="299"/>
      <c r="D4" s="299"/>
      <c r="F4" s="299" t="s">
        <v>96</v>
      </c>
      <c r="G4" s="299"/>
      <c r="H4" s="299"/>
      <c r="I4" s="299"/>
      <c r="K4" s="299" t="s">
        <v>97</v>
      </c>
      <c r="L4" s="299"/>
      <c r="M4" s="299"/>
      <c r="N4" s="299"/>
      <c r="P4" s="299" t="s">
        <v>98</v>
      </c>
      <c r="Q4" s="299"/>
      <c r="R4" s="299"/>
      <c r="S4" s="299"/>
      <c r="U4" s="299" t="s">
        <v>107</v>
      </c>
      <c r="V4" s="299"/>
      <c r="W4" s="299"/>
      <c r="Z4" s="299" t="s">
        <v>28</v>
      </c>
      <c r="AA4" s="299"/>
      <c r="AB4" s="299"/>
      <c r="AC4" s="299"/>
      <c r="AD4" s="299"/>
      <c r="AF4" s="299" t="s">
        <v>99</v>
      </c>
      <c r="AG4" s="299"/>
      <c r="AH4" s="299"/>
      <c r="AI4" s="299"/>
      <c r="AJ4" s="119"/>
      <c r="AK4" s="299" t="s">
        <v>100</v>
      </c>
      <c r="AL4" s="299"/>
      <c r="AM4" s="299"/>
      <c r="AN4" s="299"/>
    </row>
    <row r="5" spans="1:40" x14ac:dyDescent="0.55000000000000004">
      <c r="B5" s="299"/>
      <c r="C5" s="299"/>
      <c r="D5" s="299"/>
      <c r="F5" s="299"/>
      <c r="G5" s="299"/>
      <c r="H5" s="299"/>
      <c r="I5" s="299"/>
      <c r="K5" s="299"/>
      <c r="L5" s="299"/>
      <c r="M5" s="299"/>
      <c r="N5" s="299"/>
      <c r="P5" s="299"/>
      <c r="Q5" s="299"/>
      <c r="R5" s="299"/>
      <c r="S5" s="299"/>
      <c r="U5" s="299"/>
      <c r="V5" s="299"/>
      <c r="W5" s="299"/>
      <c r="Z5" s="299"/>
      <c r="AA5" s="299"/>
      <c r="AB5" s="299"/>
      <c r="AC5" s="299"/>
      <c r="AD5" s="299"/>
      <c r="AF5" s="299"/>
      <c r="AG5" s="299"/>
      <c r="AH5" s="299"/>
      <c r="AI5" s="299"/>
      <c r="AJ5" s="119"/>
      <c r="AK5" s="299"/>
      <c r="AL5" s="299"/>
      <c r="AM5" s="299"/>
      <c r="AN5" s="299"/>
    </row>
    <row r="6" spans="1:40" x14ac:dyDescent="0.55000000000000004">
      <c r="B6" s="299"/>
      <c r="C6" s="299"/>
      <c r="D6" s="299"/>
      <c r="F6" s="299"/>
      <c r="G6" s="299"/>
      <c r="H6" s="299"/>
      <c r="I6" s="299"/>
      <c r="K6" s="299"/>
      <c r="L6" s="299"/>
      <c r="M6" s="299"/>
      <c r="N6" s="299"/>
      <c r="P6" s="299"/>
      <c r="Q6" s="299"/>
      <c r="R6" s="299"/>
      <c r="S6" s="299"/>
      <c r="U6" s="299"/>
      <c r="V6" s="299"/>
      <c r="W6" s="299"/>
      <c r="Z6" s="299"/>
      <c r="AA6" s="299"/>
      <c r="AB6" s="299"/>
      <c r="AC6" s="299"/>
      <c r="AD6" s="299"/>
      <c r="AF6" s="299"/>
      <c r="AG6" s="299"/>
      <c r="AH6" s="299"/>
      <c r="AI6" s="299"/>
      <c r="AJ6" s="119"/>
      <c r="AK6" s="299"/>
      <c r="AL6" s="299"/>
      <c r="AM6" s="299"/>
      <c r="AN6" s="299"/>
    </row>
    <row r="7" spans="1:40" x14ac:dyDescent="0.55000000000000004">
      <c r="B7" s="299"/>
      <c r="C7" s="299"/>
      <c r="D7" s="299"/>
      <c r="F7" s="299"/>
      <c r="G7" s="299"/>
      <c r="H7" s="299"/>
      <c r="I7" s="299"/>
      <c r="K7" s="299"/>
      <c r="L7" s="299"/>
      <c r="M7" s="299"/>
      <c r="N7" s="299"/>
      <c r="P7" s="299"/>
      <c r="Q7" s="299"/>
      <c r="R7" s="299"/>
      <c r="S7" s="299"/>
      <c r="U7" s="299"/>
      <c r="V7" s="299"/>
      <c r="W7" s="299"/>
      <c r="Z7" s="299"/>
      <c r="AA7" s="299"/>
      <c r="AB7" s="299"/>
      <c r="AC7" s="299"/>
      <c r="AD7" s="299"/>
      <c r="AF7" s="299"/>
      <c r="AG7" s="299"/>
      <c r="AH7" s="299"/>
      <c r="AI7" s="299"/>
      <c r="AJ7" s="119"/>
      <c r="AK7" s="299"/>
      <c r="AL7" s="299"/>
      <c r="AM7" s="299"/>
      <c r="AN7" s="299"/>
    </row>
    <row r="8" spans="1:40" x14ac:dyDescent="0.55000000000000004">
      <c r="B8" s="299"/>
      <c r="C8" s="299"/>
      <c r="D8" s="299"/>
      <c r="F8" s="299"/>
      <c r="G8" s="299"/>
      <c r="H8" s="299"/>
      <c r="I8" s="299"/>
      <c r="K8" s="299"/>
      <c r="L8" s="299"/>
      <c r="M8" s="299"/>
      <c r="N8" s="299"/>
      <c r="P8" s="299"/>
      <c r="Q8" s="299"/>
      <c r="R8" s="299"/>
      <c r="S8" s="299"/>
      <c r="U8" s="299"/>
      <c r="V8" s="299"/>
      <c r="W8" s="299"/>
      <c r="Z8" s="299"/>
      <c r="AA8" s="299"/>
      <c r="AB8" s="299"/>
      <c r="AC8" s="299"/>
      <c r="AD8" s="299"/>
      <c r="AF8" s="299"/>
      <c r="AG8" s="299"/>
      <c r="AH8" s="299"/>
      <c r="AI8" s="299"/>
      <c r="AJ8" s="119"/>
      <c r="AK8" s="299"/>
      <c r="AL8" s="299"/>
      <c r="AM8" s="299"/>
      <c r="AN8" s="299"/>
    </row>
    <row r="9" spans="1:40" x14ac:dyDescent="0.55000000000000004">
      <c r="B9" s="299"/>
      <c r="C9" s="299"/>
      <c r="D9" s="299"/>
      <c r="F9" s="299"/>
      <c r="G9" s="299"/>
      <c r="H9" s="299"/>
      <c r="I9" s="299"/>
      <c r="K9" s="299"/>
      <c r="L9" s="299"/>
      <c r="M9" s="299"/>
      <c r="N9" s="299"/>
      <c r="P9" s="299"/>
      <c r="Q9" s="299"/>
      <c r="R9" s="299"/>
      <c r="S9" s="299"/>
      <c r="U9" s="299"/>
      <c r="V9" s="299"/>
      <c r="W9" s="299"/>
      <c r="Z9" s="299"/>
      <c r="AA9" s="299"/>
      <c r="AB9" s="299"/>
      <c r="AC9" s="299"/>
      <c r="AD9" s="299"/>
      <c r="AF9" s="299"/>
      <c r="AG9" s="299"/>
      <c r="AH9" s="299"/>
      <c r="AI9" s="299"/>
      <c r="AJ9" s="119"/>
      <c r="AK9" s="299"/>
      <c r="AL9" s="299"/>
      <c r="AM9" s="299"/>
      <c r="AN9" s="299"/>
    </row>
    <row r="10" spans="1:40" x14ac:dyDescent="0.55000000000000004">
      <c r="B10" s="299"/>
      <c r="C10" s="299"/>
      <c r="D10" s="299"/>
      <c r="F10" s="299"/>
      <c r="G10" s="299"/>
      <c r="H10" s="299"/>
      <c r="I10" s="299"/>
      <c r="K10" s="299"/>
      <c r="L10" s="299"/>
      <c r="M10" s="299"/>
      <c r="N10" s="299"/>
      <c r="P10" s="299"/>
      <c r="Q10" s="299"/>
      <c r="R10" s="299"/>
      <c r="S10" s="299"/>
      <c r="U10" s="299"/>
      <c r="V10" s="299"/>
      <c r="W10" s="299"/>
      <c r="Z10" s="299"/>
      <c r="AA10" s="299"/>
      <c r="AB10" s="299"/>
      <c r="AC10" s="299"/>
      <c r="AD10" s="299"/>
      <c r="AF10" s="299"/>
      <c r="AG10" s="299"/>
      <c r="AH10" s="299"/>
      <c r="AI10" s="299"/>
      <c r="AJ10" s="119"/>
      <c r="AK10" s="299"/>
      <c r="AL10" s="299"/>
      <c r="AM10" s="299"/>
      <c r="AN10" s="299"/>
    </row>
    <row r="11" spans="1:40" ht="14.7" thickBot="1" x14ac:dyDescent="0.6">
      <c r="G11" s="42"/>
      <c r="H11" s="42"/>
      <c r="I11" s="42"/>
    </row>
    <row r="12" spans="1:40" ht="14.7" thickBot="1" x14ac:dyDescent="0.6">
      <c r="G12" s="304" t="s">
        <v>0</v>
      </c>
      <c r="H12" s="305"/>
      <c r="I12" s="10">
        <v>2021</v>
      </c>
    </row>
    <row r="13" spans="1:40" ht="15.7" customHeight="1" thickBot="1" x14ac:dyDescent="0.6">
      <c r="G13" s="306" t="s">
        <v>1</v>
      </c>
      <c r="H13" s="307"/>
      <c r="I13" s="11">
        <v>2019</v>
      </c>
    </row>
    <row r="14" spans="1:40" ht="14.7" thickBot="1" x14ac:dyDescent="0.6">
      <c r="L14" s="228"/>
      <c r="M14" s="228"/>
      <c r="N14" s="228"/>
      <c r="Q14" s="296" t="s">
        <v>84</v>
      </c>
      <c r="R14" s="297"/>
      <c r="S14" s="298"/>
      <c r="U14" s="296" t="s">
        <v>85</v>
      </c>
      <c r="V14" s="297"/>
      <c r="W14" s="297"/>
      <c r="X14" s="298"/>
    </row>
    <row r="15" spans="1:40" ht="30" customHeight="1" thickBot="1" x14ac:dyDescent="0.6">
      <c r="G15" s="309" t="s">
        <v>2</v>
      </c>
      <c r="H15" s="310"/>
      <c r="I15" s="311"/>
      <c r="L15" s="312" t="s">
        <v>33</v>
      </c>
      <c r="M15" s="313"/>
      <c r="N15" s="314"/>
      <c r="Q15" s="269" t="s">
        <v>34</v>
      </c>
      <c r="R15" s="270"/>
      <c r="S15" s="271"/>
      <c r="Z15" s="303" t="s">
        <v>35</v>
      </c>
      <c r="AA15" s="303"/>
      <c r="AB15" s="303"/>
      <c r="AC15" s="303"/>
      <c r="AD15" s="303"/>
      <c r="AF15" s="300" t="s">
        <v>36</v>
      </c>
      <c r="AG15" s="300"/>
      <c r="AH15" s="300"/>
      <c r="AI15" s="300"/>
      <c r="AK15" s="300" t="s">
        <v>37</v>
      </c>
      <c r="AL15" s="300"/>
      <c r="AM15" s="300"/>
      <c r="AN15" s="300"/>
    </row>
    <row r="16" spans="1:40" ht="16.5" customHeight="1" thickTop="1" thickBot="1" x14ac:dyDescent="0.6">
      <c r="B16" s="71" t="s">
        <v>29</v>
      </c>
      <c r="G16" s="7"/>
      <c r="H16" s="8"/>
      <c r="I16" s="9"/>
      <c r="L16" s="167" t="s">
        <v>7</v>
      </c>
      <c r="M16" s="168" t="s">
        <v>7</v>
      </c>
      <c r="N16" s="169" t="s">
        <v>7</v>
      </c>
      <c r="Q16" s="276" t="s">
        <v>38</v>
      </c>
      <c r="R16" s="277"/>
      <c r="S16" s="278"/>
      <c r="U16" s="100" t="s">
        <v>17</v>
      </c>
      <c r="V16" s="101">
        <v>15</v>
      </c>
      <c r="Z16" s="62"/>
      <c r="AA16" s="302" t="s">
        <v>39</v>
      </c>
      <c r="AB16" s="302"/>
      <c r="AC16" s="302"/>
      <c r="AD16" s="302"/>
      <c r="AF16" s="94"/>
      <c r="AG16" s="308" t="s">
        <v>40</v>
      </c>
      <c r="AH16" s="308"/>
      <c r="AI16" s="308"/>
      <c r="AK16" s="62"/>
      <c r="AL16" s="301" t="s">
        <v>41</v>
      </c>
      <c r="AM16" s="301"/>
      <c r="AN16" s="301"/>
    </row>
    <row r="17" spans="2:40" ht="33" customHeight="1" thickBot="1" x14ac:dyDescent="0.6">
      <c r="B17" s="72" t="s">
        <v>30</v>
      </c>
      <c r="C17" s="73"/>
      <c r="D17" s="74">
        <v>0.90718500000000002</v>
      </c>
      <c r="F17" s="36"/>
      <c r="G17" s="117" t="s">
        <v>3</v>
      </c>
      <c r="H17" s="110" t="s">
        <v>4</v>
      </c>
      <c r="I17" s="118" t="s">
        <v>5</v>
      </c>
      <c r="L17" s="252" t="s">
        <v>86</v>
      </c>
      <c r="M17" s="253"/>
      <c r="N17" s="254"/>
      <c r="P17" s="86"/>
      <c r="Q17" s="31" t="s">
        <v>7</v>
      </c>
      <c r="R17" s="32" t="s">
        <v>7</v>
      </c>
      <c r="S17" s="34" t="s">
        <v>7</v>
      </c>
      <c r="U17" s="46" t="s">
        <v>12</v>
      </c>
      <c r="V17" s="102">
        <v>2.5000000000000001E-2</v>
      </c>
      <c r="W17" s="102">
        <v>0.02</v>
      </c>
      <c r="X17" s="103">
        <v>1.4999999999999999E-2</v>
      </c>
      <c r="Z17" s="115" t="s">
        <v>9</v>
      </c>
      <c r="AA17" s="67" t="s">
        <v>42</v>
      </c>
      <c r="AB17" s="67" t="s">
        <v>43</v>
      </c>
      <c r="AC17" s="67" t="s">
        <v>44</v>
      </c>
      <c r="AD17" s="67" t="s">
        <v>45</v>
      </c>
      <c r="AF17" s="99" t="s">
        <v>9</v>
      </c>
      <c r="AG17" s="93">
        <v>1.4999999999999999E-2</v>
      </c>
      <c r="AH17" s="93">
        <v>0.02</v>
      </c>
      <c r="AI17" s="93">
        <v>2.5000000000000001E-2</v>
      </c>
      <c r="AK17" s="115" t="s">
        <v>9</v>
      </c>
      <c r="AL17" s="85">
        <v>1.4999999999999999E-2</v>
      </c>
      <c r="AM17" s="85">
        <v>0.02</v>
      </c>
      <c r="AN17" s="85">
        <v>2.5000000000000001E-2</v>
      </c>
    </row>
    <row r="18" spans="2:40" ht="14.7" thickBot="1" x14ac:dyDescent="0.6">
      <c r="B18" s="75" t="s">
        <v>9</v>
      </c>
      <c r="C18" s="75" t="s">
        <v>31</v>
      </c>
      <c r="D18" s="75" t="s">
        <v>32</v>
      </c>
      <c r="F18" s="15" t="s">
        <v>9</v>
      </c>
      <c r="G18" s="16"/>
      <c r="H18" s="16"/>
      <c r="I18" s="15"/>
      <c r="K18" s="15" t="s">
        <v>9</v>
      </c>
      <c r="L18" s="225">
        <v>2.5000000000000001E-2</v>
      </c>
      <c r="M18" s="226">
        <v>0.02</v>
      </c>
      <c r="N18" s="227">
        <v>1.4999999999999999E-2</v>
      </c>
      <c r="P18" s="15" t="s">
        <v>9</v>
      </c>
      <c r="Q18" s="37">
        <v>2.5000000000000001E-2</v>
      </c>
      <c r="R18" s="38">
        <v>0.02</v>
      </c>
      <c r="S18" s="40">
        <v>1.4999999999999999E-2</v>
      </c>
      <c r="Z18" s="64">
        <v>2024</v>
      </c>
      <c r="AA18" s="68">
        <v>250000</v>
      </c>
      <c r="AB18" s="68">
        <v>77000</v>
      </c>
      <c r="AC18" s="68">
        <v>2900</v>
      </c>
      <c r="AD18" s="68">
        <v>6400000</v>
      </c>
      <c r="AF18" s="97">
        <v>2024</v>
      </c>
      <c r="AG18" s="95">
        <v>600</v>
      </c>
      <c r="AH18" s="95">
        <v>440</v>
      </c>
      <c r="AI18" s="95">
        <v>340</v>
      </c>
      <c r="AK18" s="4">
        <v>2024</v>
      </c>
      <c r="AL18" s="82">
        <v>570</v>
      </c>
      <c r="AM18" s="82">
        <v>410</v>
      </c>
      <c r="AN18" s="82">
        <v>320</v>
      </c>
    </row>
    <row r="19" spans="2:40" ht="14.7" thickBot="1" x14ac:dyDescent="0.6">
      <c r="B19" s="2">
        <v>2024</v>
      </c>
      <c r="C19" s="76">
        <v>251426.61841880495</v>
      </c>
      <c r="D19" s="77">
        <v>228090.45683026357</v>
      </c>
      <c r="F19" s="6">
        <v>2020</v>
      </c>
      <c r="G19" s="21"/>
      <c r="H19" s="21"/>
      <c r="I19" s="29"/>
      <c r="K19" s="6">
        <v>2020</v>
      </c>
      <c r="L19" s="145" t="str">
        <f>IF(ISBLANK(E25),"", ($C23*(HLOOKUP($D$3,$D$136:$N$137,2)/$L$137)*G81)/1000000)</f>
        <v/>
      </c>
      <c r="M19" s="146" t="str">
        <f>IF(ISBLANK(E25),"",($C23*(HLOOKUP($D$3,$D$136:$N$137,2)/$L$137)*H81)/1000000)</f>
        <v/>
      </c>
      <c r="N19" s="147" t="str">
        <f>IF(ISBLANK(E25),"",($C23*(HLOOKUP($D$3,$D$136:$N$137,2)/$L$137)*I81)/1000000)</f>
        <v/>
      </c>
      <c r="P19" s="6">
        <v>2020</v>
      </c>
      <c r="Q19" s="112" t="s">
        <v>46</v>
      </c>
      <c r="R19" s="20" t="s">
        <v>46</v>
      </c>
      <c r="S19" s="113" t="s">
        <v>46</v>
      </c>
      <c r="U19" s="282" t="s">
        <v>47</v>
      </c>
      <c r="V19" s="283"/>
      <c r="W19" s="283"/>
      <c r="X19" s="284"/>
      <c r="Z19" s="64">
        <v>2025</v>
      </c>
      <c r="AA19" s="68">
        <v>490000</v>
      </c>
      <c r="AB19" s="68">
        <v>150000</v>
      </c>
      <c r="AC19" s="68">
        <v>5600</v>
      </c>
      <c r="AD19" s="68">
        <v>12000000</v>
      </c>
      <c r="AF19" s="97">
        <v>2025</v>
      </c>
      <c r="AG19" s="95">
        <v>1200</v>
      </c>
      <c r="AH19" s="95">
        <v>890</v>
      </c>
      <c r="AI19" s="95">
        <v>700</v>
      </c>
      <c r="AK19" s="4">
        <v>2025</v>
      </c>
      <c r="AL19" s="82">
        <v>1100</v>
      </c>
      <c r="AM19" s="82">
        <v>820</v>
      </c>
      <c r="AN19" s="82">
        <v>630</v>
      </c>
    </row>
    <row r="20" spans="2:40" x14ac:dyDescent="0.55000000000000004">
      <c r="B20" s="2">
        <v>2025</v>
      </c>
      <c r="C20" s="76">
        <v>488512.29422787001</v>
      </c>
      <c r="D20" s="77">
        <v>443171.02563911024</v>
      </c>
      <c r="F20" s="13">
        <v>2021</v>
      </c>
      <c r="G20" s="21"/>
      <c r="H20" s="21"/>
      <c r="I20" s="30"/>
      <c r="K20" s="13">
        <v>2021</v>
      </c>
      <c r="L20" s="148" t="str">
        <f>IF(ISBLANK(E26),"", ($C24*(HLOOKUP($D$3,$D$136:$N$137,2)/$L$137)*G82)/1000000)</f>
        <v/>
      </c>
      <c r="M20" s="149" t="str">
        <f>IF(ISBLANK(E26),"",($C24*(HLOOKUP($D$3,$D$136:$N$137,2)/$L$137)*H82)/1000000)</f>
        <v/>
      </c>
      <c r="N20" s="150" t="str">
        <f>IF(ISBLANK(E26),"",($C24*(HLOOKUP($D$3,$D$136:$N$137,2)/$L$137)*I82)/1000000)</f>
        <v/>
      </c>
      <c r="P20" s="13">
        <v>2021</v>
      </c>
      <c r="Q20" s="112" t="s">
        <v>46</v>
      </c>
      <c r="R20" s="20" t="s">
        <v>46</v>
      </c>
      <c r="S20" s="113" t="s">
        <v>46</v>
      </c>
      <c r="U20" s="47" t="s">
        <v>18</v>
      </c>
      <c r="V20" s="49" t="s">
        <v>6</v>
      </c>
      <c r="W20" s="49" t="s">
        <v>6</v>
      </c>
      <c r="X20" s="50" t="s">
        <v>6</v>
      </c>
      <c r="Z20" s="64">
        <v>2026</v>
      </c>
      <c r="AA20" s="68">
        <v>700000</v>
      </c>
      <c r="AB20" s="68">
        <v>210000</v>
      </c>
      <c r="AC20" s="68">
        <v>8000</v>
      </c>
      <c r="AD20" s="68">
        <v>18000000</v>
      </c>
      <c r="AF20" s="97">
        <v>2026</v>
      </c>
      <c r="AG20" s="95">
        <v>1800</v>
      </c>
      <c r="AH20" s="95">
        <v>1300</v>
      </c>
      <c r="AI20" s="95">
        <v>1000</v>
      </c>
      <c r="AK20" s="4">
        <v>2026</v>
      </c>
      <c r="AL20" s="82">
        <v>1600</v>
      </c>
      <c r="AM20" s="82">
        <v>1200</v>
      </c>
      <c r="AN20" s="82">
        <v>920</v>
      </c>
    </row>
    <row r="21" spans="2:40" ht="14.7" thickBot="1" x14ac:dyDescent="0.6">
      <c r="B21" s="2">
        <v>2026</v>
      </c>
      <c r="C21" s="76">
        <v>701782.50249158766</v>
      </c>
      <c r="D21" s="77">
        <v>636646.559522831</v>
      </c>
      <c r="F21" s="13">
        <v>2022</v>
      </c>
      <c r="G21" s="21"/>
      <c r="H21" s="21"/>
      <c r="I21" s="30"/>
      <c r="K21" s="13">
        <v>2022</v>
      </c>
      <c r="L21" s="148" t="str">
        <f>IF(ISBLANK(E27),"", ($C25*(HLOOKUP($D$3,$D$136:$N$137,2)/$L$137)*G83)/1000000)</f>
        <v/>
      </c>
      <c r="M21" s="149" t="str">
        <f>IF(ISBLANK(E27),"",($C25*(HLOOKUP($D$3,$D$136:$N$137,2)/$L$137)*H83)/1000000)</f>
        <v/>
      </c>
      <c r="N21" s="150" t="str">
        <f>IF(ISBLANK(E27),"",($C25*(HLOOKUP($D$3,$D$136:$N$137,2)/$L$137)*I83)/1000000)</f>
        <v/>
      </c>
      <c r="P21" s="13">
        <v>2022</v>
      </c>
      <c r="Q21" s="112" t="s">
        <v>46</v>
      </c>
      <c r="R21" s="20" t="s">
        <v>46</v>
      </c>
      <c r="S21" s="113" t="s">
        <v>46</v>
      </c>
      <c r="U21" s="48" t="s">
        <v>12</v>
      </c>
      <c r="V21" s="51">
        <v>2.5000000000000001E-2</v>
      </c>
      <c r="W21" s="51">
        <v>0.02</v>
      </c>
      <c r="X21" s="52">
        <v>1.4999999999999999E-2</v>
      </c>
      <c r="Z21" s="64">
        <v>2027</v>
      </c>
      <c r="AA21" s="68">
        <v>900000</v>
      </c>
      <c r="AB21" s="68">
        <v>270000</v>
      </c>
      <c r="AC21" s="68">
        <v>10000</v>
      </c>
      <c r="AD21" s="68">
        <v>23000000</v>
      </c>
      <c r="AF21" s="97">
        <v>2027</v>
      </c>
      <c r="AG21" s="95">
        <v>2300</v>
      </c>
      <c r="AH21" s="95">
        <v>1700</v>
      </c>
      <c r="AI21" s="95">
        <v>1400</v>
      </c>
      <c r="AK21" s="4">
        <v>2027</v>
      </c>
      <c r="AL21" s="82">
        <v>2100</v>
      </c>
      <c r="AM21" s="82">
        <v>1600</v>
      </c>
      <c r="AN21" s="82">
        <v>1200</v>
      </c>
    </row>
    <row r="22" spans="2:40" x14ac:dyDescent="0.55000000000000004">
      <c r="B22" s="2">
        <v>2027</v>
      </c>
      <c r="C22" s="76">
        <v>896626.42331052851</v>
      </c>
      <c r="D22" s="77">
        <v>813406.04183096183</v>
      </c>
      <c r="F22" s="13">
        <v>2023</v>
      </c>
      <c r="G22" s="21"/>
      <c r="H22" s="21"/>
      <c r="I22" s="30"/>
      <c r="K22" s="13">
        <v>2023</v>
      </c>
      <c r="L22" s="148" t="str">
        <f>IF(ISBLANK(E28),"", ($C26*(HLOOKUP($D$3,$D$136:$N$137,2)/$L$137)*G84)/1000000)</f>
        <v/>
      </c>
      <c r="M22" s="149" t="str">
        <f>IF(ISBLANK(E28),"",($C26*(HLOOKUP($D$3,$D$136:$N$137,2)/$L$137)*H84)/1000000)</f>
        <v/>
      </c>
      <c r="N22" s="150" t="str">
        <f>IF(ISBLANK(E28),"",($C26*(HLOOKUP($D$3,$D$136:$N$137,2)/$L$137)*I84)/1000000)</f>
        <v/>
      </c>
      <c r="P22" s="13">
        <v>2023</v>
      </c>
      <c r="Q22" s="112" t="s">
        <v>46</v>
      </c>
      <c r="R22" s="20" t="s">
        <v>46</v>
      </c>
      <c r="S22" s="113" t="s">
        <v>46</v>
      </c>
      <c r="U22" s="44" t="s">
        <v>48</v>
      </c>
      <c r="V22" s="53">
        <v>0</v>
      </c>
      <c r="W22" s="53">
        <v>0</v>
      </c>
      <c r="X22" s="53">
        <v>0</v>
      </c>
      <c r="Z22" s="64">
        <v>2028</v>
      </c>
      <c r="AA22" s="68">
        <v>4900000</v>
      </c>
      <c r="AB22" s="68">
        <v>1300000</v>
      </c>
      <c r="AC22" s="68">
        <v>48000</v>
      </c>
      <c r="AD22" s="68">
        <v>120000000</v>
      </c>
      <c r="AF22" s="97">
        <v>2028</v>
      </c>
      <c r="AG22" s="95">
        <v>13000</v>
      </c>
      <c r="AH22" s="95">
        <v>9900</v>
      </c>
      <c r="AI22" s="95">
        <v>7900</v>
      </c>
      <c r="AK22" s="4">
        <v>2028</v>
      </c>
      <c r="AL22" s="82">
        <v>12000</v>
      </c>
      <c r="AM22" s="82">
        <v>8600</v>
      </c>
      <c r="AN22" s="82">
        <v>6600</v>
      </c>
    </row>
    <row r="23" spans="2:40" ht="14.7" thickBot="1" x14ac:dyDescent="0.6">
      <c r="B23" s="2">
        <v>2028</v>
      </c>
      <c r="C23" s="76">
        <v>4919410.0280272337</v>
      </c>
      <c r="D23" s="77">
        <v>4462814.9862758862</v>
      </c>
      <c r="F23" s="13">
        <v>2024</v>
      </c>
      <c r="G23" s="21"/>
      <c r="H23" s="21">
        <v>228090.45683026357</v>
      </c>
      <c r="I23" s="30"/>
      <c r="K23" s="13">
        <v>2024</v>
      </c>
      <c r="L23" s="148">
        <v>343.0808772418095</v>
      </c>
      <c r="M23" s="149">
        <v>438.98143741570112</v>
      </c>
      <c r="N23" s="150">
        <v>596.56451751364523</v>
      </c>
      <c r="P23" s="13">
        <v>2024</v>
      </c>
      <c r="Q23" s="112">
        <v>318.58470050457498</v>
      </c>
      <c r="R23" s="20">
        <v>413.66201292838082</v>
      </c>
      <c r="S23" s="113">
        <v>570.50478596121434</v>
      </c>
      <c r="U23" s="45" t="s">
        <v>49</v>
      </c>
      <c r="V23" s="54">
        <v>0</v>
      </c>
      <c r="W23" s="54">
        <v>0</v>
      </c>
      <c r="X23" s="54">
        <v>0</v>
      </c>
      <c r="Z23" s="64">
        <v>2029</v>
      </c>
      <c r="AA23" s="68">
        <v>4900000</v>
      </c>
      <c r="AB23" s="68">
        <v>1300000</v>
      </c>
      <c r="AC23" s="68">
        <v>49000</v>
      </c>
      <c r="AD23" s="68">
        <v>130000000</v>
      </c>
      <c r="AF23" s="97">
        <v>2029</v>
      </c>
      <c r="AG23" s="95">
        <v>14000</v>
      </c>
      <c r="AH23" s="95">
        <v>10000</v>
      </c>
      <c r="AI23" s="95">
        <v>8200</v>
      </c>
      <c r="AK23" s="4">
        <v>2029</v>
      </c>
      <c r="AL23" s="82">
        <v>12000</v>
      </c>
      <c r="AM23" s="82">
        <v>8800</v>
      </c>
      <c r="AN23" s="82">
        <v>6700</v>
      </c>
    </row>
    <row r="24" spans="2:40" ht="14.7" thickBot="1" x14ac:dyDescent="0.6">
      <c r="B24" s="2">
        <v>2029</v>
      </c>
      <c r="C24" s="76">
        <v>4937680.0502910949</v>
      </c>
      <c r="D24" s="77">
        <v>4479389.2764233267</v>
      </c>
      <c r="F24" s="13">
        <v>2025</v>
      </c>
      <c r="G24" s="21"/>
      <c r="H24" s="21">
        <v>443171.02563911024</v>
      </c>
      <c r="I24" s="30"/>
      <c r="K24" s="13">
        <v>2025</v>
      </c>
      <c r="L24" s="148">
        <v>695.46121155739081</v>
      </c>
      <c r="M24" s="149">
        <v>885.72890151177137</v>
      </c>
      <c r="N24" s="150">
        <v>1197.155557253194</v>
      </c>
      <c r="P24" s="13">
        <v>2025</v>
      </c>
      <c r="Q24" s="112">
        <v>630.05353304363712</v>
      </c>
      <c r="R24" s="20">
        <v>818.2765943611389</v>
      </c>
      <c r="S24" s="113">
        <v>1127.9410872440753</v>
      </c>
      <c r="Z24" s="64">
        <v>2030</v>
      </c>
      <c r="AA24" s="68">
        <v>5000000</v>
      </c>
      <c r="AB24" s="68">
        <v>1300000</v>
      </c>
      <c r="AC24" s="68">
        <v>49000</v>
      </c>
      <c r="AD24" s="68">
        <v>130000000</v>
      </c>
      <c r="AF24" s="97">
        <v>2030</v>
      </c>
      <c r="AG24" s="95">
        <v>14000</v>
      </c>
      <c r="AH24" s="95">
        <v>11000</v>
      </c>
      <c r="AI24" s="95">
        <v>8600</v>
      </c>
      <c r="AK24" s="4">
        <v>2030</v>
      </c>
      <c r="AL24" s="82">
        <v>12000</v>
      </c>
      <c r="AM24" s="82">
        <v>9000</v>
      </c>
      <c r="AN24" s="82">
        <v>6900</v>
      </c>
    </row>
    <row r="25" spans="2:40" ht="14.7" thickBot="1" x14ac:dyDescent="0.6">
      <c r="B25" s="2">
        <v>2030</v>
      </c>
      <c r="C25" s="76">
        <v>4972432.1886941856</v>
      </c>
      <c r="D25" s="77">
        <v>4510915.8951005349</v>
      </c>
      <c r="F25" s="13">
        <v>2026</v>
      </c>
      <c r="G25" s="21"/>
      <c r="H25" s="21">
        <v>636646.559522831</v>
      </c>
      <c r="I25" s="30"/>
      <c r="K25" s="13">
        <v>2026</v>
      </c>
      <c r="L25" s="148">
        <v>1041.1788433991276</v>
      </c>
      <c r="M25" s="149">
        <v>1320.1670186973849</v>
      </c>
      <c r="N25" s="150">
        <v>1773.8369794301368</v>
      </c>
      <c r="P25" s="13">
        <v>2026</v>
      </c>
      <c r="Q25" s="112">
        <v>920.2503849066369</v>
      </c>
      <c r="R25" s="20">
        <v>1195.7159429555281</v>
      </c>
      <c r="S25" s="113">
        <v>1646.5824917423763</v>
      </c>
      <c r="U25" s="282" t="s">
        <v>50</v>
      </c>
      <c r="V25" s="283"/>
      <c r="W25" s="283"/>
      <c r="X25" s="284"/>
      <c r="Z25" s="64">
        <v>2031</v>
      </c>
      <c r="AA25" s="68">
        <v>5000000</v>
      </c>
      <c r="AB25" s="68">
        <v>1300000</v>
      </c>
      <c r="AC25" s="68">
        <v>50000</v>
      </c>
      <c r="AD25" s="68">
        <v>130000000</v>
      </c>
      <c r="AF25" s="97">
        <v>2031</v>
      </c>
      <c r="AG25" s="95">
        <v>15000</v>
      </c>
      <c r="AH25" s="95">
        <v>11000</v>
      </c>
      <c r="AI25" s="95">
        <v>9000</v>
      </c>
      <c r="AK25" s="4">
        <v>2031</v>
      </c>
      <c r="AL25" s="82">
        <v>13000</v>
      </c>
      <c r="AM25" s="82">
        <v>9200</v>
      </c>
      <c r="AN25" s="82">
        <v>7000</v>
      </c>
    </row>
    <row r="26" spans="2:40" x14ac:dyDescent="0.55000000000000004">
      <c r="B26" s="2">
        <v>2031</v>
      </c>
      <c r="C26" s="76">
        <v>5021431.0367312627</v>
      </c>
      <c r="D26" s="77">
        <v>4555366.915057051</v>
      </c>
      <c r="F26" s="13">
        <v>2027</v>
      </c>
      <c r="G26" s="21"/>
      <c r="H26" s="21">
        <v>813406.04183096183</v>
      </c>
      <c r="I26" s="30"/>
      <c r="K26" s="13">
        <v>2027</v>
      </c>
      <c r="L26" s="148">
        <v>1384.0414132742433</v>
      </c>
      <c r="M26" s="149">
        <v>1746.9107397243351</v>
      </c>
      <c r="N26" s="150">
        <v>2336.1719910835545</v>
      </c>
      <c r="P26" s="13">
        <v>2027</v>
      </c>
      <c r="Q26" s="112">
        <v>1193.4545730259274</v>
      </c>
      <c r="R26" s="20">
        <v>1551.2067441089209</v>
      </c>
      <c r="S26" s="113">
        <v>2136.5278548243964</v>
      </c>
      <c r="U26" s="47" t="s">
        <v>18</v>
      </c>
      <c r="V26" s="49" t="s">
        <v>7</v>
      </c>
      <c r="W26" s="49" t="s">
        <v>7</v>
      </c>
      <c r="X26" s="50" t="s">
        <v>7</v>
      </c>
      <c r="Z26" s="64">
        <v>2032</v>
      </c>
      <c r="AA26" s="68">
        <v>5100000</v>
      </c>
      <c r="AB26" s="68">
        <v>1300000</v>
      </c>
      <c r="AC26" s="68">
        <v>50000</v>
      </c>
      <c r="AD26" s="68">
        <v>130000000</v>
      </c>
      <c r="AF26" s="97">
        <v>2032</v>
      </c>
      <c r="AG26" s="95">
        <v>15000</v>
      </c>
      <c r="AH26" s="95">
        <v>12000</v>
      </c>
      <c r="AI26" s="95">
        <v>9400</v>
      </c>
      <c r="AK26" s="4">
        <v>2032</v>
      </c>
      <c r="AL26" s="82">
        <v>13000</v>
      </c>
      <c r="AM26" s="82">
        <v>9400</v>
      </c>
      <c r="AN26" s="82">
        <v>7200</v>
      </c>
    </row>
    <row r="27" spans="2:40" ht="14.7" thickBot="1" x14ac:dyDescent="0.6">
      <c r="B27" s="2">
        <v>2032</v>
      </c>
      <c r="C27" s="76">
        <v>5065959.6535027903</v>
      </c>
      <c r="D27" s="77">
        <v>4595762.6082629291</v>
      </c>
      <c r="F27" s="13">
        <v>2028</v>
      </c>
      <c r="G27" s="21"/>
      <c r="H27" s="21">
        <v>4462814.9862758862</v>
      </c>
      <c r="I27" s="30"/>
      <c r="K27" s="13">
        <v>2028</v>
      </c>
      <c r="L27" s="148">
        <v>7888.7628112925004</v>
      </c>
      <c r="M27" s="149">
        <v>9919.3153830433894</v>
      </c>
      <c r="N27" s="150">
        <v>13196.389381704263</v>
      </c>
      <c r="P27" s="13">
        <v>2028</v>
      </c>
      <c r="Q27" s="112">
        <v>6636.5419009593197</v>
      </c>
      <c r="R27" s="20">
        <v>8635.3609715899966</v>
      </c>
      <c r="S27" s="113">
        <v>11890.30037287033</v>
      </c>
      <c r="U27" s="48" t="s">
        <v>12</v>
      </c>
      <c r="V27" s="51">
        <v>2.5000000000000001E-2</v>
      </c>
      <c r="W27" s="51">
        <v>0.02</v>
      </c>
      <c r="X27" s="52">
        <v>1.4999999999999999E-2</v>
      </c>
      <c r="Z27" s="64">
        <v>2033</v>
      </c>
      <c r="AA27" s="68">
        <v>5100000</v>
      </c>
      <c r="AB27" s="68">
        <v>1400000</v>
      </c>
      <c r="AC27" s="68">
        <v>51000</v>
      </c>
      <c r="AD27" s="68">
        <v>130000000</v>
      </c>
      <c r="AF27" s="97">
        <v>2033</v>
      </c>
      <c r="AG27" s="95">
        <v>16000</v>
      </c>
      <c r="AH27" s="95">
        <v>12000</v>
      </c>
      <c r="AI27" s="95">
        <v>9900</v>
      </c>
      <c r="AK27" s="4">
        <v>2033</v>
      </c>
      <c r="AL27" s="82">
        <v>13000</v>
      </c>
      <c r="AM27" s="82">
        <v>9600</v>
      </c>
      <c r="AN27" s="82">
        <v>7300</v>
      </c>
    </row>
    <row r="28" spans="2:40" x14ac:dyDescent="0.55000000000000004">
      <c r="B28" s="2">
        <v>2033</v>
      </c>
      <c r="C28" s="76">
        <v>5104222.1883167168</v>
      </c>
      <c r="D28" s="77">
        <v>4630473.8059081007</v>
      </c>
      <c r="F28" s="13">
        <v>2029</v>
      </c>
      <c r="G28" s="21"/>
      <c r="H28" s="21">
        <v>4479389.2764233267</v>
      </c>
      <c r="I28" s="30"/>
      <c r="K28" s="13">
        <v>2029</v>
      </c>
      <c r="L28" s="148">
        <v>8209.848435526088</v>
      </c>
      <c r="M28" s="149">
        <v>10287.731453672164</v>
      </c>
      <c r="N28" s="150">
        <v>13630.028393498616</v>
      </c>
      <c r="P28" s="13">
        <v>2029</v>
      </c>
      <c r="Q28" s="112">
        <v>6738.2049503532644</v>
      </c>
      <c r="R28" s="20">
        <v>8780.4797370988417</v>
      </c>
      <c r="S28" s="113">
        <v>12099.527822632024</v>
      </c>
      <c r="U28" s="44" t="s">
        <v>48</v>
      </c>
      <c r="V28" s="53">
        <v>83071.255437282205</v>
      </c>
      <c r="W28" s="53">
        <v>108956.7801593788</v>
      </c>
      <c r="X28" s="53">
        <v>150658.80298402681</v>
      </c>
      <c r="Z28" s="64">
        <v>2034</v>
      </c>
      <c r="AA28" s="68">
        <v>5100000</v>
      </c>
      <c r="AB28" s="68">
        <v>1400000</v>
      </c>
      <c r="AC28" s="68">
        <v>51000</v>
      </c>
      <c r="AD28" s="68">
        <v>130000000</v>
      </c>
      <c r="AF28" s="97">
        <v>2034</v>
      </c>
      <c r="AG28" s="95">
        <v>16000</v>
      </c>
      <c r="AH28" s="95">
        <v>13000</v>
      </c>
      <c r="AI28" s="95">
        <v>10000</v>
      </c>
      <c r="AK28" s="4">
        <v>2034</v>
      </c>
      <c r="AL28" s="82">
        <v>13000</v>
      </c>
      <c r="AM28" s="82">
        <v>9700</v>
      </c>
      <c r="AN28" s="82">
        <v>7400</v>
      </c>
    </row>
    <row r="29" spans="2:40" ht="14.7" thickBot="1" x14ac:dyDescent="0.6">
      <c r="B29" s="2">
        <v>2034</v>
      </c>
      <c r="C29" s="76">
        <v>5109355.9459856721</v>
      </c>
      <c r="D29" s="77">
        <v>4635131.0738590118</v>
      </c>
      <c r="F29" s="13">
        <v>2030</v>
      </c>
      <c r="G29" s="21"/>
      <c r="H29" s="21">
        <v>4510915.8951005349</v>
      </c>
      <c r="I29" s="30"/>
      <c r="K29" s="13">
        <v>2030</v>
      </c>
      <c r="L29" s="148">
        <v>8565.9242080023341</v>
      </c>
      <c r="M29" s="149">
        <v>10698.500972884412</v>
      </c>
      <c r="N29" s="150">
        <v>14108.842939272035</v>
      </c>
      <c r="P29" s="13">
        <v>2030</v>
      </c>
      <c r="Q29" s="112">
        <v>6858.9784581100166</v>
      </c>
      <c r="R29" s="20">
        <v>8952.0270260047928</v>
      </c>
      <c r="S29" s="113">
        <v>12339.484552859909</v>
      </c>
      <c r="U29" s="45" t="s">
        <v>49</v>
      </c>
      <c r="V29" s="54">
        <v>6709.3709014209689</v>
      </c>
      <c r="W29" s="54">
        <v>8479.6128707696844</v>
      </c>
      <c r="X29" s="54">
        <v>11291.026913502747</v>
      </c>
      <c r="Z29" s="64">
        <v>2035</v>
      </c>
      <c r="AA29" s="68">
        <v>5100000</v>
      </c>
      <c r="AB29" s="68">
        <v>1400000</v>
      </c>
      <c r="AC29" s="68">
        <v>52000</v>
      </c>
      <c r="AD29" s="68">
        <v>130000000</v>
      </c>
      <c r="AF29" s="97">
        <v>2035</v>
      </c>
      <c r="AG29" s="95">
        <v>17000</v>
      </c>
      <c r="AH29" s="95">
        <v>13000</v>
      </c>
      <c r="AI29" s="95">
        <v>11000</v>
      </c>
      <c r="AK29" s="4">
        <v>2035</v>
      </c>
      <c r="AL29" s="82">
        <v>14000</v>
      </c>
      <c r="AM29" s="82">
        <v>9900</v>
      </c>
      <c r="AN29" s="82">
        <v>7500</v>
      </c>
    </row>
    <row r="30" spans="2:40" ht="14.7" thickBot="1" x14ac:dyDescent="0.6">
      <c r="B30" s="2">
        <v>2035</v>
      </c>
      <c r="C30" s="76">
        <v>5141481.4933861429</v>
      </c>
      <c r="D30" s="77">
        <v>4664274.8885775078</v>
      </c>
      <c r="F30" s="13">
        <v>2031</v>
      </c>
      <c r="G30" s="21"/>
      <c r="H30" s="21">
        <v>4555366.915057051</v>
      </c>
      <c r="I30" s="30"/>
      <c r="K30" s="13">
        <v>2031</v>
      </c>
      <c r="L30" s="148">
        <v>9001.0228922358874</v>
      </c>
      <c r="M30" s="149">
        <v>11195.078422411269</v>
      </c>
      <c r="N30" s="150">
        <v>14701.970458347329</v>
      </c>
      <c r="P30" s="13">
        <v>2031</v>
      </c>
      <c r="Q30" s="112">
        <v>7031.5846973113566</v>
      </c>
      <c r="R30" s="20">
        <v>9183.8635507941199</v>
      </c>
      <c r="S30" s="113">
        <v>12668.20618570548</v>
      </c>
      <c r="Z30" s="64">
        <v>2036</v>
      </c>
      <c r="AA30" s="68">
        <v>5200000</v>
      </c>
      <c r="AB30" s="68">
        <v>1400000</v>
      </c>
      <c r="AC30" s="68">
        <v>53000</v>
      </c>
      <c r="AD30" s="68">
        <v>130000000</v>
      </c>
      <c r="AF30" s="97">
        <v>2036</v>
      </c>
      <c r="AG30" s="95">
        <v>18000</v>
      </c>
      <c r="AH30" s="95">
        <v>14000</v>
      </c>
      <c r="AI30" s="95">
        <v>11000</v>
      </c>
      <c r="AK30" s="4">
        <v>2036</v>
      </c>
      <c r="AL30" s="82">
        <v>14000</v>
      </c>
      <c r="AM30" s="82">
        <v>10000</v>
      </c>
      <c r="AN30" s="82">
        <v>7700</v>
      </c>
    </row>
    <row r="31" spans="2:40" ht="14.7" thickBot="1" x14ac:dyDescent="0.6">
      <c r="B31" s="2">
        <v>2036</v>
      </c>
      <c r="C31" s="76">
        <v>5177810.9075559201</v>
      </c>
      <c r="D31" s="77">
        <v>4697232.3881711178</v>
      </c>
      <c r="F31" s="13">
        <v>2032</v>
      </c>
      <c r="G31" s="21"/>
      <c r="H31" s="21">
        <v>4595762.6082629291</v>
      </c>
      <c r="I31" s="30"/>
      <c r="K31" s="13">
        <v>2032</v>
      </c>
      <c r="L31" s="148">
        <v>9434.6404087002247</v>
      </c>
      <c r="M31" s="149">
        <v>11693.511045014029</v>
      </c>
      <c r="N31" s="150">
        <v>15290.467700830988</v>
      </c>
      <c r="P31" s="13">
        <v>2032</v>
      </c>
      <c r="Q31" s="112">
        <v>7190.5619591547093</v>
      </c>
      <c r="R31" s="20">
        <v>9404.6587307339323</v>
      </c>
      <c r="S31" s="113">
        <v>12980.586182770952</v>
      </c>
      <c r="U31" s="282" t="s">
        <v>51</v>
      </c>
      <c r="V31" s="283"/>
      <c r="W31" s="283"/>
      <c r="X31" s="284"/>
      <c r="Z31" s="64">
        <v>2037</v>
      </c>
      <c r="AA31" s="68">
        <v>5200000</v>
      </c>
      <c r="AB31" s="68">
        <v>1400000</v>
      </c>
      <c r="AC31" s="68">
        <v>54000</v>
      </c>
      <c r="AD31" s="68">
        <v>130000000</v>
      </c>
      <c r="AF31" s="97">
        <v>2037</v>
      </c>
      <c r="AG31" s="95">
        <v>18000</v>
      </c>
      <c r="AH31" s="95">
        <v>14000</v>
      </c>
      <c r="AI31" s="95">
        <v>12000</v>
      </c>
      <c r="AK31" s="4">
        <v>2037</v>
      </c>
      <c r="AL31" s="82">
        <v>14000</v>
      </c>
      <c r="AM31" s="82">
        <v>10000</v>
      </c>
      <c r="AN31" s="82">
        <v>7800</v>
      </c>
    </row>
    <row r="32" spans="2:40" ht="14.7" thickBot="1" x14ac:dyDescent="0.6">
      <c r="B32" s="2">
        <v>2037</v>
      </c>
      <c r="C32" s="76">
        <v>5208632.2195946937</v>
      </c>
      <c r="D32" s="77">
        <v>4725193.020133012</v>
      </c>
      <c r="F32" s="13">
        <v>2033</v>
      </c>
      <c r="G32" s="21"/>
      <c r="H32" s="21">
        <v>4630473.8059081007</v>
      </c>
      <c r="I32" s="30"/>
      <c r="K32" s="13">
        <v>2033</v>
      </c>
      <c r="L32" s="148">
        <v>9857.800090981742</v>
      </c>
      <c r="M32" s="149">
        <v>12184.003264977897</v>
      </c>
      <c r="N32" s="150">
        <v>15862.968992024864</v>
      </c>
      <c r="P32" s="13">
        <v>2033</v>
      </c>
      <c r="Q32" s="112">
        <v>7329.8252712496515</v>
      </c>
      <c r="R32" s="20">
        <v>9607.0034256996914</v>
      </c>
      <c r="S32" s="113">
        <v>13267.587738846294</v>
      </c>
      <c r="U32" s="47" t="s">
        <v>18</v>
      </c>
      <c r="V32" s="49" t="s">
        <v>8</v>
      </c>
      <c r="W32" s="49" t="s">
        <v>8</v>
      </c>
      <c r="X32" s="50" t="s">
        <v>8</v>
      </c>
      <c r="Z32" s="65">
        <v>2038</v>
      </c>
      <c r="AA32" s="69">
        <v>5200000</v>
      </c>
      <c r="AB32" s="69">
        <v>1500000</v>
      </c>
      <c r="AC32" s="69">
        <v>55000</v>
      </c>
      <c r="AD32" s="69">
        <v>130000000</v>
      </c>
      <c r="AF32" s="98">
        <v>2038</v>
      </c>
      <c r="AG32" s="96">
        <v>19000</v>
      </c>
      <c r="AH32" s="96">
        <v>15000</v>
      </c>
      <c r="AI32" s="96">
        <v>12000</v>
      </c>
      <c r="AK32" s="116">
        <v>2038</v>
      </c>
      <c r="AL32" s="83">
        <v>15000</v>
      </c>
      <c r="AM32" s="83">
        <v>10000</v>
      </c>
      <c r="AN32" s="83">
        <v>7900</v>
      </c>
    </row>
    <row r="33" spans="2:41" ht="15" thickTop="1" thickBot="1" x14ac:dyDescent="0.6">
      <c r="B33" s="78">
        <v>2038</v>
      </c>
      <c r="C33" s="79">
        <v>5248738.8936534841</v>
      </c>
      <c r="D33" s="80">
        <v>4761577.193239036</v>
      </c>
      <c r="F33" s="13">
        <v>2034</v>
      </c>
      <c r="G33" s="21"/>
      <c r="H33" s="21">
        <v>4635131.0738590118</v>
      </c>
      <c r="I33" s="30"/>
      <c r="K33" s="13">
        <v>2034</v>
      </c>
      <c r="L33" s="148">
        <v>10224.544680268637</v>
      </c>
      <c r="M33" s="149">
        <v>12598.834921458534</v>
      </c>
      <c r="N33" s="150">
        <v>16340.972527033366</v>
      </c>
      <c r="P33" s="13">
        <v>2034</v>
      </c>
      <c r="Q33" s="112">
        <v>7417.0930428511674</v>
      </c>
      <c r="R33" s="20">
        <v>9739.3091724018723</v>
      </c>
      <c r="S33" s="113">
        <v>13465.40284054083</v>
      </c>
      <c r="U33" s="48" t="s">
        <v>12</v>
      </c>
      <c r="V33" s="51">
        <v>2.5000000000000001E-2</v>
      </c>
      <c r="W33" s="51">
        <v>0.02</v>
      </c>
      <c r="X33" s="52">
        <v>1.4999999999999999E-2</v>
      </c>
      <c r="Z33" s="66" t="s">
        <v>20</v>
      </c>
      <c r="AA33" s="70">
        <v>58000000</v>
      </c>
      <c r="AB33" s="70">
        <v>16000000</v>
      </c>
      <c r="AC33" s="70">
        <v>590000</v>
      </c>
      <c r="AD33" s="70">
        <v>1500000000</v>
      </c>
      <c r="AK33" s="3" t="s">
        <v>52</v>
      </c>
      <c r="AL33" s="82">
        <v>150000</v>
      </c>
      <c r="AM33" s="82">
        <v>110000</v>
      </c>
      <c r="AN33" s="82">
        <v>83000</v>
      </c>
    </row>
    <row r="34" spans="2:41" ht="15" thickTop="1" thickBot="1" x14ac:dyDescent="0.6">
      <c r="B34" s="2" t="s">
        <v>20</v>
      </c>
      <c r="C34" s="60">
        <v>58245502.444187991</v>
      </c>
      <c r="D34" s="60">
        <v>52839446.134830676</v>
      </c>
      <c r="F34" s="13">
        <v>2035</v>
      </c>
      <c r="G34" s="21"/>
      <c r="H34" s="21">
        <v>4664274.8885775078</v>
      </c>
      <c r="I34" s="30"/>
      <c r="K34" s="13">
        <v>2035</v>
      </c>
      <c r="L34" s="148">
        <v>10647.905796487365</v>
      </c>
      <c r="M34" s="149">
        <v>13083.159651369255</v>
      </c>
      <c r="N34" s="150">
        <v>16908.671850626066</v>
      </c>
      <c r="P34" s="13">
        <v>2035</v>
      </c>
      <c r="Q34" s="112">
        <v>7535.8125100642319</v>
      </c>
      <c r="R34" s="20">
        <v>9915.3999424739904</v>
      </c>
      <c r="S34" s="113">
        <v>13727.293025135677</v>
      </c>
      <c r="U34" s="44" t="s">
        <v>48</v>
      </c>
      <c r="V34" s="55">
        <v>0</v>
      </c>
      <c r="W34" s="55">
        <v>0</v>
      </c>
      <c r="X34" s="55">
        <v>0</v>
      </c>
      <c r="Z34" s="63" t="s">
        <v>53</v>
      </c>
      <c r="AK34" s="81" t="s">
        <v>54</v>
      </c>
      <c r="AL34" s="84">
        <v>11000</v>
      </c>
      <c r="AM34" s="84">
        <v>8500</v>
      </c>
      <c r="AN34" s="84">
        <v>6700</v>
      </c>
    </row>
    <row r="35" spans="2:41" ht="15" thickTop="1" thickBot="1" x14ac:dyDescent="0.6">
      <c r="F35" s="13">
        <v>2036</v>
      </c>
      <c r="G35" s="21"/>
      <c r="H35" s="21">
        <v>4697232.3881711178</v>
      </c>
      <c r="I35" s="30"/>
      <c r="K35" s="13">
        <v>2036</v>
      </c>
      <c r="L35" s="148">
        <v>11084.753828805038</v>
      </c>
      <c r="M35" s="149">
        <v>13578.939341099942</v>
      </c>
      <c r="N35" s="150">
        <v>17496.386846470188</v>
      </c>
      <c r="P35" s="13">
        <v>2036</v>
      </c>
      <c r="Q35" s="112">
        <v>7653.6407248289506</v>
      </c>
      <c r="R35" s="20">
        <v>10089.351948057854</v>
      </c>
      <c r="S35" s="113">
        <v>13994.511349633423</v>
      </c>
      <c r="U35" s="45" t="s">
        <v>49</v>
      </c>
      <c r="V35" s="54">
        <v>0</v>
      </c>
      <c r="W35" s="54">
        <v>0</v>
      </c>
      <c r="X35" s="54">
        <v>0</v>
      </c>
      <c r="AK35" s="63"/>
    </row>
    <row r="36" spans="2:41" ht="14.7" thickBot="1" x14ac:dyDescent="0.6">
      <c r="F36" s="13">
        <v>2037</v>
      </c>
      <c r="G36" s="21"/>
      <c r="H36" s="21">
        <v>4725193.020133012</v>
      </c>
      <c r="I36" s="30"/>
      <c r="K36" s="13">
        <v>2037</v>
      </c>
      <c r="L36" s="148">
        <v>11509.83609070487</v>
      </c>
      <c r="M36" s="149">
        <v>14070.16834913152</v>
      </c>
      <c r="N36" s="150">
        <v>18071.56193333929</v>
      </c>
      <c r="P36" s="13">
        <v>2037</v>
      </c>
      <c r="Q36" s="112">
        <v>7753.3125712136525</v>
      </c>
      <c r="R36" s="20">
        <v>10249.355232179376</v>
      </c>
      <c r="S36" s="113">
        <v>14240.951732465326</v>
      </c>
    </row>
    <row r="37" spans="2:41" ht="14.7" thickBot="1" x14ac:dyDescent="0.6">
      <c r="F37" s="13">
        <v>2038</v>
      </c>
      <c r="G37" s="21"/>
      <c r="H37" s="21">
        <v>4761577.193239036</v>
      </c>
      <c r="I37" s="30"/>
      <c r="K37" s="13">
        <v>2038</v>
      </c>
      <c r="L37" s="148">
        <v>11965.026326746538</v>
      </c>
      <c r="M37" s="149">
        <v>14592.068634936371</v>
      </c>
      <c r="N37" s="150">
        <v>18680.66757612627</v>
      </c>
      <c r="P37" s="13">
        <v>2038</v>
      </c>
      <c r="Q37" s="112">
        <v>7863.3561597051039</v>
      </c>
      <c r="R37" s="20">
        <v>10421.109127990376</v>
      </c>
      <c r="S37" s="113">
        <v>14503.394960794521</v>
      </c>
      <c r="U37" s="285" t="s">
        <v>55</v>
      </c>
      <c r="V37" s="286"/>
      <c r="W37" s="286"/>
      <c r="X37" s="287"/>
    </row>
    <row r="38" spans="2:41" x14ac:dyDescent="0.55000000000000004">
      <c r="F38" s="13">
        <v>2039</v>
      </c>
      <c r="G38" s="21"/>
      <c r="H38" s="21"/>
      <c r="I38" s="30"/>
      <c r="K38" s="13">
        <v>2039</v>
      </c>
      <c r="L38" s="17" t="str">
        <f>IF(ISBLANK(H38),"", (#REF!*(HLOOKUP(#REF!,#REF!,2)/#REF!)*#REF!)/1000000)</f>
        <v/>
      </c>
      <c r="M38" s="18" t="str">
        <f>IF(ISBLANK(H38),"",(#REF!*(HLOOKUP(#REF!,#REF!,2)/#REF!)*#REF!)/1000000)</f>
        <v/>
      </c>
      <c r="N38" s="19" t="str">
        <f>IF(ISBLANK(H38),"",(#REF!*(HLOOKUP(#REF!,#REF!,2)/#REF!)*#REF!)/1000000)</f>
        <v/>
      </c>
      <c r="P38" s="13">
        <v>2039</v>
      </c>
      <c r="Q38" s="112" t="s">
        <v>46</v>
      </c>
      <c r="R38" s="20" t="s">
        <v>46</v>
      </c>
      <c r="S38" s="113" t="s">
        <v>46</v>
      </c>
      <c r="U38" s="47" t="s">
        <v>18</v>
      </c>
      <c r="V38" s="49" t="s">
        <v>19</v>
      </c>
      <c r="W38" s="49" t="s">
        <v>20</v>
      </c>
      <c r="X38" s="50" t="s">
        <v>20</v>
      </c>
    </row>
    <row r="39" spans="2:41" ht="14.7" thickBot="1" x14ac:dyDescent="0.6">
      <c r="F39" s="13">
        <v>2040</v>
      </c>
      <c r="G39" s="21"/>
      <c r="H39" s="21"/>
      <c r="I39" s="30"/>
      <c r="K39" s="13">
        <v>2040</v>
      </c>
      <c r="L39" s="17" t="str">
        <f>IF(ISBLANK(H39),"", (#REF!*(HLOOKUP(#REF!,#REF!,2)/#REF!)*#REF!)/1000000)</f>
        <v/>
      </c>
      <c r="M39" s="18" t="str">
        <f>IF(ISBLANK(H39),"",(#REF!*(HLOOKUP(#REF!,#REF!,2)/#REF!)*#REF!)/1000000)</f>
        <v/>
      </c>
      <c r="N39" s="19" t="str">
        <f>IF(ISBLANK(H39),"",(#REF!*(HLOOKUP(#REF!,#REF!,2)/#REF!)*#REF!)/1000000)</f>
        <v/>
      </c>
      <c r="P39" s="13">
        <v>2040</v>
      </c>
      <c r="Q39" s="112" t="s">
        <v>46</v>
      </c>
      <c r="R39" s="20" t="s">
        <v>46</v>
      </c>
      <c r="S39" s="113" t="s">
        <v>46</v>
      </c>
      <c r="U39" s="48" t="s">
        <v>12</v>
      </c>
      <c r="V39" s="51">
        <v>2.5000000000000001E-2</v>
      </c>
      <c r="W39" s="51">
        <v>0.02</v>
      </c>
      <c r="X39" s="52">
        <v>1.4999999999999999E-2</v>
      </c>
    </row>
    <row r="40" spans="2:41" ht="14.7" thickBot="1" x14ac:dyDescent="0.6">
      <c r="F40" s="5" t="s">
        <v>10</v>
      </c>
      <c r="G40" s="27">
        <v>0</v>
      </c>
      <c r="H40" s="27">
        <v>52839446.134830676</v>
      </c>
      <c r="I40" s="28">
        <v>0</v>
      </c>
      <c r="P40" s="1" t="s">
        <v>10</v>
      </c>
      <c r="Q40" s="114">
        <v>83071.255437282205</v>
      </c>
      <c r="R40" s="25">
        <v>108956.7801593788</v>
      </c>
      <c r="S40" s="26">
        <v>150658.80298402681</v>
      </c>
      <c r="U40" s="43" t="s">
        <v>48</v>
      </c>
      <c r="V40" s="56">
        <v>83071.255437282205</v>
      </c>
      <c r="W40" s="56">
        <v>108956.7801593788</v>
      </c>
      <c r="X40" s="57">
        <v>150658.80298402681</v>
      </c>
    </row>
    <row r="41" spans="2:41" ht="14.7" thickBot="1" x14ac:dyDescent="0.6">
      <c r="U41" s="45" t="s">
        <v>49</v>
      </c>
      <c r="V41" s="58">
        <v>6709.3709014209689</v>
      </c>
      <c r="W41" s="58">
        <v>8479.6128707696844</v>
      </c>
      <c r="X41" s="59">
        <v>11291.026913502747</v>
      </c>
    </row>
    <row r="44" spans="2:41" x14ac:dyDescent="0.55000000000000004">
      <c r="W44"/>
      <c r="X44"/>
    </row>
    <row r="45" spans="2:41" x14ac:dyDescent="0.55000000000000004">
      <c r="R45" s="92"/>
      <c r="S45" s="92"/>
      <c r="T45" s="92"/>
      <c r="U45" s="92"/>
      <c r="V45"/>
      <c r="W45"/>
      <c r="X45"/>
      <c r="AA45" s="92"/>
      <c r="AF45"/>
      <c r="AG45"/>
      <c r="AH45"/>
      <c r="AI45"/>
      <c r="AO45"/>
    </row>
    <row r="46" spans="2:41" x14ac:dyDescent="0.55000000000000004">
      <c r="S46" s="92"/>
      <c r="V46"/>
      <c r="W46"/>
      <c r="X46"/>
      <c r="AF46"/>
      <c r="AG46"/>
      <c r="AH46"/>
      <c r="AI46"/>
      <c r="AO46"/>
    </row>
    <row r="47" spans="2:41" x14ac:dyDescent="0.55000000000000004">
      <c r="S47" s="92"/>
      <c r="V47"/>
      <c r="W47"/>
      <c r="X47"/>
      <c r="AF47"/>
      <c r="AG47"/>
      <c r="AH47"/>
      <c r="AI47"/>
      <c r="AO47"/>
    </row>
    <row r="48" spans="2:41" x14ac:dyDescent="0.55000000000000004">
      <c r="S48" s="92"/>
      <c r="V48"/>
      <c r="W48"/>
      <c r="X48"/>
      <c r="AF48"/>
      <c r="AG48"/>
      <c r="AH48"/>
      <c r="AI48"/>
      <c r="AO48"/>
    </row>
    <row r="53" spans="7:41" x14ac:dyDescent="0.55000000000000004">
      <c r="K53" s="235"/>
    </row>
    <row r="63" spans="7:41" x14ac:dyDescent="0.55000000000000004">
      <c r="R63" s="61"/>
      <c r="S63" s="61"/>
      <c r="T63" s="61"/>
      <c r="V63"/>
      <c r="W63"/>
      <c r="X63"/>
      <c r="AB63" s="92"/>
      <c r="AC63" s="92"/>
      <c r="AD63" s="92"/>
      <c r="AE63" s="92"/>
      <c r="AF63"/>
      <c r="AG63"/>
      <c r="AH63"/>
      <c r="AI63"/>
      <c r="AK63" s="92"/>
      <c r="AO63"/>
    </row>
    <row r="64" spans="7:41" x14ac:dyDescent="0.55000000000000004">
      <c r="G64" s="2"/>
      <c r="P64" s="2"/>
      <c r="R64" s="61"/>
      <c r="S64" s="61"/>
      <c r="T64" s="61"/>
      <c r="V64"/>
      <c r="W64"/>
      <c r="X64"/>
      <c r="AB64" s="92"/>
      <c r="AC64" s="92"/>
      <c r="AD64" s="92"/>
      <c r="AE64" s="92"/>
      <c r="AF64"/>
      <c r="AG64"/>
      <c r="AH64"/>
      <c r="AI64"/>
      <c r="AK64" s="92"/>
      <c r="AO64"/>
    </row>
    <row r="65" spans="15:41" x14ac:dyDescent="0.55000000000000004">
      <c r="R65" s="61"/>
      <c r="S65" s="61"/>
      <c r="T65" s="61"/>
      <c r="V65"/>
      <c r="W65"/>
      <c r="X65"/>
      <c r="AB65" s="92"/>
      <c r="AC65" s="92"/>
      <c r="AD65" s="92"/>
      <c r="AE65" s="92"/>
      <c r="AF65"/>
      <c r="AG65"/>
      <c r="AH65"/>
      <c r="AI65"/>
      <c r="AK65" s="92"/>
      <c r="AO65"/>
    </row>
    <row r="66" spans="15:41" x14ac:dyDescent="0.55000000000000004">
      <c r="R66" s="61"/>
      <c r="S66" s="61"/>
      <c r="T66" s="61"/>
      <c r="V66"/>
      <c r="W66"/>
      <c r="X66"/>
      <c r="AB66" s="92"/>
      <c r="AC66" s="92"/>
      <c r="AD66" s="92"/>
      <c r="AE66" s="92"/>
      <c r="AF66"/>
      <c r="AG66"/>
      <c r="AH66"/>
      <c r="AI66"/>
      <c r="AK66" s="92"/>
      <c r="AO66"/>
    </row>
    <row r="67" spans="15:41" x14ac:dyDescent="0.55000000000000004">
      <c r="R67" s="61"/>
      <c r="S67" s="61"/>
      <c r="T67" s="61"/>
      <c r="V67"/>
      <c r="W67"/>
      <c r="X67"/>
      <c r="AB67" s="92"/>
      <c r="AC67" s="92"/>
      <c r="AD67" s="92"/>
      <c r="AE67" s="92"/>
      <c r="AF67"/>
      <c r="AG67"/>
      <c r="AH67"/>
      <c r="AI67"/>
      <c r="AK67" s="92"/>
      <c r="AO67"/>
    </row>
    <row r="75" spans="15:41" x14ac:dyDescent="0.55000000000000004">
      <c r="O75" s="2"/>
      <c r="Y75" s="2"/>
    </row>
  </sheetData>
  <sheetProtection sheet="1" objects="1" scenarios="1"/>
  <mergeCells count="27">
    <mergeCell ref="U25:X25"/>
    <mergeCell ref="Q16:S16"/>
    <mergeCell ref="Q14:S14"/>
    <mergeCell ref="Z4:AD10"/>
    <mergeCell ref="AF4:AI10"/>
    <mergeCell ref="B4:D10"/>
    <mergeCell ref="U4:W10"/>
    <mergeCell ref="K4:N10"/>
    <mergeCell ref="P4:S10"/>
    <mergeCell ref="U19:X19"/>
    <mergeCell ref="L17:N17"/>
    <mergeCell ref="U31:X31"/>
    <mergeCell ref="U37:X37"/>
    <mergeCell ref="F4:I10"/>
    <mergeCell ref="AK15:AN15"/>
    <mergeCell ref="AL16:AN16"/>
    <mergeCell ref="AA16:AD16"/>
    <mergeCell ref="Z15:AD15"/>
    <mergeCell ref="U14:X14"/>
    <mergeCell ref="G12:H12"/>
    <mergeCell ref="G13:H13"/>
    <mergeCell ref="AG16:AI16"/>
    <mergeCell ref="AF15:AI15"/>
    <mergeCell ref="G15:I15"/>
    <mergeCell ref="L15:N15"/>
    <mergeCell ref="Q15:S15"/>
    <mergeCell ref="AK4:AN10"/>
  </mergeCells>
  <pageMargins left="0.7" right="0.7" top="0.75" bottom="0.75" header="0.3" footer="0.3"/>
  <pageSetup orientation="portrait"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DC9A74-FBC9-4528-8EB3-185BC1390229}">
  <dimension ref="A1:B4"/>
  <sheetViews>
    <sheetView workbookViewId="0">
      <pane ySplit="1" topLeftCell="A2" activePane="bottomLeft" state="frozen"/>
      <selection pane="bottomLeft" activeCell="A2" sqref="A2"/>
    </sheetView>
  </sheetViews>
  <sheetFormatPr defaultColWidth="8.89453125" defaultRowHeight="18.3" x14ac:dyDescent="0.7"/>
  <cols>
    <col min="1" max="1" width="14.1015625" style="190" customWidth="1"/>
    <col min="2" max="2" width="150.62890625" style="120" customWidth="1"/>
    <col min="3" max="16384" width="8.89453125" style="88"/>
  </cols>
  <sheetData>
    <row r="1" spans="1:2" x14ac:dyDescent="0.7">
      <c r="A1" s="189" t="s">
        <v>73</v>
      </c>
    </row>
    <row r="3" spans="1:2" x14ac:dyDescent="0.7">
      <c r="A3" s="190" t="s">
        <v>74</v>
      </c>
      <c r="B3" s="120" t="s">
        <v>75</v>
      </c>
    </row>
    <row r="4" spans="1:2" ht="73.2" x14ac:dyDescent="0.7">
      <c r="A4" s="190" t="s">
        <v>68</v>
      </c>
      <c r="B4" s="120" t="s">
        <v>76</v>
      </c>
    </row>
  </sheetData>
  <sheetProtection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AABDF6-032A-41C3-8DF3-D595F928BB59}">
  <dimension ref="A1:C26"/>
  <sheetViews>
    <sheetView workbookViewId="0">
      <pane ySplit="1" topLeftCell="A2" activePane="bottomLeft" state="frozen"/>
      <selection pane="bottomLeft" activeCell="A2" sqref="A2"/>
    </sheetView>
  </sheetViews>
  <sheetFormatPr defaultColWidth="8.89453125" defaultRowHeight="18.3" x14ac:dyDescent="0.7"/>
  <cols>
    <col min="1" max="1" width="9.1015625" style="233" bestFit="1" customWidth="1"/>
    <col min="2" max="2" width="13.3671875" style="234" bestFit="1" customWidth="1"/>
    <col min="3" max="3" width="150.62890625" style="120" customWidth="1"/>
    <col min="4" max="16384" width="8.89453125" style="88"/>
  </cols>
  <sheetData>
    <row r="1" spans="1:3" s="186" customFormat="1" x14ac:dyDescent="0.7">
      <c r="A1" s="187" t="s">
        <v>60</v>
      </c>
      <c r="B1" s="229" t="s">
        <v>87</v>
      </c>
      <c r="C1" s="188" t="s">
        <v>61</v>
      </c>
    </row>
    <row r="3" spans="1:3" x14ac:dyDescent="0.7">
      <c r="A3" s="233" t="s">
        <v>115</v>
      </c>
      <c r="B3" s="234">
        <v>45511</v>
      </c>
      <c r="C3" s="87" t="s">
        <v>110</v>
      </c>
    </row>
    <row r="4" spans="1:3" x14ac:dyDescent="0.7">
      <c r="A4" s="237"/>
      <c r="B4" s="238"/>
      <c r="C4" s="120" t="s">
        <v>111</v>
      </c>
    </row>
    <row r="5" spans="1:3" ht="36.6" x14ac:dyDescent="0.7">
      <c r="A5" s="237"/>
      <c r="B5" s="238"/>
      <c r="C5" s="120" t="s">
        <v>113</v>
      </c>
    </row>
    <row r="6" spans="1:3" ht="36.6" x14ac:dyDescent="0.7">
      <c r="A6" s="237"/>
      <c r="B6" s="238"/>
      <c r="C6" s="120" t="s">
        <v>116</v>
      </c>
    </row>
    <row r="7" spans="1:3" x14ac:dyDescent="0.7">
      <c r="A7" s="237"/>
      <c r="B7" s="238"/>
      <c r="C7" s="120" t="s">
        <v>112</v>
      </c>
    </row>
    <row r="8" spans="1:3" x14ac:dyDescent="0.7">
      <c r="A8" s="237"/>
      <c r="B8" s="238"/>
    </row>
    <row r="9" spans="1:3" x14ac:dyDescent="0.7">
      <c r="A9" s="233" t="s">
        <v>88</v>
      </c>
      <c r="B9" s="234">
        <v>45363</v>
      </c>
      <c r="C9" s="87" t="s">
        <v>93</v>
      </c>
    </row>
    <row r="10" spans="1:3" x14ac:dyDescent="0.7">
      <c r="C10" s="120" t="s">
        <v>114</v>
      </c>
    </row>
    <row r="11" spans="1:3" ht="91.5" x14ac:dyDescent="0.7">
      <c r="C11" s="120" t="s">
        <v>90</v>
      </c>
    </row>
    <row r="12" spans="1:3" ht="36.6" x14ac:dyDescent="0.7">
      <c r="C12" s="120" t="s">
        <v>91</v>
      </c>
    </row>
    <row r="13" spans="1:3" x14ac:dyDescent="0.7">
      <c r="C13" s="120" t="s">
        <v>92</v>
      </c>
    </row>
    <row r="14" spans="1:3" x14ac:dyDescent="0.7">
      <c r="C14" s="120" t="s">
        <v>108</v>
      </c>
    </row>
    <row r="15" spans="1:3" x14ac:dyDescent="0.7">
      <c r="C15" s="120" t="s">
        <v>109</v>
      </c>
    </row>
    <row r="16" spans="1:3" ht="54.9" x14ac:dyDescent="0.7">
      <c r="C16" s="120" t="s">
        <v>94</v>
      </c>
    </row>
    <row r="18" spans="1:3" x14ac:dyDescent="0.7">
      <c r="A18" s="233" t="s">
        <v>62</v>
      </c>
      <c r="B18" s="234">
        <v>45356</v>
      </c>
      <c r="C18" s="87" t="s">
        <v>63</v>
      </c>
    </row>
    <row r="19" spans="1:3" x14ac:dyDescent="0.7">
      <c r="C19" s="120" t="s">
        <v>78</v>
      </c>
    </row>
    <row r="20" spans="1:3" x14ac:dyDescent="0.7">
      <c r="C20" s="120" t="s">
        <v>80</v>
      </c>
    </row>
    <row r="21" spans="1:3" x14ac:dyDescent="0.7">
      <c r="C21" s="120" t="s">
        <v>64</v>
      </c>
    </row>
    <row r="22" spans="1:3" x14ac:dyDescent="0.7">
      <c r="C22" s="120" t="s">
        <v>67</v>
      </c>
    </row>
    <row r="23" spans="1:3" x14ac:dyDescent="0.7">
      <c r="C23" s="120" t="s">
        <v>79</v>
      </c>
    </row>
    <row r="24" spans="1:3" x14ac:dyDescent="0.7">
      <c r="C24" s="120" t="s">
        <v>81</v>
      </c>
    </row>
    <row r="25" spans="1:3" x14ac:dyDescent="0.7">
      <c r="C25" s="120" t="s">
        <v>65</v>
      </c>
    </row>
    <row r="26" spans="1:3" x14ac:dyDescent="0.7">
      <c r="C26" s="120" t="s">
        <v>66</v>
      </c>
    </row>
  </sheetData>
  <sheetProtection sheet="1" objects="1" scenarios="1"/>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j747ac98061d40f0aa7bd47e1db5675d xmlns="4ffa91fb-a0ff-4ac5-b2db-65c790d184a4" xsi:nil="true"/>
    <e3f09c3df709400db2417a7161762d62 xmlns="c8371a8a-5c42-46d7-825e-59f4a08af5ed" xsi:nil="true"/>
    <TaxKeywordTaxHTField xmlns="4ffa91fb-a0ff-4ac5-b2db-65c790d184a4" xsi:nil="true"/>
    <TaxCatchAll xmlns="4ffa91fb-a0ff-4ac5-b2db-65c790d184a4" xsi:nil="true"/>
    <lcf76f155ced4ddcb4097134ff3c332f xmlns="f39c2a80-f949-44fc-851c-4d7eb03be473">
      <Terms xmlns="http://schemas.microsoft.com/office/infopath/2007/PartnerControls"/>
    </lcf76f155ced4ddcb4097134ff3c332f>
    <SharedWithUsers xmlns="c8371a8a-5c42-46d7-825e-59f4a08af5ed">
      <UserInfo>
        <DisplayName>Smith, David</DisplayName>
        <AccountId>64</AccountId>
        <AccountType/>
      </UserInfo>
      <UserInfo>
        <DisplayName>Griffiths, Charles</DisplayName>
        <AccountId>30</AccountId>
        <AccountType/>
      </UserInfo>
      <UserInfo>
        <DisplayName>Kopits, Elizabeth</DisplayName>
        <AccountId>12</AccountId>
        <AccountType/>
      </UserInfo>
      <UserInfo>
        <DisplayName>Marten, Alex</DisplayName>
        <AccountId>34</AccountId>
        <AccountType/>
      </UserInfo>
      <UserInfo>
        <DisplayName>McGartland, Al</DisplayName>
        <AccountId>63</AccountId>
        <AccountType/>
      </UserInfo>
      <UserInfo>
        <DisplayName>Parthum, Bryan</DisplayName>
        <AccountId>9</AccountId>
        <AccountType/>
      </UserInfo>
      <UserInfo>
        <DisplayName>Spink, Elizabeth</DisplayName>
        <AccountId>523</AccountId>
        <AccountType/>
      </UserInfo>
      <UserInfo>
        <DisplayName>Davis, Wade</DisplayName>
        <AccountId>148</AccountId>
        <AccountType/>
      </UserInfo>
      <UserInfo>
        <DisplayName>Rennels, Lisa</DisplayName>
        <AccountId>502</AccountId>
        <AccountType/>
      </UserInfo>
      <UserInfo>
        <DisplayName>Burns, Nshan</DisplayName>
        <AccountId>530</AccountId>
        <AccountType/>
      </UserInfo>
      <UserInfo>
        <DisplayName>Kraynak, Daniel</DisplayName>
        <AccountId>1011</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300B750E76E2541BAB6E3936ED1EB6A" ma:contentTypeVersion="18" ma:contentTypeDescription="Create a new document." ma:contentTypeScope="" ma:versionID="b64e55d1b305d84b035f9c3d76bace05">
  <xsd:schema xmlns:xsd="http://www.w3.org/2001/XMLSchema" xmlns:xs="http://www.w3.org/2001/XMLSchema" xmlns:p="http://schemas.microsoft.com/office/2006/metadata/properties" xmlns:ns2="4ffa91fb-a0ff-4ac5-b2db-65c790d184a4" xmlns:ns3="c8371a8a-5c42-46d7-825e-59f4a08af5ed" xmlns:ns4="f39c2a80-f949-44fc-851c-4d7eb03be473" targetNamespace="http://schemas.microsoft.com/office/2006/metadata/properties" ma:root="true" ma:fieldsID="c17d63e5f53cc62b44c0a136c429621a" ns2:_="" ns3:_="" ns4:_="">
    <xsd:import namespace="4ffa91fb-a0ff-4ac5-b2db-65c790d184a4"/>
    <xsd:import namespace="c8371a8a-5c42-46d7-825e-59f4a08af5ed"/>
    <xsd:import namespace="f39c2a80-f949-44fc-851c-4d7eb03be473"/>
    <xsd:element name="properties">
      <xsd:complexType>
        <xsd:sequence>
          <xsd:element name="documentManagement">
            <xsd:complexType>
              <xsd:all>
                <xsd:element ref="ns2:TaxKeywordTaxHTField" minOccurs="0"/>
                <xsd:element ref="ns2:TaxCatchAll" minOccurs="0"/>
                <xsd:element ref="ns3:e3f09c3df709400db2417a7161762d62" minOccurs="0"/>
                <xsd:element ref="ns2:j747ac98061d40f0aa7bd47e1db5675d"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DateTaken" minOccurs="0"/>
                <xsd:element ref="ns3:SharedWithUsers" minOccurs="0"/>
                <xsd:element ref="ns3:SharedWithDetails" minOccurs="0"/>
                <xsd:element ref="ns4:MediaLengthInSeconds" minOccurs="0"/>
                <xsd:element ref="ns4:lcf76f155ced4ddcb4097134ff3c332f"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TaxKeywordTaxHTField" ma:index="8" nillable="true" ma:displayName="TaxKeywordTaxHTField" ma:hidden="true" ma:internalName="TaxKeywordTaxHTField">
      <xsd:simpleType>
        <xsd:restriction base="dms:Note"/>
      </xsd:simpleType>
    </xsd:element>
    <xsd:element name="TaxCatchAll" ma:index="9" nillable="true" ma:displayName="Taxonomy Catch All Column" ma:hidden="true" ma:list="{a9c8e343-bdfd-405b-93c8-b3b2256bb01e}" ma:internalName="TaxCatchAll" ma:showField="CatchAllData" ma:web="c8371a8a-5c42-46d7-825e-59f4a08af5ed">
      <xsd:complexType>
        <xsd:complexContent>
          <xsd:extension base="dms:MultiChoiceLookup">
            <xsd:sequence>
              <xsd:element name="Value" type="dms:Lookup" maxOccurs="unbounded" minOccurs="0" nillable="true"/>
            </xsd:sequence>
          </xsd:extension>
        </xsd:complexContent>
      </xsd:complexType>
    </xsd:element>
    <xsd:element name="j747ac98061d40f0aa7bd47e1db5675d" ma:index="11" nillable="true" ma:displayName="Document Type_0" ma:hidden="true" ma:internalName="j747ac98061d40f0aa7bd47e1db5675d">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8371a8a-5c42-46d7-825e-59f4a08af5ed" elementFormDefault="qualified">
    <xsd:import namespace="http://schemas.microsoft.com/office/2006/documentManagement/types"/>
    <xsd:import namespace="http://schemas.microsoft.com/office/infopath/2007/PartnerControls"/>
    <xsd:element name="e3f09c3df709400db2417a7161762d62" ma:index="10" nillable="true" ma:displayName="EPA Subject_0" ma:hidden="true" ma:internalName="e3f09c3df709400db2417a7161762d62">
      <xsd:simpleType>
        <xsd:restriction base="dms:Note"/>
      </xsd:simple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39c2a80-f949-44fc-851c-4d7eb03be473" elementFormDefault="qualified">
    <xsd:import namespace="http://schemas.microsoft.com/office/2006/documentManagement/types"/>
    <xsd:import namespace="http://schemas.microsoft.com/office/infopath/2007/PartnerControls"/>
    <xsd:element name="MediaServiceMetadata" ma:index="12" nillable="true" ma:displayName="MediaServiceMetadata" ma:hidden="true" ma:internalName="MediaServiceMetadata" ma:readOnly="true">
      <xsd:simpleType>
        <xsd:restriction base="dms:Note"/>
      </xsd:simpleType>
    </xsd:element>
    <xsd:element name="MediaServiceFastMetadata" ma:index="13"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B325788-8DE6-415A-9782-2FF60DFE967D}">
  <ds:schemaRefs>
    <ds:schemaRef ds:uri="4ffa91fb-a0ff-4ac5-b2db-65c790d184a4"/>
    <ds:schemaRef ds:uri="http://schemas.microsoft.com/office/2006/documentManagement/types"/>
    <ds:schemaRef ds:uri="http://schemas.microsoft.com/office/2006/metadata/properties"/>
    <ds:schemaRef ds:uri="c8371a8a-5c42-46d7-825e-59f4a08af5ed"/>
    <ds:schemaRef ds:uri="http://purl.org/dc/elements/1.1/"/>
    <ds:schemaRef ds:uri="http://purl.org/dc/terms/"/>
    <ds:schemaRef ds:uri="http://www.w3.org/XML/1998/namespace"/>
    <ds:schemaRef ds:uri="http://schemas.microsoft.com/office/infopath/2007/PartnerControls"/>
    <ds:schemaRef ds:uri="http://schemas.openxmlformats.org/package/2006/metadata/core-properties"/>
    <ds:schemaRef ds:uri="f39c2a80-f949-44fc-851c-4d7eb03be473"/>
    <ds:schemaRef ds:uri="http://purl.org/dc/dcmitype/"/>
  </ds:schemaRefs>
</ds:datastoreItem>
</file>

<file path=customXml/itemProps2.xml><?xml version="1.0" encoding="utf-8"?>
<ds:datastoreItem xmlns:ds="http://schemas.openxmlformats.org/officeDocument/2006/customXml" ds:itemID="{B6754E7B-FA6F-417D-9C8D-30C30AF43AF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fa91fb-a0ff-4ac5-b2db-65c790d184a4"/>
    <ds:schemaRef ds:uri="c8371a8a-5c42-46d7-825e-59f4a08af5ed"/>
    <ds:schemaRef ds:uri="f39c2a80-f949-44fc-851c-4d7eb03be4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D5EA54-83A2-46A9-AE8A-0A129392C48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Read Me</vt:lpstr>
      <vt:lpstr>Technical Background</vt:lpstr>
      <vt:lpstr>Instructions</vt:lpstr>
      <vt:lpstr>Data</vt:lpstr>
      <vt:lpstr>Results - Constant Rate</vt:lpstr>
      <vt:lpstr>Example</vt:lpstr>
      <vt:lpstr>FAQs</vt:lpstr>
      <vt:lpstr>Release Notes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EPA National Center for Environmental Economics</dc:creator>
  <cp:keywords/>
  <dc:description/>
  <cp:lastModifiedBy>Griffiths, Charles</cp:lastModifiedBy>
  <cp:revision/>
  <dcterms:created xsi:type="dcterms:W3CDTF">2023-07-07T14:27:06Z</dcterms:created>
  <dcterms:modified xsi:type="dcterms:W3CDTF">2024-11-19T18:20:46Z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0x0101005300B750E76E2541BAB6E3936ED1EB6A</vt:lpwstr>
  </property>
  <property fmtid="{D5CDD505-2E9C-101B-9397-08002B2CF9AE}" pid="3" name="TaxKeyword">
    <vt:lpwstr/>
  </property>
  <property fmtid="{D5CDD505-2E9C-101B-9397-08002B2CF9AE}" pid="4" name="MediaServiceImageTags">
    <vt:lpwstr/>
  </property>
  <property fmtid="{D5CDD505-2E9C-101B-9397-08002B2CF9AE}" pid="5" name="EPA Subject">
    <vt:lpwstr/>
  </property>
  <property fmtid="{D5CDD505-2E9C-101B-9397-08002B2CF9AE}" pid="6" name="Document Type">
    <vt:lpwstr/>
  </property>
</Properties>
</file>