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usepa-my.sharepoint.com/personal/lindsay_sarah_epa_gov/Documents/Desktop/in progress/1,3-butadiene/"/>
    </mc:Choice>
  </mc:AlternateContent>
  <xr:revisionPtr revIDLastSave="72" documentId="8_{C4486C0A-0330-4F00-A241-D3C07953B036}" xr6:coauthVersionLast="47" xr6:coauthVersionMax="47" xr10:uidLastSave="{CC5480C2-10F0-4FE3-9748-D7CD3BFD2339}"/>
  <bookViews>
    <workbookView xWindow="-110" yWindow="-110" windowWidth="19420" windowHeight="10300" xr2:uid="{91155B92-BBD4-4AF8-8324-3251A1B82AD8}"/>
  </bookViews>
  <sheets>
    <sheet name="Cover Page" sheetId="49" r:id="rId1"/>
    <sheet name="README" sheetId="44" r:id="rId2"/>
    <sheet name="Calculation Summary" sheetId="46" r:id="rId3"/>
    <sheet name="Dashboard" sheetId="31" r:id="rId4"/>
    <sheet name="Bridge Table" sheetId="45" r:id="rId5"/>
    <sheet name="Risk Reduction" sheetId="40" r:id="rId6"/>
    <sheet name="Health Data" sheetId="39" r:id="rId7"/>
    <sheet name="Inhalation Exposure" sheetId="48" r:id="rId8"/>
    <sheet name="List Values" sheetId="35" r:id="rId9"/>
    <sheet name="Exposure Factors" sheetId="38" r:id="rId10"/>
  </sheets>
  <externalReferences>
    <externalReference r:id="rId11"/>
    <externalReference r:id="rId12"/>
    <externalReference r:id="rId13"/>
    <externalReference r:id="rId14"/>
    <externalReference r:id="rId15"/>
  </externalReferences>
  <definedNames>
    <definedName name="_2017NEI_Nonpoint_TSCA_Chem_List">#REF!</definedName>
    <definedName name="_2017NEI_tsca_chemicals_wSCCdetail_Query">#REF!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localSheetId="0" hidden="1">-1</definedName>
    <definedName name="_AtRisk_SimSetting_MultipleCPUCount" hidden="1">8</definedName>
    <definedName name="_AtRisk_SimSetting_MultipleCPUManualCount" hidden="1">8</definedName>
    <definedName name="_AtRisk_SimSetting_MultipleCPUMode" localSheetId="0" hidden="1">1</definedName>
    <definedName name="_AtRisk_SimSetting_MultipleCPUMode" hidden="1">2</definedName>
    <definedName name="_AtRisk_SimSetting_MultipleCPUModeV8" localSheetId="0" hidden="1">1</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15</definedName>
    <definedName name="_AtRisk_SimSetting_ReportOptionReportsFileType" hidden="1">1</definedName>
    <definedName name="_AtRisk_SimSetting_ReportOptionSelectiveQR" hidden="1">FALSE</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T">[1]Constants!$C$12</definedName>
    <definedName name="AT_50th_non_cancer">[2]Constants!$C$11</definedName>
    <definedName name="AT_50th_non_cancer_DC">[2]Constants!$C$25</definedName>
    <definedName name="AT_95th_non_cancer">[2]Constants!$C$10</definedName>
    <definedName name="AT_95th_non_cancer_DC">[2]Constants!$C$24</definedName>
    <definedName name="AT_AC" localSheetId="0">[2]Constants!$C$4</definedName>
    <definedName name="AT_AC" localSheetId="7">#REF!</definedName>
    <definedName name="AT_AC">'List Values'!$J$39</definedName>
    <definedName name="AT_AC_DC">[2]Constants!$C$17</definedName>
    <definedName name="AT_ADC_high" localSheetId="0">[1]Constants!$C$18</definedName>
    <definedName name="AT_ADC_high" localSheetId="7">#REF!</definedName>
    <definedName name="AT_ADC_high">'List Values'!$J$30</definedName>
    <definedName name="AT_ADC_mid" localSheetId="0">[1]Constants!$C$17</definedName>
    <definedName name="AT_ADC_mid" localSheetId="7">#REF!</definedName>
    <definedName name="AT_ADC_mid">'List Values'!$J$29</definedName>
    <definedName name="AT_ADC_ST" localSheetId="7">#REF!</definedName>
    <definedName name="AT_ADC_ST">'List Values'!$J$36</definedName>
    <definedName name="AT_cancer" localSheetId="0">[2]Constants!$C$12</definedName>
    <definedName name="AT_cancer">#REF!</definedName>
    <definedName name="AT_cancer_DC">[2]Constants!$C$26</definedName>
    <definedName name="AT_CRD_high">'List Values'!$J$33</definedName>
    <definedName name="AT_CRD_mid">'List Values'!$J$32</definedName>
    <definedName name="AT_CRD_ST">'List Values'!$J$38</definedName>
    <definedName name="AT_LADC" localSheetId="0">[1]Constants!$C$19</definedName>
    <definedName name="AT_LADC" localSheetId="7">#REF!</definedName>
    <definedName name="AT_LADC">'List Values'!$J$31</definedName>
    <definedName name="AT_LCRD">'List Values'!$J$34</definedName>
    <definedName name="AT_non_cancer">#REF!</definedName>
    <definedName name="AWD">[2]Constants!$C$6</definedName>
    <definedName name="AWD_DC_50th">[2]Constants!$C$20</definedName>
    <definedName name="AWD_DC_95th">[2]Constants!$C$19</definedName>
    <definedName name="Breathing_Ratio" localSheetId="7">#REF!</definedName>
    <definedName name="Breathing_Ratio">'List Values'!$J$35</definedName>
    <definedName name="BW_default">'Exposure Factors'!$C$6</definedName>
    <definedName name="BW_women">'Exposure Factors'!$D$6</definedName>
    <definedName name="CASRN">'[3]Table 1_Scoping'!#REF!</definedName>
    <definedName name="ED">[1]Constants!$C$11</definedName>
    <definedName name="ED_12">#REF!</definedName>
    <definedName name="ED_24" localSheetId="7">#REF!</definedName>
    <definedName name="ED_24">'List Values'!$J$20</definedName>
    <definedName name="ED_8" localSheetId="7">#REF!</definedName>
    <definedName name="ED_8">'List Values'!$J$18</definedName>
    <definedName name="ED_AC">[2]Constants!$C$3</definedName>
    <definedName name="ED_AC_DC">[2]Constants!$C$16</definedName>
    <definedName name="ED_chronic">[2]Constants!$C$5</definedName>
    <definedName name="ED_chronic_DC">[2]Constants!$C$18</definedName>
    <definedName name="EF" localSheetId="0">[1]Constants!$C$13</definedName>
    <definedName name="EF" localSheetId="7">#REF!</definedName>
    <definedName name="EF">'List Values'!$J$21</definedName>
    <definedName name="EF_12">#REF!</definedName>
    <definedName name="EF_14">[4]Constants!$C$10</definedName>
    <definedName name="EF_5">[4]Constants!$C$9</definedName>
    <definedName name="EF_C" localSheetId="7">#REF!</definedName>
    <definedName name="EF_C">'List Values'!$J$25</definedName>
    <definedName name="EF_ST" localSheetId="7">#REF!</definedName>
    <definedName name="EF_ST">'List Values'!$J$37</definedName>
    <definedName name="EG">'[5]For Figure'!$A$4:$A$69</definedName>
    <definedName name="Exposure_Drop_down" localSheetId="6">'Health Data'!$P$11:$P$11</definedName>
    <definedName name="LT" localSheetId="7">#REF!</definedName>
    <definedName name="LT">'List Values'!$J$28</definedName>
    <definedName name="LT_non_cancer">#REF!</definedName>
    <definedName name="mg_m3_to_ppm">#REF!</definedName>
    <definedName name="MW">'List Values'!$I$8</definedName>
    <definedName name="Pal_Workbook_GUID" localSheetId="0" hidden="1">"SK39RLEDQA2L46YW8H5SUKN3"</definedName>
    <definedName name="Pal_Workbook_GUID" hidden="1">"QFFA8IQU6YFGRFCXE7L4LIWR"</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localSheetId="0" hidden="1">TRUE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localSheetId="0" hidden="1">TRUE</definedName>
    <definedName name="RiskUseMultipleCPUs" hidden="1">FALSE</definedName>
    <definedName name="solver_adj" localSheetId="5" hidden="1">'Risk Reduction'!#REF!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'Risk Reduction'!#REF!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1</definedName>
    <definedName name="solver_ver" localSheetId="5" hidden="1">3</definedName>
    <definedName name="ug_per_mg">'List Values'!$I$15</definedName>
    <definedName name="WY_50th">[2]Constants!$C$8</definedName>
    <definedName name="WY_50th_DC">[2]Constants!$C$22</definedName>
    <definedName name="WY_95th">[2]Constants!$C$7</definedName>
    <definedName name="WY_95th_DC">[2]Constants!$C$21</definedName>
    <definedName name="WY_CT_default">'Exposure Factors'!$C$10</definedName>
    <definedName name="WY_CT_women">'Exposure Factors'!$D$10</definedName>
    <definedName name="WY_HE_default">'Exposure Factors'!$C$9</definedName>
    <definedName name="WY_HE_women">'Exposure Factors'!$D$9</definedName>
    <definedName name="WY_high" localSheetId="0">[1]Constants!$C$15</definedName>
    <definedName name="WY_high" localSheetId="7">#REF!</definedName>
    <definedName name="WY_high">'List Values'!$J$27</definedName>
    <definedName name="WY_mid" localSheetId="0">[1]Constants!$C$14</definedName>
    <definedName name="WY_mid" localSheetId="7">#REF!</definedName>
    <definedName name="WY_mid">'List Values'!$J$26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31" l="1"/>
  <c r="K20" i="40"/>
  <c r="V28" i="40"/>
  <c r="V20" i="40"/>
  <c r="K28" i="40"/>
  <c r="L9" i="45"/>
  <c r="M9" i="45"/>
  <c r="N5" i="45" l="1"/>
  <c r="M11" i="45" l="1"/>
  <c r="M13" i="45"/>
  <c r="M15" i="45"/>
  <c r="M17" i="45"/>
  <c r="M19" i="45"/>
  <c r="U27" i="40" l="1"/>
  <c r="U26" i="40"/>
  <c r="U25" i="40"/>
  <c r="U24" i="40"/>
  <c r="S30" i="40"/>
  <c r="S26" i="40"/>
  <c r="S24" i="40"/>
  <c r="V13" i="40"/>
  <c r="V12" i="40"/>
  <c r="V23" i="40" s="1"/>
  <c r="V11" i="40"/>
  <c r="V10" i="40"/>
  <c r="V22" i="40" s="1"/>
  <c r="K501" i="45"/>
  <c r="K499" i="45"/>
  <c r="K497" i="45"/>
  <c r="K493" i="45"/>
  <c r="K491" i="45"/>
  <c r="K489" i="45"/>
  <c r="Z23" i="40" l="1"/>
  <c r="Y23" i="40"/>
  <c r="X23" i="40"/>
  <c r="W23" i="40"/>
  <c r="AA23" i="40"/>
  <c r="AA22" i="40"/>
  <c r="Z22" i="40"/>
  <c r="Y22" i="40"/>
  <c r="X22" i="40"/>
  <c r="W22" i="40"/>
  <c r="F11" i="31"/>
  <c r="F10" i="31"/>
  <c r="K13" i="40" l="1"/>
  <c r="K12" i="40"/>
  <c r="K11" i="40"/>
  <c r="K10" i="40"/>
  <c r="Q13" i="31"/>
  <c r="Q12" i="31"/>
  <c r="Q11" i="31"/>
  <c r="Q10" i="31"/>
  <c r="O37" i="31"/>
  <c r="N37" i="31"/>
  <c r="Q31" i="31"/>
  <c r="Q30" i="31"/>
  <c r="O30" i="31"/>
  <c r="Q25" i="31"/>
  <c r="Q24" i="31"/>
  <c r="O24" i="31"/>
  <c r="N24" i="31"/>
  <c r="Q19" i="31"/>
  <c r="Q18" i="31"/>
  <c r="O18" i="31"/>
  <c r="N18" i="31"/>
  <c r="F18" i="31"/>
  <c r="F13" i="31"/>
  <c r="F12" i="31"/>
  <c r="R10" i="31"/>
  <c r="I162" i="48"/>
  <c r="H162" i="48"/>
  <c r="M489" i="45"/>
  <c r="M491" i="45"/>
  <c r="L489" i="45"/>
  <c r="L491" i="45"/>
  <c r="R11" i="31"/>
  <c r="R13" i="31"/>
  <c r="N13" i="40"/>
  <c r="N11" i="40"/>
  <c r="M13" i="40"/>
  <c r="I11" i="31"/>
  <c r="G11" i="31"/>
  <c r="G13" i="31"/>
  <c r="H11" i="31"/>
  <c r="H13" i="31"/>
  <c r="S13" i="31" l="1"/>
  <c r="S25" i="31" s="1"/>
  <c r="W13" i="40"/>
  <c r="S11" i="31"/>
  <c r="S24" i="31" s="1"/>
  <c r="W11" i="40"/>
  <c r="U11" i="31"/>
  <c r="S37" i="31" s="1"/>
  <c r="Y11" i="40"/>
  <c r="T11" i="31"/>
  <c r="S30" i="31" s="1"/>
  <c r="X11" i="40"/>
  <c r="T13" i="31"/>
  <c r="S31" i="31" s="1"/>
  <c r="X13" i="40"/>
  <c r="U13" i="31"/>
  <c r="S38" i="31" s="1"/>
  <c r="Y13" i="40"/>
  <c r="M11" i="40"/>
  <c r="J11" i="31"/>
  <c r="L11" i="40"/>
  <c r="I13" i="31"/>
  <c r="J13" i="31"/>
  <c r="S19" i="31"/>
  <c r="L13" i="40"/>
  <c r="R18" i="31"/>
  <c r="S18" i="31"/>
  <c r="L495" i="45"/>
  <c r="L493" i="45"/>
  <c r="M495" i="45"/>
  <c r="M493" i="45"/>
  <c r="I164" i="48" l="1"/>
  <c r="M501" i="45" s="1"/>
  <c r="H164" i="48"/>
  <c r="M497" i="45"/>
  <c r="M499" i="45"/>
  <c r="L497" i="45"/>
  <c r="L499" i="45"/>
  <c r="H146" i="48"/>
  <c r="K52" i="48"/>
  <c r="J52" i="48"/>
  <c r="I52" i="48"/>
  <c r="H52" i="48"/>
  <c r="K51" i="48"/>
  <c r="J51" i="48"/>
  <c r="R12" i="31"/>
  <c r="R19" i="31" s="1"/>
  <c r="G12" i="31"/>
  <c r="G10" i="31"/>
  <c r="S10" i="31" l="1"/>
  <c r="R24" i="31" s="1"/>
  <c r="W10" i="40"/>
  <c r="T10" i="31"/>
  <c r="R30" i="31" s="1"/>
  <c r="X10" i="40"/>
  <c r="T12" i="31"/>
  <c r="R31" i="31" s="1"/>
  <c r="X12" i="40"/>
  <c r="U10" i="31"/>
  <c r="R37" i="31" s="1"/>
  <c r="Y10" i="40"/>
  <c r="V30" i="40" s="1"/>
  <c r="S12" i="31"/>
  <c r="R25" i="31" s="1"/>
  <c r="W12" i="40"/>
  <c r="U12" i="31"/>
  <c r="R38" i="31" s="1"/>
  <c r="Y12" i="40"/>
  <c r="V31" i="40" s="1"/>
  <c r="H10" i="31"/>
  <c r="L10" i="40"/>
  <c r="N12" i="40"/>
  <c r="J12" i="31"/>
  <c r="N10" i="40"/>
  <c r="J10" i="31"/>
  <c r="H12" i="31"/>
  <c r="L12" i="40"/>
  <c r="I10" i="31"/>
  <c r="M10" i="40"/>
  <c r="I12" i="31"/>
  <c r="M12" i="40"/>
  <c r="H150" i="48"/>
  <c r="H148" i="48"/>
  <c r="I146" i="48"/>
  <c r="L503" i="45"/>
  <c r="I148" i="48"/>
  <c r="I150" i="48"/>
  <c r="L501" i="45"/>
  <c r="H152" i="48"/>
  <c r="H160" i="48"/>
  <c r="M503" i="45"/>
  <c r="I152" i="48"/>
  <c r="I160" i="48"/>
  <c r="Z26" i="40" l="1"/>
  <c r="X26" i="40"/>
  <c r="AA26" i="40"/>
  <c r="Y26" i="40"/>
  <c r="W26" i="40"/>
  <c r="V26" i="40"/>
  <c r="K24" i="40"/>
  <c r="L24" i="40"/>
  <c r="X25" i="40"/>
  <c r="AA25" i="40"/>
  <c r="Y25" i="40"/>
  <c r="V25" i="40"/>
  <c r="W25" i="40"/>
  <c r="Z25" i="40"/>
  <c r="AA24" i="40"/>
  <c r="Z24" i="40"/>
  <c r="V24" i="40"/>
  <c r="X24" i="40"/>
  <c r="W24" i="40"/>
  <c r="Y24" i="40"/>
  <c r="AA27" i="40"/>
  <c r="Z27" i="40"/>
  <c r="Y27" i="40"/>
  <c r="X27" i="40"/>
  <c r="W27" i="40"/>
  <c r="V27" i="40"/>
  <c r="O27" i="40"/>
  <c r="N27" i="40"/>
  <c r="P27" i="40"/>
  <c r="M27" i="40"/>
  <c r="K27" i="40"/>
  <c r="L27" i="40"/>
  <c r="N26" i="40"/>
  <c r="M26" i="40"/>
  <c r="O26" i="40"/>
  <c r="P26" i="40"/>
  <c r="L26" i="40"/>
  <c r="K26" i="40"/>
  <c r="O24" i="40"/>
  <c r="N24" i="40"/>
  <c r="M24" i="40"/>
  <c r="P24" i="40"/>
  <c r="O25" i="40"/>
  <c r="L25" i="40"/>
  <c r="P25" i="40"/>
  <c r="N25" i="40"/>
  <c r="M25" i="40"/>
  <c r="K25" i="40"/>
  <c r="Z30" i="40"/>
  <c r="W30" i="40"/>
  <c r="Y30" i="40"/>
  <c r="X30" i="40"/>
  <c r="AA30" i="40"/>
  <c r="AA31" i="40"/>
  <c r="Z31" i="40"/>
  <c r="Y31" i="40"/>
  <c r="X31" i="40"/>
  <c r="W31" i="40"/>
  <c r="R36" i="45"/>
  <c r="Q36" i="45"/>
  <c r="P36" i="45"/>
  <c r="O36" i="45"/>
  <c r="R34" i="45"/>
  <c r="Q34" i="45"/>
  <c r="P34" i="45"/>
  <c r="O34" i="45"/>
  <c r="R32" i="45"/>
  <c r="Q32" i="45"/>
  <c r="P32" i="45"/>
  <c r="O32" i="45"/>
  <c r="R30" i="45"/>
  <c r="Q30" i="45"/>
  <c r="P30" i="45"/>
  <c r="O30" i="45"/>
  <c r="R28" i="45"/>
  <c r="Q28" i="45"/>
  <c r="P28" i="45"/>
  <c r="O28" i="45"/>
  <c r="R26" i="45"/>
  <c r="Q26" i="45"/>
  <c r="P26" i="45"/>
  <c r="O26" i="45"/>
  <c r="R24" i="45"/>
  <c r="Q24" i="45"/>
  <c r="P24" i="45"/>
  <c r="O24" i="45"/>
  <c r="R22" i="45"/>
  <c r="Q22" i="45"/>
  <c r="P22" i="45"/>
  <c r="O22" i="45"/>
  <c r="R20" i="45"/>
  <c r="Q20" i="45"/>
  <c r="P20" i="45"/>
  <c r="O20" i="45"/>
  <c r="R18" i="45"/>
  <c r="Q18" i="45"/>
  <c r="P18" i="45"/>
  <c r="O18" i="45"/>
  <c r="R16" i="45"/>
  <c r="Q16" i="45"/>
  <c r="P16" i="45"/>
  <c r="O16" i="45"/>
  <c r="R14" i="45"/>
  <c r="Q14" i="45"/>
  <c r="P14" i="45"/>
  <c r="O14" i="45"/>
  <c r="R96" i="45"/>
  <c r="Q96" i="45"/>
  <c r="P96" i="45"/>
  <c r="O96" i="45"/>
  <c r="R94" i="45"/>
  <c r="Q94" i="45"/>
  <c r="P94" i="45"/>
  <c r="O94" i="45"/>
  <c r="R90" i="45"/>
  <c r="Q90" i="45"/>
  <c r="P90" i="45"/>
  <c r="O90" i="45"/>
  <c r="R88" i="45"/>
  <c r="Q88" i="45"/>
  <c r="P88" i="45"/>
  <c r="O88" i="45"/>
  <c r="R102" i="45"/>
  <c r="Q102" i="45"/>
  <c r="P102" i="45"/>
  <c r="O102" i="45"/>
  <c r="R100" i="45"/>
  <c r="Q100" i="45"/>
  <c r="P100" i="45"/>
  <c r="O100" i="45"/>
  <c r="O108" i="45"/>
  <c r="R72" i="45"/>
  <c r="Q72" i="45"/>
  <c r="P72" i="45"/>
  <c r="O72" i="45"/>
  <c r="R70" i="45"/>
  <c r="Q70" i="45"/>
  <c r="P70" i="45"/>
  <c r="O70" i="45"/>
  <c r="R66" i="45"/>
  <c r="Q66" i="45"/>
  <c r="P66" i="45"/>
  <c r="O66" i="45"/>
  <c r="R64" i="45"/>
  <c r="Q64" i="45"/>
  <c r="P64" i="45"/>
  <c r="O64" i="45"/>
  <c r="R60" i="45"/>
  <c r="Q60" i="45"/>
  <c r="P60" i="45"/>
  <c r="O60" i="45"/>
  <c r="R58" i="45"/>
  <c r="Q58" i="45"/>
  <c r="P58" i="45"/>
  <c r="O58" i="45"/>
  <c r="O10" i="45"/>
  <c r="J34" i="35" l="1"/>
  <c r="J33" i="35"/>
  <c r="J32" i="35"/>
  <c r="Q10" i="39" l="1"/>
  <c r="I12" i="35"/>
  <c r="O13" i="39"/>
  <c r="P8" i="45" l="1"/>
  <c r="O8" i="45"/>
  <c r="C18" i="31" l="1"/>
  <c r="D26" i="40" l="1"/>
  <c r="D24" i="40"/>
  <c r="C37" i="31"/>
  <c r="C30" i="31"/>
  <c r="C24" i="31"/>
  <c r="F30" i="40"/>
  <c r="E30" i="40"/>
  <c r="F26" i="40"/>
  <c r="F24" i="40"/>
  <c r="J25" i="40" l="1"/>
  <c r="J24" i="40"/>
  <c r="H24" i="40"/>
  <c r="M5" i="45"/>
  <c r="M8" i="45" s="1"/>
  <c r="L5" i="45"/>
  <c r="L8" i="45" s="1"/>
  <c r="K5" i="45"/>
  <c r="K8" i="45" s="1"/>
  <c r="R108" i="45"/>
  <c r="R106" i="45"/>
  <c r="R84" i="45"/>
  <c r="R82" i="45"/>
  <c r="R78" i="45"/>
  <c r="R76" i="45"/>
  <c r="R48" i="45"/>
  <c r="R46" i="45"/>
  <c r="R54" i="45"/>
  <c r="R52" i="45"/>
  <c r="Q108" i="45"/>
  <c r="Q106" i="45"/>
  <c r="Q84" i="45"/>
  <c r="Q82" i="45"/>
  <c r="Q78" i="45"/>
  <c r="Q76" i="45"/>
  <c r="Q48" i="45"/>
  <c r="Q46" i="45"/>
  <c r="R10" i="45"/>
  <c r="R12" i="45"/>
  <c r="Q54" i="45"/>
  <c r="Q52" i="45"/>
  <c r="Q12" i="45"/>
  <c r="Q10" i="45"/>
  <c r="P108" i="45"/>
  <c r="P106" i="45"/>
  <c r="P84" i="45"/>
  <c r="P82" i="45"/>
  <c r="P78" i="45"/>
  <c r="P76" i="45"/>
  <c r="P48" i="45"/>
  <c r="P46" i="45"/>
  <c r="P54" i="45"/>
  <c r="P52" i="45"/>
  <c r="P12" i="45"/>
  <c r="P10" i="45"/>
  <c r="O106" i="45"/>
  <c r="O84" i="45"/>
  <c r="O82" i="45"/>
  <c r="O78" i="45"/>
  <c r="O76" i="45"/>
  <c r="O48" i="45"/>
  <c r="O46" i="45"/>
  <c r="O54" i="45"/>
  <c r="O52" i="45"/>
  <c r="Z9" i="45"/>
  <c r="J38" i="35"/>
  <c r="J36" i="35"/>
  <c r="F25" i="31"/>
  <c r="F24" i="31"/>
  <c r="D24" i="31"/>
  <c r="D30" i="31"/>
  <c r="D18" i="31"/>
  <c r="H26" i="40"/>
  <c r="J27" i="40"/>
  <c r="J26" i="40"/>
  <c r="F31" i="31"/>
  <c r="F30" i="31"/>
  <c r="F19" i="31"/>
  <c r="J35" i="35"/>
  <c r="J31" i="35"/>
  <c r="J30" i="35"/>
  <c r="J29" i="35"/>
  <c r="AA9" i="45"/>
  <c r="Q8" i="45"/>
  <c r="Q8" i="39"/>
  <c r="Q7" i="39"/>
  <c r="O12" i="45"/>
  <c r="D7" i="38"/>
  <c r="C7" i="38"/>
  <c r="I58" i="40"/>
  <c r="J58" i="40"/>
  <c r="D6" i="38"/>
  <c r="AB9" i="45"/>
  <c r="D37" i="31"/>
  <c r="H30" i="40"/>
  <c r="K31" i="40" l="1"/>
  <c r="K30" i="40"/>
  <c r="L30" i="40" s="1"/>
  <c r="G37" i="31"/>
  <c r="G38" i="31"/>
  <c r="N13" i="45"/>
  <c r="N17" i="45"/>
  <c r="N31" i="45"/>
  <c r="N47" i="45"/>
  <c r="N63" i="45"/>
  <c r="N79" i="45"/>
  <c r="N95" i="45"/>
  <c r="N111" i="45"/>
  <c r="N127" i="45"/>
  <c r="N143" i="45"/>
  <c r="N159" i="45"/>
  <c r="N175" i="45"/>
  <c r="N191" i="45"/>
  <c r="N207" i="45"/>
  <c r="N223" i="45"/>
  <c r="N239" i="45"/>
  <c r="N255" i="45"/>
  <c r="N271" i="45"/>
  <c r="N287" i="45"/>
  <c r="N303" i="45"/>
  <c r="N319" i="45"/>
  <c r="N335" i="45"/>
  <c r="N351" i="45"/>
  <c r="N367" i="45"/>
  <c r="N383" i="45"/>
  <c r="N399" i="45"/>
  <c r="N415" i="45"/>
  <c r="N447" i="45"/>
  <c r="N479" i="45"/>
  <c r="N481" i="45"/>
  <c r="N35" i="45"/>
  <c r="N83" i="45"/>
  <c r="N131" i="45"/>
  <c r="N179" i="45"/>
  <c r="N243" i="45"/>
  <c r="N291" i="45"/>
  <c r="N339" i="45"/>
  <c r="N387" i="45"/>
  <c r="N435" i="45"/>
  <c r="N483" i="45"/>
  <c r="N37" i="45"/>
  <c r="N101" i="45"/>
  <c r="N149" i="45"/>
  <c r="N181" i="45"/>
  <c r="N229" i="45"/>
  <c r="N277" i="45"/>
  <c r="N325" i="45"/>
  <c r="N389" i="45"/>
  <c r="N437" i="45"/>
  <c r="N485" i="45"/>
  <c r="N39" i="45"/>
  <c r="N103" i="45"/>
  <c r="N135" i="45"/>
  <c r="N183" i="45"/>
  <c r="N231" i="45"/>
  <c r="N279" i="45"/>
  <c r="N327" i="45"/>
  <c r="N359" i="45"/>
  <c r="N391" i="45"/>
  <c r="N439" i="45"/>
  <c r="N487" i="45"/>
  <c r="N57" i="45"/>
  <c r="R29" i="45" s="1"/>
  <c r="N105" i="45"/>
  <c r="N137" i="45"/>
  <c r="N185" i="45"/>
  <c r="N249" i="45"/>
  <c r="N297" i="45"/>
  <c r="N345" i="45"/>
  <c r="N393" i="45"/>
  <c r="N441" i="45"/>
  <c r="N489" i="45"/>
  <c r="N59" i="45"/>
  <c r="N123" i="45"/>
  <c r="N171" i="45"/>
  <c r="N9" i="45"/>
  <c r="N11" i="45"/>
  <c r="N33" i="45"/>
  <c r="N49" i="45"/>
  <c r="N65" i="45"/>
  <c r="N81" i="45"/>
  <c r="N97" i="45"/>
  <c r="N113" i="45"/>
  <c r="N129" i="45"/>
  <c r="N145" i="45"/>
  <c r="N161" i="45"/>
  <c r="N177" i="45"/>
  <c r="N193" i="45"/>
  <c r="N209" i="45"/>
  <c r="N225" i="45"/>
  <c r="N241" i="45"/>
  <c r="N257" i="45"/>
  <c r="N273" i="45"/>
  <c r="N289" i="45"/>
  <c r="N305" i="45"/>
  <c r="N321" i="45"/>
  <c r="N337" i="45"/>
  <c r="N353" i="45"/>
  <c r="N369" i="45"/>
  <c r="N385" i="45"/>
  <c r="N401" i="45"/>
  <c r="N417" i="45"/>
  <c r="N433" i="45"/>
  <c r="N449" i="45"/>
  <c r="N19" i="45"/>
  <c r="N67" i="45"/>
  <c r="N99" i="45"/>
  <c r="N147" i="45"/>
  <c r="N211" i="45"/>
  <c r="N259" i="45"/>
  <c r="N307" i="45"/>
  <c r="N355" i="45"/>
  <c r="N403" i="45"/>
  <c r="N451" i="45"/>
  <c r="N21" i="45"/>
  <c r="N85" i="45"/>
  <c r="N133" i="45"/>
  <c r="N197" i="45"/>
  <c r="N261" i="45"/>
  <c r="N309" i="45"/>
  <c r="N357" i="45"/>
  <c r="N405" i="45"/>
  <c r="N469" i="45"/>
  <c r="N23" i="45"/>
  <c r="N87" i="45"/>
  <c r="N151" i="45"/>
  <c r="N199" i="45"/>
  <c r="N263" i="45"/>
  <c r="N311" i="45"/>
  <c r="N375" i="45"/>
  <c r="N423" i="45"/>
  <c r="N471" i="45"/>
  <c r="N41" i="45"/>
  <c r="N89" i="45"/>
  <c r="N153" i="45"/>
  <c r="N201" i="45"/>
  <c r="N265" i="45"/>
  <c r="N313" i="45"/>
  <c r="N361" i="45"/>
  <c r="N425" i="45"/>
  <c r="N473" i="45"/>
  <c r="N43" i="45"/>
  <c r="N91" i="45"/>
  <c r="N139" i="45"/>
  <c r="N187" i="45"/>
  <c r="N15" i="45"/>
  <c r="N29" i="45"/>
  <c r="N45" i="45"/>
  <c r="N61" i="45"/>
  <c r="N77" i="45"/>
  <c r="N93" i="45"/>
  <c r="N109" i="45"/>
  <c r="N125" i="45"/>
  <c r="N141" i="45"/>
  <c r="N157" i="45"/>
  <c r="N173" i="45"/>
  <c r="N189" i="45"/>
  <c r="N205" i="45"/>
  <c r="N221" i="45"/>
  <c r="N237" i="45"/>
  <c r="N253" i="45"/>
  <c r="N269" i="45"/>
  <c r="N285" i="45"/>
  <c r="N301" i="45"/>
  <c r="N317" i="45"/>
  <c r="N333" i="45"/>
  <c r="N349" i="45"/>
  <c r="N365" i="45"/>
  <c r="N381" i="45"/>
  <c r="N397" i="45"/>
  <c r="N413" i="45"/>
  <c r="N429" i="45"/>
  <c r="N445" i="45"/>
  <c r="N461" i="45"/>
  <c r="N477" i="45"/>
  <c r="N493" i="45"/>
  <c r="N431" i="45"/>
  <c r="N463" i="45"/>
  <c r="N495" i="45"/>
  <c r="N465" i="45"/>
  <c r="N497" i="45"/>
  <c r="N51" i="45"/>
  <c r="N115" i="45"/>
  <c r="N163" i="45"/>
  <c r="N195" i="45"/>
  <c r="N227" i="45"/>
  <c r="N275" i="45"/>
  <c r="N323" i="45"/>
  <c r="N371" i="45"/>
  <c r="N419" i="45"/>
  <c r="N467" i="45"/>
  <c r="N499" i="45"/>
  <c r="N53" i="45"/>
  <c r="N69" i="45"/>
  <c r="N117" i="45"/>
  <c r="N165" i="45"/>
  <c r="N213" i="45"/>
  <c r="N245" i="45"/>
  <c r="N293" i="45"/>
  <c r="N341" i="45"/>
  <c r="N373" i="45"/>
  <c r="N421" i="45"/>
  <c r="N453" i="45"/>
  <c r="N501" i="45"/>
  <c r="N55" i="45"/>
  <c r="N71" i="45"/>
  <c r="N119" i="45"/>
  <c r="N167" i="45"/>
  <c r="N215" i="45"/>
  <c r="N247" i="45"/>
  <c r="N295" i="45"/>
  <c r="N343" i="45"/>
  <c r="N407" i="45"/>
  <c r="N455" i="45"/>
  <c r="N503" i="45"/>
  <c r="N25" i="45"/>
  <c r="N73" i="45"/>
  <c r="N121" i="45"/>
  <c r="N169" i="45"/>
  <c r="N217" i="45"/>
  <c r="N233" i="45"/>
  <c r="N281" i="45"/>
  <c r="N329" i="45"/>
  <c r="N377" i="45"/>
  <c r="N409" i="45"/>
  <c r="N457" i="45"/>
  <c r="N27" i="45"/>
  <c r="N75" i="45"/>
  <c r="N107" i="45"/>
  <c r="N155" i="45"/>
  <c r="N251" i="45"/>
  <c r="N379" i="45"/>
  <c r="N283" i="45"/>
  <c r="N299" i="45"/>
  <c r="N443" i="45"/>
  <c r="N459" i="45"/>
  <c r="N219" i="45"/>
  <c r="N363" i="45"/>
  <c r="N267" i="45"/>
  <c r="N395" i="45"/>
  <c r="N411" i="45"/>
  <c r="N427" i="45"/>
  <c r="R59" i="45" s="1"/>
  <c r="N331" i="45"/>
  <c r="N347" i="45"/>
  <c r="N475" i="45"/>
  <c r="N491" i="45"/>
  <c r="N315" i="45"/>
  <c r="N235" i="45"/>
  <c r="N203" i="45"/>
  <c r="M483" i="45"/>
  <c r="M487" i="45"/>
  <c r="M485" i="45"/>
  <c r="M481" i="45"/>
  <c r="L481" i="45"/>
  <c r="L483" i="45"/>
  <c r="L487" i="45"/>
  <c r="K483" i="45"/>
  <c r="L485" i="45"/>
  <c r="K485" i="45"/>
  <c r="K481" i="45"/>
  <c r="M475" i="45"/>
  <c r="M463" i="45"/>
  <c r="M461" i="45"/>
  <c r="M467" i="45"/>
  <c r="M473" i="45"/>
  <c r="M479" i="45"/>
  <c r="L463" i="45"/>
  <c r="L475" i="45"/>
  <c r="L473" i="45"/>
  <c r="L467" i="45"/>
  <c r="L461" i="45"/>
  <c r="L479" i="45"/>
  <c r="M477" i="45"/>
  <c r="M469" i="45"/>
  <c r="M471" i="45"/>
  <c r="K475" i="45"/>
  <c r="K471" i="45"/>
  <c r="K463" i="45"/>
  <c r="L471" i="45"/>
  <c r="L477" i="45"/>
  <c r="L469" i="45"/>
  <c r="K477" i="45"/>
  <c r="K473" i="45"/>
  <c r="K469" i="45"/>
  <c r="K461" i="45"/>
  <c r="K480" i="45"/>
  <c r="M465" i="45"/>
  <c r="M459" i="45"/>
  <c r="Q65" i="45" s="1"/>
  <c r="M457" i="45"/>
  <c r="Q63" i="45" s="1"/>
  <c r="L457" i="45"/>
  <c r="P63" i="45" s="1"/>
  <c r="L465" i="45"/>
  <c r="L459" i="45"/>
  <c r="P65" i="45" s="1"/>
  <c r="R63" i="45"/>
  <c r="R65" i="45"/>
  <c r="M451" i="45"/>
  <c r="M443" i="45"/>
  <c r="M455" i="45"/>
  <c r="M447" i="45"/>
  <c r="M433" i="45"/>
  <c r="M449" i="45"/>
  <c r="M441" i="45"/>
  <c r="M445" i="45"/>
  <c r="M437" i="45"/>
  <c r="M453" i="45"/>
  <c r="M435" i="45"/>
  <c r="M439" i="45"/>
  <c r="K456" i="45"/>
  <c r="K448" i="45"/>
  <c r="L451" i="45"/>
  <c r="L443" i="45"/>
  <c r="L439" i="45"/>
  <c r="L455" i="45"/>
  <c r="K451" i="45"/>
  <c r="L447" i="45"/>
  <c r="K443" i="45"/>
  <c r="L433" i="45"/>
  <c r="L437" i="45"/>
  <c r="L453" i="45"/>
  <c r="L449" i="45"/>
  <c r="L445" i="45"/>
  <c r="L441" i="45"/>
  <c r="L435" i="45"/>
  <c r="K453" i="45"/>
  <c r="K449" i="45"/>
  <c r="K445" i="45"/>
  <c r="K441" i="45"/>
  <c r="M427" i="45"/>
  <c r="Q59" i="45" s="1"/>
  <c r="M431" i="45"/>
  <c r="M425" i="45"/>
  <c r="Q57" i="45" s="1"/>
  <c r="M429" i="45"/>
  <c r="K440" i="45"/>
  <c r="L427" i="45"/>
  <c r="L429" i="45"/>
  <c r="L431" i="45"/>
  <c r="K433" i="45"/>
  <c r="K435" i="45"/>
  <c r="L425" i="45"/>
  <c r="P57" i="45" s="1"/>
  <c r="K437" i="45"/>
  <c r="M401" i="45"/>
  <c r="M373" i="45"/>
  <c r="M363" i="45"/>
  <c r="M331" i="45"/>
  <c r="M423" i="45"/>
  <c r="M419" i="45"/>
  <c r="M415" i="45"/>
  <c r="M405" i="45"/>
  <c r="M367" i="45"/>
  <c r="M321" i="45"/>
  <c r="M409" i="45"/>
  <c r="M381" i="45"/>
  <c r="M293" i="45"/>
  <c r="M399" i="45"/>
  <c r="M385" i="45"/>
  <c r="M371" i="45"/>
  <c r="M357" i="45"/>
  <c r="M353" i="45"/>
  <c r="M349" i="45"/>
  <c r="M339" i="45"/>
  <c r="M335" i="45"/>
  <c r="M325" i="45"/>
  <c r="M311" i="45"/>
  <c r="M307" i="45"/>
  <c r="M297" i="45"/>
  <c r="M323" i="45"/>
  <c r="M341" i="45"/>
  <c r="M395" i="45"/>
  <c r="M413" i="45"/>
  <c r="M389" i="45"/>
  <c r="M361" i="45"/>
  <c r="M329" i="45"/>
  <c r="M301" i="45"/>
  <c r="M417" i="45"/>
  <c r="M407" i="45"/>
  <c r="M403" i="45"/>
  <c r="M393" i="45"/>
  <c r="M379" i="45"/>
  <c r="M375" i="45"/>
  <c r="M365" i="45"/>
  <c r="M315" i="45"/>
  <c r="M291" i="45"/>
  <c r="M295" i="45"/>
  <c r="M313" i="45"/>
  <c r="M377" i="45"/>
  <c r="M303" i="45"/>
  <c r="M421" i="45"/>
  <c r="M343" i="45"/>
  <c r="M319" i="45"/>
  <c r="M289" i="45"/>
  <c r="M345" i="45"/>
  <c r="M397" i="45"/>
  <c r="M369" i="45"/>
  <c r="M333" i="45"/>
  <c r="M305" i="45"/>
  <c r="M411" i="45"/>
  <c r="M387" i="45"/>
  <c r="M383" i="45"/>
  <c r="M359" i="45"/>
  <c r="M355" i="45"/>
  <c r="M351" i="45"/>
  <c r="M347" i="45"/>
  <c r="M337" i="45"/>
  <c r="M327" i="45"/>
  <c r="M309" i="45"/>
  <c r="M299" i="45"/>
  <c r="M391" i="45"/>
  <c r="M317" i="45"/>
  <c r="L411" i="45"/>
  <c r="L387" i="45"/>
  <c r="L383" i="45"/>
  <c r="L359" i="45"/>
  <c r="L355" i="45"/>
  <c r="L337" i="45"/>
  <c r="K387" i="45"/>
  <c r="L341" i="45"/>
  <c r="K309" i="45"/>
  <c r="L289" i="45"/>
  <c r="L423" i="45"/>
  <c r="L419" i="45"/>
  <c r="L415" i="45"/>
  <c r="L405" i="45"/>
  <c r="L395" i="45"/>
  <c r="L391" i="45"/>
  <c r="L377" i="45"/>
  <c r="K423" i="45"/>
  <c r="K419" i="45"/>
  <c r="L409" i="45"/>
  <c r="K405" i="45"/>
  <c r="K395" i="45"/>
  <c r="L381" i="45"/>
  <c r="K377" i="45"/>
  <c r="K367" i="45"/>
  <c r="L345" i="45"/>
  <c r="L321" i="45"/>
  <c r="K317" i="45"/>
  <c r="L293" i="45"/>
  <c r="K289" i="45"/>
  <c r="K297" i="45"/>
  <c r="L305" i="45"/>
  <c r="L295" i="45"/>
  <c r="K355" i="45"/>
  <c r="K337" i="45"/>
  <c r="L313" i="45"/>
  <c r="L363" i="45"/>
  <c r="L399" i="45"/>
  <c r="L385" i="45"/>
  <c r="L371" i="45"/>
  <c r="L357" i="45"/>
  <c r="L353" i="45"/>
  <c r="L349" i="45"/>
  <c r="L339" i="45"/>
  <c r="L335" i="45"/>
  <c r="L325" i="45"/>
  <c r="L311" i="45"/>
  <c r="L307" i="45"/>
  <c r="L297" i="45"/>
  <c r="L413" i="45"/>
  <c r="L389" i="45"/>
  <c r="L361" i="45"/>
  <c r="K353" i="45"/>
  <c r="K349" i="45"/>
  <c r="K339" i="45"/>
  <c r="K325" i="45"/>
  <c r="K311" i="45"/>
  <c r="L301" i="45"/>
  <c r="K319" i="45"/>
  <c r="L347" i="45"/>
  <c r="L323" i="45"/>
  <c r="K351" i="45"/>
  <c r="K327" i="45"/>
  <c r="L303" i="45"/>
  <c r="K385" i="45"/>
  <c r="K357" i="45"/>
  <c r="L329" i="45"/>
  <c r="K291" i="45"/>
  <c r="L299" i="45"/>
  <c r="L401" i="45"/>
  <c r="K359" i="45"/>
  <c r="L317" i="45"/>
  <c r="L421" i="45"/>
  <c r="L417" i="45"/>
  <c r="L407" i="45"/>
  <c r="L403" i="45"/>
  <c r="L393" i="45"/>
  <c r="L379" i="45"/>
  <c r="L375" i="45"/>
  <c r="L365" i="45"/>
  <c r="L343" i="45"/>
  <c r="L319" i="45"/>
  <c r="L315" i="45"/>
  <c r="L291" i="45"/>
  <c r="K421" i="45"/>
  <c r="K417" i="45"/>
  <c r="K407" i="45"/>
  <c r="L397" i="45"/>
  <c r="K393" i="45"/>
  <c r="K379" i="45"/>
  <c r="L369" i="45"/>
  <c r="K365" i="45"/>
  <c r="L333" i="45"/>
  <c r="L351" i="45"/>
  <c r="L327" i="45"/>
  <c r="L309" i="45"/>
  <c r="L373" i="45"/>
  <c r="K299" i="45"/>
  <c r="L367" i="45"/>
  <c r="L331" i="45"/>
  <c r="M265" i="45"/>
  <c r="M205" i="45"/>
  <c r="M177" i="45"/>
  <c r="M287" i="45"/>
  <c r="M283" i="45"/>
  <c r="M279" i="45"/>
  <c r="M269" i="45"/>
  <c r="M259" i="45"/>
  <c r="M255" i="45"/>
  <c r="M241" i="45"/>
  <c r="M231" i="45"/>
  <c r="M227" i="45"/>
  <c r="M195" i="45"/>
  <c r="M181" i="45"/>
  <c r="M167" i="45"/>
  <c r="M153" i="45"/>
  <c r="M273" i="45"/>
  <c r="M245" i="45"/>
  <c r="M209" i="45"/>
  <c r="M185" i="45"/>
  <c r="M157" i="45"/>
  <c r="M263" i="45"/>
  <c r="M249" i="45"/>
  <c r="M235" i="45"/>
  <c r="M221" i="45"/>
  <c r="M217" i="45"/>
  <c r="M213" i="45"/>
  <c r="M203" i="45"/>
  <c r="M199" i="45"/>
  <c r="M189" i="45"/>
  <c r="M175" i="45"/>
  <c r="M171" i="45"/>
  <c r="M161" i="45"/>
  <c r="M149" i="45"/>
  <c r="M223" i="45"/>
  <c r="M211" i="45"/>
  <c r="M159" i="45"/>
  <c r="M277" i="45"/>
  <c r="M253" i="45"/>
  <c r="M225" i="45"/>
  <c r="M193" i="45"/>
  <c r="M165" i="45"/>
  <c r="M251" i="45"/>
  <c r="M215" i="45"/>
  <c r="M191" i="45"/>
  <c r="M285" i="45"/>
  <c r="M281" i="45"/>
  <c r="M271" i="45"/>
  <c r="M267" i="45"/>
  <c r="M257" i="45"/>
  <c r="M243" i="45"/>
  <c r="M239" i="45"/>
  <c r="M229" i="45"/>
  <c r="M207" i="45"/>
  <c r="M183" i="45"/>
  <c r="M179" i="45"/>
  <c r="M155" i="45"/>
  <c r="M145" i="45"/>
  <c r="M275" i="45"/>
  <c r="M187" i="45"/>
  <c r="M173" i="45"/>
  <c r="M261" i="45"/>
  <c r="M233" i="45"/>
  <c r="M197" i="45"/>
  <c r="M169" i="45"/>
  <c r="M151" i="45"/>
  <c r="M247" i="45"/>
  <c r="M219" i="45"/>
  <c r="M201" i="45"/>
  <c r="M163" i="45"/>
  <c r="M237" i="45"/>
  <c r="M147" i="45"/>
  <c r="Q47" i="45" s="1"/>
  <c r="L275" i="45"/>
  <c r="L247" i="45"/>
  <c r="L265" i="45"/>
  <c r="K251" i="45"/>
  <c r="L237" i="45"/>
  <c r="K223" i="45"/>
  <c r="K219" i="45"/>
  <c r="K215" i="45"/>
  <c r="L205" i="45"/>
  <c r="K201" i="45"/>
  <c r="K191" i="45"/>
  <c r="L177" i="45"/>
  <c r="K173" i="45"/>
  <c r="K163" i="45"/>
  <c r="L283" i="45"/>
  <c r="L279" i="45"/>
  <c r="L269" i="45"/>
  <c r="L259" i="45"/>
  <c r="L255" i="45"/>
  <c r="L241" i="45"/>
  <c r="L231" i="45"/>
  <c r="L195" i="45"/>
  <c r="L287" i="45"/>
  <c r="L227" i="45"/>
  <c r="L181" i="45"/>
  <c r="L167" i="45"/>
  <c r="K287" i="45"/>
  <c r="K283" i="45"/>
  <c r="L273" i="45"/>
  <c r="K269" i="45"/>
  <c r="K259" i="45"/>
  <c r="L245" i="45"/>
  <c r="K241" i="45"/>
  <c r="K231" i="45"/>
  <c r="L209" i="45"/>
  <c r="L185" i="45"/>
  <c r="K181" i="45"/>
  <c r="L157" i="45"/>
  <c r="K153" i="45"/>
  <c r="K281" i="45"/>
  <c r="K243" i="45"/>
  <c r="L197" i="45"/>
  <c r="L211" i="45"/>
  <c r="L187" i="45"/>
  <c r="L163" i="45"/>
  <c r="L153" i="45"/>
  <c r="L263" i="45"/>
  <c r="L249" i="45"/>
  <c r="L235" i="45"/>
  <c r="L221" i="45"/>
  <c r="L217" i="45"/>
  <c r="L213" i="45"/>
  <c r="L203" i="45"/>
  <c r="L199" i="45"/>
  <c r="L189" i="45"/>
  <c r="L175" i="45"/>
  <c r="L171" i="45"/>
  <c r="L161" i="45"/>
  <c r="L145" i="45"/>
  <c r="K271" i="45"/>
  <c r="L169" i="45"/>
  <c r="L251" i="45"/>
  <c r="L223" i="45"/>
  <c r="L191" i="45"/>
  <c r="L173" i="45"/>
  <c r="L277" i="45"/>
  <c r="L253" i="45"/>
  <c r="K249" i="45"/>
  <c r="L225" i="45"/>
  <c r="K221" i="45"/>
  <c r="K217" i="45"/>
  <c r="K213" i="45"/>
  <c r="K203" i="45"/>
  <c r="L193" i="45"/>
  <c r="K189" i="45"/>
  <c r="K175" i="45"/>
  <c r="L165" i="45"/>
  <c r="K161" i="45"/>
  <c r="L151" i="45"/>
  <c r="K257" i="45"/>
  <c r="L233" i="45"/>
  <c r="K155" i="45"/>
  <c r="L215" i="45"/>
  <c r="L149" i="45"/>
  <c r="L285" i="45"/>
  <c r="L281" i="45"/>
  <c r="L271" i="45"/>
  <c r="L267" i="45"/>
  <c r="L257" i="45"/>
  <c r="L243" i="45"/>
  <c r="L239" i="45"/>
  <c r="L229" i="45"/>
  <c r="L207" i="45"/>
  <c r="L183" i="45"/>
  <c r="L179" i="45"/>
  <c r="L155" i="45"/>
  <c r="K285" i="45"/>
  <c r="L261" i="45"/>
  <c r="K229" i="45"/>
  <c r="K183" i="45"/>
  <c r="L147" i="45"/>
  <c r="P47" i="45" s="1"/>
  <c r="L219" i="45"/>
  <c r="L201" i="45"/>
  <c r="L159" i="45"/>
  <c r="M121" i="45"/>
  <c r="M93" i="45"/>
  <c r="M143" i="45"/>
  <c r="M139" i="45"/>
  <c r="M135" i="45"/>
  <c r="M125" i="45"/>
  <c r="M115" i="45"/>
  <c r="M111" i="45"/>
  <c r="M97" i="45"/>
  <c r="M87" i="45"/>
  <c r="M83" i="45"/>
  <c r="M127" i="45"/>
  <c r="M113" i="45"/>
  <c r="M99" i="45"/>
  <c r="M107" i="45"/>
  <c r="M129" i="45"/>
  <c r="M101" i="45"/>
  <c r="M119" i="45"/>
  <c r="M105" i="45"/>
  <c r="M91" i="45"/>
  <c r="M77" i="45"/>
  <c r="M137" i="45"/>
  <c r="M95" i="45"/>
  <c r="M103" i="45"/>
  <c r="M79" i="45"/>
  <c r="M133" i="45"/>
  <c r="M109" i="45"/>
  <c r="M81" i="45"/>
  <c r="M141" i="45"/>
  <c r="M123" i="45"/>
  <c r="M85" i="45"/>
  <c r="M117" i="45"/>
  <c r="M89" i="45"/>
  <c r="M131" i="45"/>
  <c r="L131" i="45"/>
  <c r="L107" i="45"/>
  <c r="L103" i="45"/>
  <c r="L121" i="45"/>
  <c r="K107" i="45"/>
  <c r="L93" i="45"/>
  <c r="K79" i="45"/>
  <c r="L81" i="45"/>
  <c r="L89" i="45"/>
  <c r="L79" i="45"/>
  <c r="L143" i="45"/>
  <c r="L139" i="45"/>
  <c r="L135" i="45"/>
  <c r="L125" i="45"/>
  <c r="L115" i="45"/>
  <c r="L111" i="45"/>
  <c r="L97" i="45"/>
  <c r="L87" i="45"/>
  <c r="L83" i="45"/>
  <c r="L133" i="45"/>
  <c r="L109" i="45"/>
  <c r="K99" i="45"/>
  <c r="K143" i="45"/>
  <c r="K139" i="45"/>
  <c r="L129" i="45"/>
  <c r="K125" i="45"/>
  <c r="K115" i="45"/>
  <c r="L101" i="45"/>
  <c r="K97" i="45"/>
  <c r="K87" i="45"/>
  <c r="K77" i="45"/>
  <c r="L119" i="45"/>
  <c r="L105" i="45"/>
  <c r="L91" i="45"/>
  <c r="L77" i="45"/>
  <c r="K105" i="45"/>
  <c r="K113" i="45"/>
  <c r="K85" i="45"/>
  <c r="L141" i="45"/>
  <c r="L137" i="45"/>
  <c r="L127" i="45"/>
  <c r="L123" i="45"/>
  <c r="L113" i="45"/>
  <c r="L99" i="45"/>
  <c r="L95" i="45"/>
  <c r="L85" i="45"/>
  <c r="K141" i="45"/>
  <c r="K137" i="45"/>
  <c r="K127" i="45"/>
  <c r="L117" i="45"/>
  <c r="M65" i="45"/>
  <c r="M49" i="45"/>
  <c r="M33" i="45"/>
  <c r="Q13" i="45"/>
  <c r="M57" i="45"/>
  <c r="Q29" i="45" s="1"/>
  <c r="M35" i="45"/>
  <c r="M61" i="45"/>
  <c r="M75" i="45"/>
  <c r="M59" i="45"/>
  <c r="Q31" i="45" s="1"/>
  <c r="M43" i="45"/>
  <c r="M27" i="45"/>
  <c r="M41" i="45"/>
  <c r="M67" i="45"/>
  <c r="M29" i="45"/>
  <c r="Q17" i="45" s="1"/>
  <c r="M69" i="45"/>
  <c r="Q33" i="45" s="1"/>
  <c r="M53" i="45"/>
  <c r="M37" i="45"/>
  <c r="Q21" i="45" s="1"/>
  <c r="M21" i="45"/>
  <c r="M25" i="45"/>
  <c r="Q9" i="45"/>
  <c r="Q15" i="45"/>
  <c r="M71" i="45"/>
  <c r="Q35" i="45" s="1"/>
  <c r="M55" i="45"/>
  <c r="M39" i="45"/>
  <c r="Q23" i="45" s="1"/>
  <c r="M23" i="45"/>
  <c r="M63" i="45"/>
  <c r="M47" i="45"/>
  <c r="Q27" i="45" s="1"/>
  <c r="M31" i="45"/>
  <c r="Q19" i="45" s="1"/>
  <c r="M73" i="45"/>
  <c r="M51" i="45"/>
  <c r="M45" i="45"/>
  <c r="Q25" i="45" s="1"/>
  <c r="L71" i="45"/>
  <c r="P35" i="45" s="1"/>
  <c r="L55" i="45"/>
  <c r="L39" i="45"/>
  <c r="L23" i="45"/>
  <c r="L11" i="45"/>
  <c r="L15" i="45"/>
  <c r="L61" i="45"/>
  <c r="L45" i="45"/>
  <c r="P25" i="45" s="1"/>
  <c r="L29" i="45"/>
  <c r="P17" i="45" s="1"/>
  <c r="L13" i="45"/>
  <c r="L65" i="45"/>
  <c r="L49" i="45"/>
  <c r="L33" i="45"/>
  <c r="L17" i="45"/>
  <c r="P13" i="45" s="1"/>
  <c r="L63" i="45"/>
  <c r="L31" i="45"/>
  <c r="P19" i="45" s="1"/>
  <c r="L25" i="45"/>
  <c r="L51" i="45"/>
  <c r="L75" i="45"/>
  <c r="L59" i="45"/>
  <c r="P31" i="45" s="1"/>
  <c r="L43" i="45"/>
  <c r="L27" i="45"/>
  <c r="L47" i="45"/>
  <c r="P27" i="45" s="1"/>
  <c r="L57" i="45"/>
  <c r="P29" i="45" s="1"/>
  <c r="L41" i="45"/>
  <c r="L35" i="45"/>
  <c r="L19" i="45"/>
  <c r="P15" i="45" s="1"/>
  <c r="L69" i="45"/>
  <c r="P33" i="45" s="1"/>
  <c r="L53" i="45"/>
  <c r="L37" i="45"/>
  <c r="L21" i="45"/>
  <c r="L73" i="45"/>
  <c r="L67" i="45"/>
  <c r="R31" i="45"/>
  <c r="R23" i="45"/>
  <c r="R33" i="45"/>
  <c r="R21" i="45"/>
  <c r="R25" i="45"/>
  <c r="R13" i="45"/>
  <c r="R27" i="45"/>
  <c r="R19" i="45"/>
  <c r="R9" i="45"/>
  <c r="R15" i="45"/>
  <c r="R17" i="45"/>
  <c r="R35" i="45"/>
  <c r="P9" i="45"/>
  <c r="O51" i="45"/>
  <c r="K9" i="45"/>
  <c r="O9" i="45" s="1"/>
  <c r="O83" i="45"/>
  <c r="K427" i="45"/>
  <c r="O59" i="45" s="1"/>
  <c r="K11" i="45"/>
  <c r="K145" i="45"/>
  <c r="K45" i="45"/>
  <c r="O25" i="45" s="1"/>
  <c r="K19" i="45"/>
  <c r="O15" i="45" s="1"/>
  <c r="K39" i="45"/>
  <c r="O23" i="45" s="1"/>
  <c r="K59" i="45"/>
  <c r="O31" i="45" s="1"/>
  <c r="K31" i="45"/>
  <c r="O19" i="45" s="1"/>
  <c r="O53" i="45"/>
  <c r="K73" i="45"/>
  <c r="K432" i="45"/>
  <c r="O75" i="45"/>
  <c r="K459" i="45"/>
  <c r="O65" i="45" s="1"/>
  <c r="K29" i="45"/>
  <c r="O17" i="45" s="1"/>
  <c r="K147" i="45"/>
  <c r="O101" i="45"/>
  <c r="O99" i="45"/>
  <c r="K429" i="45"/>
  <c r="O93" i="45"/>
  <c r="K468" i="45"/>
  <c r="K465" i="45"/>
  <c r="R87" i="45"/>
  <c r="R77" i="45"/>
  <c r="R105" i="45"/>
  <c r="R83" i="45"/>
  <c r="R95" i="45"/>
  <c r="R101" i="45"/>
  <c r="R93" i="45"/>
  <c r="R89" i="45"/>
  <c r="K71" i="45"/>
  <c r="O35" i="45" s="1"/>
  <c r="K69" i="45"/>
  <c r="O33" i="45" s="1"/>
  <c r="K57" i="45"/>
  <c r="O29" i="45" s="1"/>
  <c r="K47" i="45"/>
  <c r="O27" i="45" s="1"/>
  <c r="K37" i="45"/>
  <c r="O21" i="45" s="1"/>
  <c r="K17" i="45"/>
  <c r="O13" i="45" s="1"/>
  <c r="O95" i="45"/>
  <c r="R99" i="45"/>
  <c r="O89" i="45"/>
  <c r="O87" i="45"/>
  <c r="K457" i="45"/>
  <c r="O63" i="45" s="1"/>
  <c r="K425" i="45"/>
  <c r="O57" i="45" s="1"/>
  <c r="R57" i="45"/>
  <c r="K149" i="45"/>
  <c r="K75" i="45"/>
  <c r="Q99" i="45"/>
  <c r="Q93" i="45"/>
  <c r="Q87" i="45"/>
  <c r="Q95" i="45"/>
  <c r="Q101" i="45"/>
  <c r="Q89" i="45"/>
  <c r="P59" i="45"/>
  <c r="P95" i="45"/>
  <c r="P93" i="45"/>
  <c r="P101" i="45"/>
  <c r="P89" i="45"/>
  <c r="P99" i="45"/>
  <c r="P87" i="45"/>
  <c r="P77" i="45"/>
  <c r="P51" i="45"/>
  <c r="P53" i="45"/>
  <c r="H18" i="31"/>
  <c r="Q53" i="45"/>
  <c r="R107" i="45"/>
  <c r="R51" i="45"/>
  <c r="R75" i="45"/>
  <c r="O107" i="45"/>
  <c r="O77" i="45"/>
  <c r="P75" i="45"/>
  <c r="Q51" i="45"/>
  <c r="K23" i="40"/>
  <c r="K22" i="40"/>
  <c r="R81" i="45"/>
  <c r="O105" i="45"/>
  <c r="O81" i="45"/>
  <c r="P23" i="40" l="1"/>
  <c r="O23" i="40"/>
  <c r="N23" i="40"/>
  <c r="M23" i="40"/>
  <c r="L23" i="40"/>
  <c r="M22" i="40"/>
  <c r="L22" i="40"/>
  <c r="P22" i="40"/>
  <c r="O22" i="40"/>
  <c r="N22" i="40"/>
  <c r="P81" i="45"/>
  <c r="Q83" i="45"/>
  <c r="Q81" i="45"/>
  <c r="R53" i="45"/>
  <c r="P83" i="45"/>
  <c r="Q105" i="45"/>
  <c r="P105" i="45"/>
  <c r="Q107" i="45"/>
  <c r="P107" i="45"/>
  <c r="P21" i="45"/>
  <c r="P23" i="45"/>
  <c r="Q75" i="45"/>
  <c r="Q77" i="45"/>
  <c r="H24" i="31"/>
  <c r="H30" i="31"/>
  <c r="G30" i="31"/>
  <c r="H31" i="31"/>
  <c r="Q11" i="45"/>
  <c r="R11" i="45"/>
  <c r="O11" i="45"/>
  <c r="G25" i="31"/>
  <c r="P45" i="45"/>
  <c r="P11" i="45"/>
  <c r="H19" i="31"/>
  <c r="H25" i="31"/>
  <c r="G24" i="31"/>
  <c r="G19" i="31"/>
  <c r="O45" i="45"/>
  <c r="O47" i="45"/>
  <c r="R47" i="45"/>
  <c r="R45" i="45"/>
  <c r="Q45" i="45"/>
  <c r="G31" i="31"/>
  <c r="H38" i="31" l="1"/>
  <c r="E70" i="31" s="1"/>
  <c r="H37" i="31"/>
  <c r="D71" i="31" s="1"/>
  <c r="I59" i="40"/>
  <c r="M30" i="40"/>
  <c r="I61" i="40" s="1"/>
  <c r="I60" i="40"/>
  <c r="O30" i="40"/>
  <c r="I63" i="40" s="1"/>
  <c r="P30" i="40"/>
  <c r="I64" i="40" s="1"/>
  <c r="N30" i="40"/>
  <c r="I62" i="40" s="1"/>
  <c r="G18" i="31"/>
  <c r="O31" i="40"/>
  <c r="J63" i="40" s="1"/>
  <c r="L31" i="40"/>
  <c r="J60" i="40" s="1"/>
  <c r="J59" i="40"/>
  <c r="P31" i="40"/>
  <c r="J64" i="40" s="1"/>
  <c r="M31" i="40"/>
  <c r="J61" i="40" s="1"/>
  <c r="N31" i="40"/>
  <c r="J62" i="40" s="1"/>
  <c r="D72" i="31"/>
  <c r="E72" i="31"/>
  <c r="D73" i="31"/>
  <c r="E73" i="31"/>
  <c r="D70" i="31" l="1"/>
  <c r="E71" i="31"/>
  <c r="O71" i="45"/>
  <c r="O69" i="45"/>
  <c r="Q69" i="45"/>
  <c r="R69" i="45"/>
  <c r="P69" i="45"/>
  <c r="R71" i="45"/>
  <c r="Q71" i="45"/>
  <c r="P71" i="45"/>
</calcChain>
</file>

<file path=xl/sharedStrings.xml><?xml version="1.0" encoding="utf-8"?>
<sst xmlns="http://schemas.openxmlformats.org/spreadsheetml/2006/main" count="3913" uniqueCount="504">
  <si>
    <t>Supplemental Risk Evaluation for 1,3-Butadiene</t>
  </si>
  <si>
    <t>Supplemental File on 1,3-Butadiene Risk Calculations</t>
  </si>
  <si>
    <t>Description of this workbook:</t>
  </si>
  <si>
    <t xml:space="preserve">The risk calculator for 1,3-butadiene contains the following spreadsheets: 1) Calculation Summary, 2) Dashboard, 3) Bridge Table, 4) Risk Reduction, 5) Health Data, 6) Inhalation Exposure, 7) List Values, and 8) Exposure Factors. The workbook is designed so that the user need only use/change the input cells in three spreadsheets, the Dashboard, the Bridge Table, and the Risk Reduction, which have tabs colored green and contain the results of the risk calculator. The remaining spreadsheets contain data storage and calculation spreadsheets. </t>
  </si>
  <si>
    <t>Key Worksheets</t>
  </si>
  <si>
    <t>Description</t>
  </si>
  <si>
    <t>Dashboard</t>
  </si>
  <si>
    <t>Bridge Table</t>
  </si>
  <si>
    <t xml:space="preserve">The table provides summary of the risk estimates for inhalation exposures for all occupational exposure scenarios.  Risk estimates that exceed the benchmark (i.e., MOEs less than the benchmark MOE or cancer risks greater than the cancer risk benchmark) are highlighted by bolding the number and shading the cell. </t>
  </si>
  <si>
    <t>Risk Reduction</t>
  </si>
  <si>
    <t>The RR spreadsheet is an expanded version of the Dashboard. Similar to the Dashboard, the Risk Reduction allows the user to select a COU. In the Risk Reduction spreadsheet, the user can also elect to see results for a worker or ONU separately. Additionally, the Heat Map displays all the PPE options. The Risk Reduction spreadsheet includes results without PPE and for each of the PPE options (i.e. APF). The Risk Reduction spreadsheet has a row for each toxicity endpoint, and each row shows the cancer risk or MOE values. Similar to the Dashboard, the RR spreadsheet shades results if the MOE is less than the benchmark MOE or the cancer risk is greater than the benchmark cancer risk.</t>
  </si>
  <si>
    <t>Health Data, 
Inhalation Exposure, 
List Values and 
Exposure Factors</t>
  </si>
  <si>
    <t>As described above the remaining spreadsheets are data storage and calculation spreadsheets. These worksheets store the exposure estimates, health values and store some of the risk calculations. The user does not need to access these worksheets to use the Dashboard and Risk Reduction spreadsheets as described above; all results are automatically loaded into the Dashboard and Risk Reduction spreadsheets.</t>
  </si>
  <si>
    <t>Equations and Calculations Used for Risk Calculator</t>
  </si>
  <si>
    <t>Exposure Type</t>
  </si>
  <si>
    <t>Equation</t>
  </si>
  <si>
    <t>Equation Parameters</t>
  </si>
  <si>
    <r>
      <t>Inhalation Exposure Calculations</t>
    </r>
    <r>
      <rPr>
        <b/>
        <vertAlign val="superscript"/>
        <sz val="10"/>
        <color theme="1"/>
        <rFont val="Calibri"/>
        <family val="2"/>
        <scheme val="minor"/>
      </rPr>
      <t>a</t>
    </r>
  </si>
  <si>
    <t>Acute Concentration (AC) (ppm)</t>
  </si>
  <si>
    <t>8-hr TWA Concentration x ED / AT_AC</t>
  </si>
  <si>
    <t>- ED = 8 hr/day
- AT_AC = 24 hr/day</t>
  </si>
  <si>
    <t>Intermediate Average Daily Concentration (ADC)(ppm)</t>
  </si>
  <si>
    <t>8-hr TWA concentration x ED x EF_ST/AT_ADC_ST</t>
  </si>
  <si>
    <t>- ED = 8 hr/day
- EF_ST = The exposure days in the numerator will typically be 22 days/yr when the total exposure days/yr is &gt;22 days/yr or equal to the total exposure days/yr if the total is &lt;22 days/yr. This maximizes the number of exposure days in the intermediate timeframe, accounting for days off.  However, we may adjust this approach if we have specific information about the OES. For example, if we know that facilities operate using a single, week-long campaign, once per month (i.e., 7 days/month x 12 months). In this case, we would use 7 days for the intermediate exposure days.
- AT_ADC_ST= 720 hr (i.e. 30 days x 24 hr/day)</t>
  </si>
  <si>
    <t>Chronic Average Daily Concentration (ADC)(ppm)</t>
  </si>
  <si>
    <t>8-hr TWA concentration x ED x EF x WY/AT_ADC</t>
  </si>
  <si>
    <t>- ED = 8 hr/day
- EF = 125-350 days depending on OES
- WY = 31 (central tendency) to 40 yr (high-end)
- AT_ADC = 271,560 (central tendency) to 350,400 hr (high-end) (i.e. WY x 365 days/yr x 24 hr/day)</t>
  </si>
  <si>
    <t>Lifetime Average Daily Concentration (LADC)(ppm)</t>
  </si>
  <si>
    <t>8-hr TWA concentration x ED x EF x WY/AT_LADC</t>
  </si>
  <si>
    <t>- ED = 8 hr/day
- EF = 125-350 days depending on OES
- WY = 31 (central tendency) to 40 yr (high-end)
- AT_LADC = 683,280 hr (i.e. 78 yr x 365 days/yr x 24 hr/day)</t>
  </si>
  <si>
    <t>Non-Cancer Inhalation Exposure Risk Calculations</t>
  </si>
  <si>
    <t>Human Equivalent Concentration (HEC) (ppm)</t>
  </si>
  <si>
    <t>see Health Data tab</t>
  </si>
  <si>
    <t>Benchmark Margin of Exposure (MOE) (unitless)</t>
  </si>
  <si>
    <t>Acute MOE (unitless)</t>
  </si>
  <si>
    <t>HEC / AC</t>
  </si>
  <si>
    <t>The calculated MOE is then compared with the Benchmark MOE; if the calculated MOE is less than the benchmark MOE then there is risk.</t>
  </si>
  <si>
    <t>Chronic, Non-Cancer MOE (unitless)</t>
  </si>
  <si>
    <t>HEC / ADC</t>
  </si>
  <si>
    <t>Cancer Inhalation Exposure Risk Calculations</t>
  </si>
  <si>
    <r>
      <t>Inhalation Unit Risk (ppm</t>
    </r>
    <r>
      <rPr>
        <vertAlign val="superscript"/>
        <sz val="10"/>
        <color theme="1"/>
        <rFont val="Calibri"/>
        <family val="2"/>
        <scheme val="minor"/>
      </rPr>
      <t>-1</t>
    </r>
    <r>
      <rPr>
        <sz val="10"/>
        <color theme="1"/>
        <rFont val="Calibri"/>
        <family val="2"/>
        <scheme val="minor"/>
      </rPr>
      <t>)</t>
    </r>
  </si>
  <si>
    <t>Cancer risk (unitless)</t>
  </si>
  <si>
    <t xml:space="preserve">Cancer risk in a population (i.e., 1 in XXX). This value is then compared with the cancer risk benchmarks of 10-4 (1-in-1,000) </t>
  </si>
  <si>
    <t>Condition of Use</t>
  </si>
  <si>
    <t>Select the Condition of Use (select)</t>
  </si>
  <si>
    <t>Processing - Incorporation into Formulation (Instrument and Electrical - Turnaround)</t>
  </si>
  <si>
    <t>8-hr TWA Exposures</t>
  </si>
  <si>
    <t>12-hr TWA Exposures</t>
  </si>
  <si>
    <t>Exposure Outputs</t>
  </si>
  <si>
    <t>Category</t>
  </si>
  <si>
    <t>Exposure Scenario</t>
  </si>
  <si>
    <t>Exposure Level</t>
  </si>
  <si>
    <t>Full-Shift (Eight-Hour) TWA Exposure</t>
  </si>
  <si>
    <t>Acute, Non-Cancer Exposures</t>
  </si>
  <si>
    <t>Intermediate, Non-Cancer Exposures</t>
  </si>
  <si>
    <t>Chronic, Non-Cancer Exposures</t>
  </si>
  <si>
    <t>Chronic, Cancer Exposures</t>
  </si>
  <si>
    <t>Full-Shift (12-Hour) TWA Exposure</t>
  </si>
  <si>
    <r>
      <t>C</t>
    </r>
    <r>
      <rPr>
        <b/>
        <vertAlign val="subscript"/>
        <sz val="10"/>
        <rFont val="Calibri"/>
        <family val="2"/>
        <scheme val="minor"/>
      </rPr>
      <t>1,3-BD</t>
    </r>
    <r>
      <rPr>
        <b/>
        <sz val="10"/>
        <rFont val="Calibri"/>
        <family val="2"/>
        <scheme val="minor"/>
      </rPr>
      <t>, 8-hr TWA (ppm)</t>
    </r>
  </si>
  <si>
    <r>
      <t>AC</t>
    </r>
    <r>
      <rPr>
        <b/>
        <vertAlign val="subscript"/>
        <sz val="10"/>
        <rFont val="Calibri"/>
        <family val="2"/>
        <scheme val="minor"/>
      </rPr>
      <t>1,3-BD</t>
    </r>
    <r>
      <rPr>
        <b/>
        <sz val="10"/>
        <rFont val="Calibri"/>
        <family val="2"/>
        <scheme val="minor"/>
      </rPr>
      <t>, 8-hr TWA (ppm)</t>
    </r>
  </si>
  <si>
    <r>
      <t>ADC</t>
    </r>
    <r>
      <rPr>
        <b/>
        <vertAlign val="subscript"/>
        <sz val="10"/>
        <rFont val="Calibri"/>
        <family val="2"/>
        <scheme val="minor"/>
      </rPr>
      <t>1,3-BD</t>
    </r>
    <r>
      <rPr>
        <b/>
        <sz val="10"/>
        <rFont val="Calibri"/>
        <family val="2"/>
        <scheme val="minor"/>
      </rPr>
      <t>, 24-hr TWA (ppm)</t>
    </r>
  </si>
  <si>
    <r>
      <t>LADC</t>
    </r>
    <r>
      <rPr>
        <b/>
        <vertAlign val="subscript"/>
        <sz val="10"/>
        <rFont val="Calibri"/>
        <family val="2"/>
        <scheme val="minor"/>
      </rPr>
      <t>1,3-BD</t>
    </r>
    <r>
      <rPr>
        <b/>
        <sz val="10"/>
        <rFont val="Calibri"/>
        <family val="2"/>
        <scheme val="minor"/>
      </rPr>
      <t>, 24-hr TWA (ppm)</t>
    </r>
  </si>
  <si>
    <r>
      <t>C</t>
    </r>
    <r>
      <rPr>
        <b/>
        <vertAlign val="subscript"/>
        <sz val="10"/>
        <rFont val="Calibri"/>
        <family val="2"/>
        <scheme val="minor"/>
      </rPr>
      <t>1,3-BD</t>
    </r>
    <r>
      <rPr>
        <b/>
        <sz val="10"/>
        <rFont val="Calibri"/>
        <family val="2"/>
        <scheme val="minor"/>
      </rPr>
      <t>, 12-hr TWA (ppm)</t>
    </r>
  </si>
  <si>
    <r>
      <t>AC</t>
    </r>
    <r>
      <rPr>
        <b/>
        <vertAlign val="subscript"/>
        <sz val="10"/>
        <rFont val="Calibri"/>
        <family val="2"/>
        <scheme val="minor"/>
      </rPr>
      <t>1,3-BD</t>
    </r>
    <r>
      <rPr>
        <b/>
        <sz val="10"/>
        <rFont val="Calibri"/>
        <family val="2"/>
        <scheme val="minor"/>
      </rPr>
      <t>, 12-hr TWA (ppm)</t>
    </r>
  </si>
  <si>
    <t>Worker</t>
  </si>
  <si>
    <t>8-hr TWA</t>
  </si>
  <si>
    <t>High End</t>
  </si>
  <si>
    <t>12-hr TWA</t>
  </si>
  <si>
    <t>ONU</t>
  </si>
  <si>
    <t>Central Tendency</t>
  </si>
  <si>
    <t>Risk Estimation for Acute Inhalation Exposures</t>
  </si>
  <si>
    <t>Health Effect, Endpoint and Study</t>
  </si>
  <si>
    <t>HEC (ppm)</t>
  </si>
  <si>
    <t>Benchmark MOE 
(= Total UF)</t>
  </si>
  <si>
    <t>Acute Exposure Estimates</t>
  </si>
  <si>
    <t>Worker MOE</t>
  </si>
  <si>
    <t>ONU MOE</t>
  </si>
  <si>
    <t>Tox1</t>
  </si>
  <si>
    <t>*Note: No acute POD derived, therefore no acute risks were estimated.</t>
  </si>
  <si>
    <t>Risk Estimation for Intermediate, Non-Cancer Inhalation Exposures</t>
  </si>
  <si>
    <t>Intermediate Exposure Estimates</t>
  </si>
  <si>
    <t>Tox2</t>
  </si>
  <si>
    <t>Risk Estimation for Chronic, Non-Cancer Inhalation Exposures</t>
  </si>
  <si>
    <t>Chronic Exposure Estimates</t>
  </si>
  <si>
    <t>Tox3</t>
  </si>
  <si>
    <t>Cancer Risks</t>
  </si>
  <si>
    <t>Chronic Cancer Exposure Estimates</t>
  </si>
  <si>
    <t>Risk Estimate</t>
  </si>
  <si>
    <t>Benchmark</t>
  </si>
  <si>
    <t xml:space="preserve">Worker </t>
  </si>
  <si>
    <t xml:space="preserve">ONU </t>
  </si>
  <si>
    <t>Tox4</t>
  </si>
  <si>
    <r>
      <t>10</t>
    </r>
    <r>
      <rPr>
        <b/>
        <vertAlign val="superscript"/>
        <sz val="10"/>
        <color theme="1"/>
        <rFont val="Calibri"/>
        <family val="2"/>
        <scheme val="minor"/>
      </rPr>
      <t>-4</t>
    </r>
    <r>
      <rPr>
        <b/>
        <sz val="10"/>
        <color theme="1"/>
        <rFont val="Calibri"/>
        <family val="2"/>
        <scheme val="minor"/>
      </rPr>
      <t>, 10</t>
    </r>
    <r>
      <rPr>
        <b/>
        <vertAlign val="superscript"/>
        <sz val="10"/>
        <color theme="1"/>
        <rFont val="Calibri"/>
        <family val="2"/>
        <scheme val="minor"/>
      </rPr>
      <t>-5</t>
    </r>
    <r>
      <rPr>
        <b/>
        <sz val="10"/>
        <color theme="1"/>
        <rFont val="Calibri"/>
        <family val="2"/>
        <scheme val="minor"/>
      </rPr>
      <t>, 10</t>
    </r>
    <r>
      <rPr>
        <b/>
        <vertAlign val="superscript"/>
        <sz val="10"/>
        <color theme="1"/>
        <rFont val="Calibri"/>
        <family val="2"/>
        <scheme val="minor"/>
      </rPr>
      <t>-6</t>
    </r>
  </si>
  <si>
    <t>Inhalation Cancer Risk Estimates</t>
  </si>
  <si>
    <t>Cancer Risk</t>
  </si>
  <si>
    <t>ONU: Central Tendency</t>
  </si>
  <si>
    <t>ONU: High End</t>
  </si>
  <si>
    <t>Worker: Central Tendency</t>
  </si>
  <si>
    <t>Worker: High End</t>
  </si>
  <si>
    <t>Summary of Risk Estimates for Inhalation Exposures to Workers by Condition of Use</t>
  </si>
  <si>
    <t>Benchmarks</t>
  </si>
  <si>
    <t>Inhalation
8-hr TWA</t>
  </si>
  <si>
    <t>Glove PF =</t>
  </si>
  <si>
    <t>OES Group</t>
  </si>
  <si>
    <t>Population</t>
  </si>
  <si>
    <t>Exposure Route</t>
  </si>
  <si>
    <t>Life Cycle Stage/ Category</t>
  </si>
  <si>
    <t>Subcategory</t>
  </si>
  <si>
    <t>Occupational Exposure Scenario</t>
  </si>
  <si>
    <t>Exposure Route and Duration</t>
  </si>
  <si>
    <t>Risk Estimates for No PPE*</t>
  </si>
  <si>
    <t>Risk Estimates with PPE</t>
  </si>
  <si>
    <t>Select the PPE APF or PF for Each OES, Receptor, and Endpoint</t>
  </si>
  <si>
    <r>
      <t>Cancer (bench­mark = 10</t>
    </r>
    <r>
      <rPr>
        <b/>
        <vertAlign val="superscript"/>
        <sz val="9.5"/>
        <color rgb="FF000000"/>
        <rFont val="Times New Roman"/>
        <family val="1"/>
      </rPr>
      <t>-4</t>
    </r>
    <r>
      <rPr>
        <b/>
        <sz val="9.5"/>
        <color rgb="FF000000"/>
        <rFont val="Times New Roman"/>
        <family val="1"/>
      </rPr>
      <t>)</t>
    </r>
  </si>
  <si>
    <t>Acute Non-cancer</t>
  </si>
  <si>
    <t>Intermediate Non-cancer</t>
  </si>
  <si>
    <t>Chronic Non-cancer</t>
  </si>
  <si>
    <t>Cancer</t>
  </si>
  <si>
    <r>
      <t>Intermediate Non-cancer HEC (mg/m</t>
    </r>
    <r>
      <rPr>
        <b/>
        <vertAlign val="superscript"/>
        <sz val="9.5"/>
        <color rgb="FF000000"/>
        <rFont val="Times New Roman"/>
        <family val="1"/>
      </rPr>
      <t>3</t>
    </r>
    <r>
      <rPr>
        <b/>
        <sz val="9.5"/>
        <color rgb="FF000000"/>
        <rFont val="Times New Roman"/>
        <family val="1"/>
      </rPr>
      <t>)</t>
    </r>
  </si>
  <si>
    <r>
      <t>Chronic Non-cancer HEC (mg/m</t>
    </r>
    <r>
      <rPr>
        <b/>
        <vertAlign val="superscript"/>
        <sz val="9.5"/>
        <color rgb="FF000000"/>
        <rFont val="Times New Roman"/>
        <family val="1"/>
      </rPr>
      <t>3</t>
    </r>
    <r>
      <rPr>
        <b/>
        <sz val="9.5"/>
        <color rgb="FF000000"/>
        <rFont val="Times New Roman"/>
        <family val="1"/>
      </rPr>
      <t>)</t>
    </r>
  </si>
  <si>
    <r>
      <t>Cancer CSF (ppm)</t>
    </r>
    <r>
      <rPr>
        <b/>
        <vertAlign val="superscript"/>
        <sz val="9.5"/>
        <color rgb="FF000000"/>
        <rFont val="Times New Roman"/>
        <family val="1"/>
      </rPr>
      <t>-1</t>
    </r>
  </si>
  <si>
    <t>1a</t>
  </si>
  <si>
    <t>Inhalation</t>
  </si>
  <si>
    <t>Manufacture/
Domestic Manufacturing</t>
  </si>
  <si>
    <t>Domestic manufacture</t>
  </si>
  <si>
    <t>Manufacturing
(8-hr shift)</t>
  </si>
  <si>
    <t>Infrastructure/Distribution Operations</t>
  </si>
  <si>
    <t>APF</t>
  </si>
  <si>
    <t>High-End</t>
  </si>
  <si>
    <t>1b</t>
  </si>
  <si>
    <t>Infrastructure/Distribution Operations - Nonroutine</t>
  </si>
  <si>
    <t>1d</t>
  </si>
  <si>
    <t>Instrument and Electrical</t>
  </si>
  <si>
    <t>1e</t>
  </si>
  <si>
    <t>Instrument and Electrical - Nonroutine</t>
  </si>
  <si>
    <t>1f</t>
  </si>
  <si>
    <t>Instrument and Electrical - Turnaround</t>
  </si>
  <si>
    <t>1g</t>
  </si>
  <si>
    <t>Laboratory Technician</t>
  </si>
  <si>
    <t>1h</t>
  </si>
  <si>
    <t>Laboratory Technician - Nonroutine</t>
  </si>
  <si>
    <t>1i</t>
  </si>
  <si>
    <t>Machinery and Specialists</t>
  </si>
  <si>
    <t>1j</t>
  </si>
  <si>
    <t>Machinery and Specialists - Turnaround</t>
  </si>
  <si>
    <t>N/A</t>
  </si>
  <si>
    <t>1k</t>
  </si>
  <si>
    <t>Maintenance</t>
  </si>
  <si>
    <t>1l</t>
  </si>
  <si>
    <t>Maintenance - Nonroutine</t>
  </si>
  <si>
    <t>1m</t>
  </si>
  <si>
    <t>Maintenance - Turnaround</t>
  </si>
  <si>
    <t>1n</t>
  </si>
  <si>
    <t>Operations Onsite</t>
  </si>
  <si>
    <t>1o</t>
  </si>
  <si>
    <t>Operations Onsite - Nonroutine</t>
  </si>
  <si>
    <t>1p</t>
  </si>
  <si>
    <t>Operations Onsite - Turnaround</t>
  </si>
  <si>
    <t>1q</t>
  </si>
  <si>
    <t>Safety Health and Engineering</t>
  </si>
  <si>
    <t>1c</t>
  </si>
  <si>
    <t>1r</t>
  </si>
  <si>
    <t>Manufacturing
(12-hr shift)</t>
  </si>
  <si>
    <t>Inhalation
12-hr TWA</t>
  </si>
  <si>
    <t>1s</t>
  </si>
  <si>
    <t>1u</t>
  </si>
  <si>
    <t>1v</t>
  </si>
  <si>
    <t>1w</t>
  </si>
  <si>
    <t>1x</t>
  </si>
  <si>
    <t>1y</t>
  </si>
  <si>
    <t>1z</t>
  </si>
  <si>
    <t>1aa</t>
  </si>
  <si>
    <t>1bb</t>
  </si>
  <si>
    <t>1cc</t>
  </si>
  <si>
    <t>1dd</t>
  </si>
  <si>
    <t>1ee</t>
  </si>
  <si>
    <t>1ff</t>
  </si>
  <si>
    <t>1gg</t>
  </si>
  <si>
    <t>1hh</t>
  </si>
  <si>
    <t>1t</t>
  </si>
  <si>
    <t xml:space="preserve">Manufacturing/ Importing
Processing/ Repackaging
</t>
  </si>
  <si>
    <t xml:space="preserve">Importing
Intermediate in: Wholesale and retail trade; Monomer in: Synthetic Rubber Manufacturing
</t>
  </si>
  <si>
    <t xml:space="preserve">Repackaging </t>
  </si>
  <si>
    <t>3a</t>
  </si>
  <si>
    <t>Processing/ As a Reactant
Processing/ Recycling</t>
  </si>
  <si>
    <t>Intermediate in: Adhesive manufacturing; All other basic organic chemical manufacturing; Fuel binder for solid rocket fuels; Organic fiber manufacturing; Petrochemical manufacturing; Petroleum refineries; Plastic material and resin manufacturing; Propellant manufacturing; Synthetic rubber manufacturing; Wholesale and retail trade
Recycling</t>
  </si>
  <si>
    <t>Processing as a Reactant
(8-hr shift)</t>
  </si>
  <si>
    <t>3b</t>
  </si>
  <si>
    <t>3d</t>
  </si>
  <si>
    <t>3e</t>
  </si>
  <si>
    <t>3f</t>
  </si>
  <si>
    <t>3g</t>
  </si>
  <si>
    <t>3h</t>
  </si>
  <si>
    <t>3i</t>
  </si>
  <si>
    <t>3j</t>
  </si>
  <si>
    <t>3k</t>
  </si>
  <si>
    <t>3l</t>
  </si>
  <si>
    <t>3m</t>
  </si>
  <si>
    <t>3n</t>
  </si>
  <si>
    <t>3o</t>
  </si>
  <si>
    <t>3p</t>
  </si>
  <si>
    <t>3q</t>
  </si>
  <si>
    <t>3c</t>
  </si>
  <si>
    <t>3r</t>
  </si>
  <si>
    <t xml:space="preserve">Processing/ As a Reactant
Processing/ Recycling
</t>
  </si>
  <si>
    <t>Processing as a Reactant
(12-hr shift)</t>
  </si>
  <si>
    <t>3s</t>
  </si>
  <si>
    <t>3u</t>
  </si>
  <si>
    <t>3v</t>
  </si>
  <si>
    <t>3w</t>
  </si>
  <si>
    <t>3x</t>
  </si>
  <si>
    <t>3y</t>
  </si>
  <si>
    <t>3z</t>
  </si>
  <si>
    <t>3aa</t>
  </si>
  <si>
    <t>3bb</t>
  </si>
  <si>
    <t>3cc</t>
  </si>
  <si>
    <t>3dd</t>
  </si>
  <si>
    <t>3ee</t>
  </si>
  <si>
    <t>3ff</t>
  </si>
  <si>
    <t>3gg</t>
  </si>
  <si>
    <t>3hh</t>
  </si>
  <si>
    <t>3t</t>
  </si>
  <si>
    <t>4a</t>
  </si>
  <si>
    <t>Processing/
Incorporation into formulation, mixture, or reaction product</t>
  </si>
  <si>
    <t xml:space="preserve">Processing aids, not otherwise listed in: Petrochemical manufacturing; Monomers used in: Plastic product manufacturing; Synthetic rubber manufacturing
Other: Adhesive manufacturing, paints and coatings manufacturing, petroleum lubricating oil and grease manufacturing, and all other chemical product and preparation manufacturing </t>
  </si>
  <si>
    <t>Processing - Incorporation into Formulation, Mixture, or Reaction Product
(8-hr shift)</t>
  </si>
  <si>
    <t>4b</t>
  </si>
  <si>
    <t>4d</t>
  </si>
  <si>
    <t>4e</t>
  </si>
  <si>
    <t>4f</t>
  </si>
  <si>
    <t>4g</t>
  </si>
  <si>
    <t>4h</t>
  </si>
  <si>
    <t>4i</t>
  </si>
  <si>
    <t>4j</t>
  </si>
  <si>
    <t>4k</t>
  </si>
  <si>
    <t>4l</t>
  </si>
  <si>
    <t>4m</t>
  </si>
  <si>
    <t>4n</t>
  </si>
  <si>
    <t>4o</t>
  </si>
  <si>
    <t>4p</t>
  </si>
  <si>
    <t>4q</t>
  </si>
  <si>
    <t>4c</t>
  </si>
  <si>
    <t>4r</t>
  </si>
  <si>
    <t>Processing - Incorporation into Formulation, Mixture, or Reaction Product
(12-hr shift)</t>
  </si>
  <si>
    <t>4s</t>
  </si>
  <si>
    <t>4u</t>
  </si>
  <si>
    <t>4v</t>
  </si>
  <si>
    <t>4w</t>
  </si>
  <si>
    <t>4x</t>
  </si>
  <si>
    <t>4y</t>
  </si>
  <si>
    <t>4z</t>
  </si>
  <si>
    <t>4aa</t>
  </si>
  <si>
    <t>4bb</t>
  </si>
  <si>
    <t>4cc</t>
  </si>
  <si>
    <t>4dd</t>
  </si>
  <si>
    <t>4ee</t>
  </si>
  <si>
    <t>4ff</t>
  </si>
  <si>
    <t>4gg</t>
  </si>
  <si>
    <t>4hh</t>
  </si>
  <si>
    <t>4t</t>
  </si>
  <si>
    <t>5a</t>
  </si>
  <si>
    <t>Processing/As a Reactant</t>
  </si>
  <si>
    <t>Monomer used in polymerization process in: Synthetic Rubber Manufacturing; Plastic material and resin manufacturing</t>
  </si>
  <si>
    <t>Plastics and Rubber Compounding</t>
  </si>
  <si>
    <t>5b</t>
  </si>
  <si>
    <t>6a</t>
  </si>
  <si>
    <t>Processing/ Incorporation into article</t>
  </si>
  <si>
    <t xml:space="preserve">Other: Polymer in: Rubber and plastic product manufacturing </t>
  </si>
  <si>
    <t>Plastics and Rubber Converting</t>
  </si>
  <si>
    <t>6b</t>
  </si>
  <si>
    <t>7a</t>
  </si>
  <si>
    <t>Commercial Use/ Other use</t>
  </si>
  <si>
    <t>Laboratory Chemicals</t>
  </si>
  <si>
    <t>Use of Laboratory Chemicals</t>
  </si>
  <si>
    <t>7b</t>
  </si>
  <si>
    <t>7c</t>
  </si>
  <si>
    <t>7d</t>
  </si>
  <si>
    <t>7e</t>
  </si>
  <si>
    <t>7f</t>
  </si>
  <si>
    <t>Commercial Use / Paints and Coatings / Adhesives and sealants
Industrial Use / Adhesives and Sealants</t>
  </si>
  <si>
    <t>Paints and coatings, including aerosol spray paint  
Adhesives and sealants, including epoxy resins</t>
  </si>
  <si>
    <t>Paints, Coatings, Adhesives, and Sealants</t>
  </si>
  <si>
    <t>Disposal</t>
  </si>
  <si>
    <t>Recycling</t>
  </si>
  <si>
    <t>Waste Handling, Treatment, and Disposal</t>
  </si>
  <si>
    <t>Inhalation Exposure</t>
  </si>
  <si>
    <t>Exposure Type 
(select)</t>
  </si>
  <si>
    <r>
      <t>C</t>
    </r>
    <r>
      <rPr>
        <b/>
        <vertAlign val="subscript"/>
        <sz val="10"/>
        <rFont val="Calibri"/>
        <family val="2"/>
        <scheme val="minor"/>
      </rPr>
      <t>1,3-BD, 8-hr TWA</t>
    </r>
    <r>
      <rPr>
        <b/>
        <sz val="10"/>
        <rFont val="Calibri"/>
        <family val="2"/>
        <scheme val="minor"/>
      </rPr>
      <t xml:space="preserve"> (ppm)</t>
    </r>
  </si>
  <si>
    <r>
      <t>ADC</t>
    </r>
    <r>
      <rPr>
        <b/>
        <vertAlign val="subscript"/>
        <sz val="10"/>
        <rFont val="Calibri"/>
        <family val="2"/>
        <scheme val="minor"/>
      </rPr>
      <t>1,3-BD, 24-hr TWA</t>
    </r>
    <r>
      <rPr>
        <b/>
        <sz val="10"/>
        <rFont val="Calibri"/>
        <family val="2"/>
        <scheme val="minor"/>
      </rPr>
      <t xml:space="preserve"> (ppm)</t>
    </r>
  </si>
  <si>
    <r>
      <t>LADC</t>
    </r>
    <r>
      <rPr>
        <b/>
        <vertAlign val="subscript"/>
        <sz val="10"/>
        <rFont val="Calibri"/>
        <family val="2"/>
        <scheme val="minor"/>
      </rPr>
      <t>1,3-BD, 24-hr TWA</t>
    </r>
    <r>
      <rPr>
        <b/>
        <sz val="10"/>
        <rFont val="Calibri"/>
        <family val="2"/>
        <scheme val="minor"/>
      </rPr>
      <t xml:space="preserve"> (ppm)</t>
    </r>
  </si>
  <si>
    <r>
      <t>C</t>
    </r>
    <r>
      <rPr>
        <b/>
        <vertAlign val="subscript"/>
        <sz val="10"/>
        <rFont val="Calibri"/>
        <family val="2"/>
        <scheme val="minor"/>
      </rPr>
      <t>1,3-BD, 12-hr TWA</t>
    </r>
    <r>
      <rPr>
        <b/>
        <sz val="10"/>
        <rFont val="Calibri"/>
        <family val="2"/>
        <scheme val="minor"/>
      </rPr>
      <t xml:space="preserve"> (ppm)</t>
    </r>
  </si>
  <si>
    <t>Risk Estimation for 8-hr Inhalation Exposures</t>
  </si>
  <si>
    <t>Risk Estimation for 12-hr Inhalation Exposures</t>
  </si>
  <si>
    <t>Risk Type</t>
  </si>
  <si>
    <t>Toxicity Endpoint</t>
  </si>
  <si>
    <t>Study</t>
  </si>
  <si>
    <t>No Respirator</t>
  </si>
  <si>
    <t>APF = 10</t>
  </si>
  <si>
    <t>APF = 25</t>
  </si>
  <si>
    <t>APF = 50</t>
  </si>
  <si>
    <t>APF = 1,000</t>
  </si>
  <si>
    <t>APF = 10,000</t>
  </si>
  <si>
    <t>Acute, Non-Cancer</t>
  </si>
  <si>
    <t>[No acute POD derived]</t>
  </si>
  <si>
    <t>None</t>
  </si>
  <si>
    <t>-</t>
  </si>
  <si>
    <t>Intermediate, Non Cancer</t>
  </si>
  <si>
    <t>Chronic, Non-Cancer</t>
  </si>
  <si>
    <t>Chronic, Cancer</t>
  </si>
  <si>
    <t>=</t>
  </si>
  <si>
    <t>Look-up Values and Risk Parameter Values</t>
  </si>
  <si>
    <t>Based on health data provided 7/22/24</t>
  </si>
  <si>
    <t xml:space="preserve">Inhalation </t>
  </si>
  <si>
    <t>Dermal</t>
  </si>
  <si>
    <t>Acute and Chronic, Non-Cancer Parameters</t>
  </si>
  <si>
    <t>Cancer Parameters</t>
  </si>
  <si>
    <t>Look-up Table Values</t>
  </si>
  <si>
    <t>Code</t>
  </si>
  <si>
    <t>Uncertainty Factors (UFs) for Benchmark MOE</t>
  </si>
  <si>
    <t>HED (mg/kg-d)</t>
  </si>
  <si>
    <r>
      <t>CSF (mg/kg-d)</t>
    </r>
    <r>
      <rPr>
        <b/>
        <vertAlign val="superscript"/>
        <sz val="11"/>
        <color rgb="FFFF0000"/>
        <rFont val="Calibri"/>
        <family val="2"/>
        <scheme val="minor"/>
      </rPr>
      <t>-1</t>
    </r>
  </si>
  <si>
    <t>Exposure Percentiles</t>
  </si>
  <si>
    <t>Target Cancer Risk Level</t>
  </si>
  <si>
    <t>--</t>
  </si>
  <si>
    <t>Intermediate, Non-Cancer</t>
  </si>
  <si>
    <t> Developmental Toxicity</t>
  </si>
  <si>
    <t>Decreased fetal body weight</t>
  </si>
  <si>
    <t>Hackett et al, 1987</t>
  </si>
  <si>
    <t>Increased leukemia incidence</t>
  </si>
  <si>
    <t>Sathiakumar, 2021</t>
  </si>
  <si>
    <t>HEC conversion factor</t>
  </si>
  <si>
    <t>ppm per mg/m3</t>
  </si>
  <si>
    <t>1,3-Butadiene MW</t>
  </si>
  <si>
    <t>g/mol</t>
  </si>
  <si>
    <t>Molar Volume</t>
  </si>
  <si>
    <t>L/mol</t>
  </si>
  <si>
    <t>Data for Risk Graph on Dashboard</t>
  </si>
  <si>
    <t>Occupational Non-user</t>
  </si>
  <si>
    <t>8-hr TWA Exposures Worker Type
(select) Exposure Estimates</t>
  </si>
  <si>
    <t>Summary of Exposure Levels</t>
  </si>
  <si>
    <t>Note: only considers sources with discrete exposure data (does not include sources that present statistics such as mean, median, max, or min only)</t>
  </si>
  <si>
    <t>Exposure Frequency 
(day/yr)</t>
  </si>
  <si>
    <t>TWA Exposures</t>
  </si>
  <si>
    <t>Short-term Exposures</t>
  </si>
  <si>
    <t>TWA Data Points</t>
  </si>
  <si>
    <t>STEL Data Points</t>
  </si>
  <si>
    <t>Sources</t>
  </si>
  <si>
    <r>
      <t>C</t>
    </r>
    <r>
      <rPr>
        <b/>
        <vertAlign val="subscript"/>
        <sz val="10"/>
        <rFont val="Calibri"/>
        <family val="2"/>
        <scheme val="minor"/>
      </rPr>
      <t>1,3-BD, 8- or 12-hr TWA</t>
    </r>
    <r>
      <rPr>
        <b/>
        <sz val="10"/>
        <rFont val="Calibri"/>
        <family val="2"/>
        <scheme val="minor"/>
      </rPr>
      <t xml:space="preserve"> (ppm)</t>
    </r>
  </si>
  <si>
    <r>
      <t>C</t>
    </r>
    <r>
      <rPr>
        <b/>
        <vertAlign val="subscript"/>
        <sz val="10"/>
        <rFont val="Calibri"/>
        <family val="2"/>
        <scheme val="minor"/>
      </rPr>
      <t xml:space="preserve">1,3-BD, 15-min TWA </t>
    </r>
    <r>
      <rPr>
        <b/>
        <sz val="10"/>
        <rFont val="Calibri"/>
        <family val="2"/>
        <scheme val="minor"/>
      </rPr>
      <t>(ppm)</t>
    </r>
  </si>
  <si>
    <r>
      <t>AC</t>
    </r>
    <r>
      <rPr>
        <b/>
        <vertAlign val="subscript"/>
        <sz val="10"/>
        <rFont val="Calibri"/>
        <family val="2"/>
        <scheme val="minor"/>
      </rPr>
      <t>1,3-BD, 8- or 12-hr TWA</t>
    </r>
    <r>
      <rPr>
        <b/>
        <sz val="10"/>
        <rFont val="Calibri"/>
        <family val="2"/>
        <scheme val="minor"/>
      </rPr>
      <t xml:space="preserve"> (ppm)</t>
    </r>
  </si>
  <si>
    <t>Manufacturing (Infrastructure/Distribution Operations)</t>
  </si>
  <si>
    <t xml:space="preserve">ACC data for manufacturing and processing facilities. </t>
  </si>
  <si>
    <t>Manufacturing (Infrastructure/Distribution Operations - Nonroutine)</t>
  </si>
  <si>
    <t>Manufacturing (Instrument and Electrical)</t>
  </si>
  <si>
    <t>Manufacturing (Instrument and Electrical - Nonroutine)</t>
  </si>
  <si>
    <t>Manufacturing (Instrument and Electrical - Turnaround)</t>
  </si>
  <si>
    <t>Manufacturing (Laboratory Technician)</t>
  </si>
  <si>
    <t>Manufacturing (Laboratory Technician - Nonroutine)</t>
  </si>
  <si>
    <t>Manufacturing (Machinery and Specialists)</t>
  </si>
  <si>
    <t>Manufacturing (Machinery and Specialists - Turnaround)</t>
  </si>
  <si>
    <t>Manufacturing (Maintenance)</t>
  </si>
  <si>
    <t>Manufacturing (Maintenance - Nonroutine)</t>
  </si>
  <si>
    <t>Manufacturing (Maintenance - Turnaround)</t>
  </si>
  <si>
    <t>Manufacturing (Operations Onsite)</t>
  </si>
  <si>
    <t>Manufacturing (Operations Onsite - Nonroutine)</t>
  </si>
  <si>
    <t>Manufacturing (Operations Onsite - Turnaround)</t>
  </si>
  <si>
    <t>Manufacturing (Safety Health and Engineering)</t>
  </si>
  <si>
    <t>Repackaging</t>
  </si>
  <si>
    <t xml:space="preserve">ONU data not available; used the central tendency from worker estimates. </t>
  </si>
  <si>
    <t>Processing as a Reactant (Infrastructure/Distribution Operations)</t>
  </si>
  <si>
    <t>Processing as a Reactant (Infrastructure/Distribution Operations - Nonroutine)</t>
  </si>
  <si>
    <t>Processing as a Reactant (Instrument and Electrical)</t>
  </si>
  <si>
    <t>Processing as a Reactant (Instrument and Electrical - Nonroutine)</t>
  </si>
  <si>
    <t>Processing as a Reactant (Instrument and Electrical - Turnaround)</t>
  </si>
  <si>
    <t>Processing as a Reactant (Laboratory Technician)</t>
  </si>
  <si>
    <t>Processing as a Reactant (Laboratory Technician - Nonroutine)</t>
  </si>
  <si>
    <t>Processing as a Reactant (Machinery and Specialists)</t>
  </si>
  <si>
    <t>Processing as a Reactant (Machinery and Specialists - Turnaround)</t>
  </si>
  <si>
    <t>Processing as a Reactant (Maintenance)</t>
  </si>
  <si>
    <t>Processing as a Reactant (Maintenance - Nonroutine)</t>
  </si>
  <si>
    <t>Processing as a Reactant (Maintenance - Turnaround)</t>
  </si>
  <si>
    <t>Processing as a Reactant (Operations Onsite)</t>
  </si>
  <si>
    <t>Processing as a Reactant (Operations Onsite - Nonroutine)</t>
  </si>
  <si>
    <t>Processing as a Reactant (Operations Onsite - Turnaround)</t>
  </si>
  <si>
    <t>Processing as a Reactant (Safety Health and Engineering)</t>
  </si>
  <si>
    <t>Processing - Incorporation into Formulation (Infrastructure/Distribution Operations)</t>
  </si>
  <si>
    <t>Processing - Incorporation into Formulation (Infrastructure/Distribution Operations - Nonroutine)</t>
  </si>
  <si>
    <t>Processing - Incorporation into Formulation (Instrument and Electrical)</t>
  </si>
  <si>
    <t>Processing - Incorporation into Formulation (Instrument and Electrical - Nonroutine)</t>
  </si>
  <si>
    <t>Processing - Incorporation into Formulation (Laboratory Technician)</t>
  </si>
  <si>
    <t>Processing - Incorporation into Formulation (Laboratory Technician - Nonroutine)</t>
  </si>
  <si>
    <t>Processing - Incorporation into Formulation (Machinery and Specialists)</t>
  </si>
  <si>
    <t>Processing - Incorporation into Formulation (Machinery and Specialists - Turnaround)</t>
  </si>
  <si>
    <t>Processing - Incorporation into Formulation (Maintenance)</t>
  </si>
  <si>
    <t>Processing - Incorporation into Formulation (Maintenance - Nonroutine)</t>
  </si>
  <si>
    <t>Processing - Incorporation into Formulation (Maintenance - Turnaround)</t>
  </si>
  <si>
    <t>Processing - Incorporation into Formulation (Operations Onsite)</t>
  </si>
  <si>
    <t>Processing - Incorporation into Formulation (Operations Onsite - Nonroutine)</t>
  </si>
  <si>
    <t>Processing - Incorporation into Formulation (Operations Onsite - Turnaround)</t>
  </si>
  <si>
    <t>Processing - Incorporation into Formulation (Safety Health and Engineering)</t>
  </si>
  <si>
    <t>Use of Laboratory Chemicals (Laboratory Technician)</t>
  </si>
  <si>
    <t>Use of Laboratory Chemicals (Laboratory Technician - Nonroutine)</t>
  </si>
  <si>
    <t>Application of Paints, Coatings, Adhesives, and Sealants</t>
  </si>
  <si>
    <t xml:space="preserve">All values were below the LOD. Used LOD for the HE and LOD/2 for CT. </t>
  </si>
  <si>
    <t>Conditions of Use</t>
  </si>
  <si>
    <t>Exposure Data Types</t>
  </si>
  <si>
    <t>Monitoring Data</t>
  </si>
  <si>
    <t>Modeled Data</t>
  </si>
  <si>
    <t>Worker Type</t>
  </si>
  <si>
    <t>1,3-Butadiene</t>
  </si>
  <si>
    <t>Average Adult Worker</t>
  </si>
  <si>
    <t>MW</t>
  </si>
  <si>
    <t>OSHA PEL</t>
  </si>
  <si>
    <t>ppm</t>
  </si>
  <si>
    <t>BMDL Percentile</t>
  </si>
  <si>
    <r>
      <t>mg/m</t>
    </r>
    <r>
      <rPr>
        <vertAlign val="superscript"/>
        <sz val="10"/>
        <rFont val="Calibri"/>
        <family val="2"/>
      </rPr>
      <t>3</t>
    </r>
  </si>
  <si>
    <t>Unit Conversions</t>
  </si>
  <si>
    <t>Micrograms to milligrams</t>
  </si>
  <si>
    <r>
      <rPr>
        <sz val="10"/>
        <rFont val="Calibri"/>
        <family val="2"/>
      </rPr>
      <t>μ</t>
    </r>
    <r>
      <rPr>
        <sz val="10"/>
        <rFont val="Arial"/>
        <family val="2"/>
      </rPr>
      <t>g/mg</t>
    </r>
  </si>
  <si>
    <t>Assigned Protection Factor</t>
  </si>
  <si>
    <t>Parameter Name</t>
  </si>
  <si>
    <t>Symbol</t>
  </si>
  <si>
    <t>Value</t>
  </si>
  <si>
    <t>Unit</t>
  </si>
  <si>
    <t>Occupational Exposure Duration (8-hr)</t>
  </si>
  <si>
    <t>ED_8</t>
  </si>
  <si>
    <t xml:space="preserve">hr/day </t>
  </si>
  <si>
    <t>Occupational Exposure Duration (12-hr)</t>
  </si>
  <si>
    <t>ED_12</t>
  </si>
  <si>
    <t>Continuous Exposure Duration (24-hr)</t>
  </si>
  <si>
    <t>ED_24</t>
  </si>
  <si>
    <t xml:space="preserve">Occupational Exposure Frequency </t>
  </si>
  <si>
    <t>EF</t>
  </si>
  <si>
    <t xml:space="preserve">day/yr </t>
  </si>
  <si>
    <t>Exposure Frequency - 12 hr</t>
  </si>
  <si>
    <t>EF_12</t>
  </si>
  <si>
    <t>day/yr</t>
  </si>
  <si>
    <t>Exposure Frequency - Nonroutine</t>
  </si>
  <si>
    <t>EF_5</t>
  </si>
  <si>
    <t>Exposure Frequency - Turnaround</t>
  </si>
  <si>
    <t>EF_14</t>
  </si>
  <si>
    <t>Continuous Exposure Frequency</t>
  </si>
  <si>
    <t>EF_C</t>
  </si>
  <si>
    <t>Working Years Per Lifetime (Mid)</t>
  </si>
  <si>
    <t>WY_mid</t>
  </si>
  <si>
    <t xml:space="preserve">yr </t>
  </si>
  <si>
    <t>Working Years Per Lifetime (High)</t>
  </si>
  <si>
    <t>WY_high</t>
  </si>
  <si>
    <t>Lifetime Years for LADC</t>
  </si>
  <si>
    <t>LT</t>
  </si>
  <si>
    <t>Averaging time For ADC (Mid), non-cancer occupational</t>
  </si>
  <si>
    <t>AT_ADC_mid</t>
  </si>
  <si>
    <t xml:space="preserve">hr </t>
  </si>
  <si>
    <t>Averaging time For ADC (High), non-cancer occupational</t>
  </si>
  <si>
    <t>AT_ADC_high</t>
  </si>
  <si>
    <t>Averaging time For LADC, cancer occupational</t>
  </si>
  <si>
    <t>AT_LADC</t>
  </si>
  <si>
    <t>Averaging time for CRD (Mid), non-cancer continuous</t>
  </si>
  <si>
    <t>AT_CRD_mid</t>
  </si>
  <si>
    <t>day</t>
  </si>
  <si>
    <t>Averaging time for CRD (High), non-cancer continuous</t>
  </si>
  <si>
    <t>AT_CRD_high</t>
  </si>
  <si>
    <t>Averaging time for LCRD, cancer continuous</t>
  </si>
  <si>
    <t>AT_LCRD</t>
  </si>
  <si>
    <t>Breathing Ratio</t>
  </si>
  <si>
    <t>Breathing_Ratio</t>
  </si>
  <si>
    <t>Averaging time For ADC Intermediate, non-cancer occupational</t>
  </si>
  <si>
    <t>AT_ADC_ST</t>
  </si>
  <si>
    <t>Exposure Days - Intermediate</t>
  </si>
  <si>
    <t>EF_ST</t>
  </si>
  <si>
    <t>Averaging time for CRD (Intermediate), non-cancer continuous</t>
  </si>
  <si>
    <t>AT_CRD_ST</t>
  </si>
  <si>
    <t>Acute Averaging Time</t>
  </si>
  <si>
    <t>AT_AC</t>
  </si>
  <si>
    <t>Exposure Factors</t>
  </si>
  <si>
    <t>Woman of Childbearing Age</t>
  </si>
  <si>
    <t>Characterization of Value</t>
  </si>
  <si>
    <t>Body Weight, BW (kg)</t>
  </si>
  <si>
    <r>
      <t>1 Hand Surface Area (cm</t>
    </r>
    <r>
      <rPr>
        <b/>
        <vertAlign val="superscript"/>
        <sz val="11"/>
        <color theme="1"/>
        <rFont val="Calibri"/>
        <family val="2"/>
        <scheme val="minor"/>
      </rPr>
      <t>2</t>
    </r>
    <r>
      <rPr>
        <b/>
        <sz val="11"/>
        <color theme="1"/>
        <rFont val="Calibri"/>
        <family val="2"/>
        <scheme val="minor"/>
      </rPr>
      <t>)</t>
    </r>
  </si>
  <si>
    <r>
      <t>2 Hand Surface Area (cm</t>
    </r>
    <r>
      <rPr>
        <b/>
        <vertAlign val="superscript"/>
        <sz val="11"/>
        <color theme="1"/>
        <rFont val="Calibri"/>
        <family val="2"/>
        <scheme val="minor"/>
      </rPr>
      <t>2</t>
    </r>
    <r>
      <rPr>
        <b/>
        <sz val="11"/>
        <color theme="1"/>
        <rFont val="Calibri"/>
        <family val="2"/>
        <scheme val="minor"/>
      </rPr>
      <t>)</t>
    </r>
  </si>
  <si>
    <t>Working Years - High-End (yr)</t>
  </si>
  <si>
    <t>Working Years - Central Tendency (yr)</t>
  </si>
  <si>
    <t>Lifetime</t>
  </si>
  <si>
    <t>Woman of Childbearing Age Exposure Factors:</t>
  </si>
  <si>
    <t>Body Weight:</t>
  </si>
  <si>
    <t>From the Exposure Factors Handbook Table 8-5: Mean and Percentile Body Weights (kg) for Females Derived from NHANES (1990-2006) (1)</t>
  </si>
  <si>
    <t>Age 16 to &lt;21 years: 65.9 kg (mean)</t>
  </si>
  <si>
    <t>Age 21 to &lt;30 years: 71.9 kg (mean)</t>
  </si>
  <si>
    <t>Age 30 to &lt;40 years: 74.8 kg (mean)</t>
  </si>
  <si>
    <t>Age 40 to &lt;50 years: 77.1 kg (mean)</t>
  </si>
  <si>
    <t>PUBLIC RELEASE DRAFT</t>
  </si>
  <si>
    <t>November 2024</t>
  </si>
  <si>
    <t>CASRN 106-99-0</t>
  </si>
  <si>
    <t xml:space="preserve">Draft Risk Calculator for Occupational Exposures for 1,3-Butadiene </t>
  </si>
  <si>
    <t>Used analogous data from loading/unloading during manufacturing and processing from ACC.</t>
  </si>
  <si>
    <t>Used analogous data from manufacturing/processing (laboratory technicians)</t>
  </si>
  <si>
    <t xml:space="preserve">Used analogous data from waste handling during manufacturing/processing. </t>
  </si>
  <si>
    <t>(1) U.S. Environmental Protection Agency (EPA). (2011) Exposure Factors Handbook: 2011 Edition. National Center for Environmental Assessment, Washington, DC; EPA/600/R-09/052F. Available from the National Technical Information Service, Springfield, VA, and online at https://nepis.epa.gov/Exe/ZyPURL.cgi?Dockey=P100F2OS.txtn.</t>
  </si>
  <si>
    <t>UR (ppm)-1</t>
  </si>
  <si>
    <r>
      <t>UR (ppm)</t>
    </r>
    <r>
      <rPr>
        <b/>
        <vertAlign val="superscript"/>
        <sz val="11"/>
        <color theme="1"/>
        <rFont val="Calibri"/>
        <family val="2"/>
        <scheme val="minor"/>
      </rPr>
      <t>-1</t>
    </r>
  </si>
  <si>
    <r>
      <t>This Dashboard is an interactive spreadsheet that allows a user to view exposure results for a selected COU. The user can select the desired COU from a drop-down menu. Both high-end and central tendency exposure estimates are shown in the “</t>
    </r>
    <r>
      <rPr>
        <i/>
        <sz val="11"/>
        <rFont val="Arial"/>
        <family val="2"/>
      </rPr>
      <t>Exposure Outputs</t>
    </r>
    <r>
      <rPr>
        <sz val="11"/>
        <rFont val="Arial"/>
        <family val="2"/>
      </rPr>
      <t>” section for the inhalation route. The columns show results for both worker and occupational non-user (ONU) exposures. The “Risk Estimation” sections are separated into acute, intermediate non-cancer and cancer sections. For each section there is a brief description of the hazard endpoint and the hazard value i.e. human equivalent concentration (HEC) for non-cancer effects from inhalation exposure or a slope factor for cancer and the benchmark margins of exposure (MOEs) or benchmark values for cancer risk are provided to the right of the hazard value. The risk estimations show one column for exposures without PPE. Note that health data (e.g., HEC, UR) are on an 8-hr TWA basis. Note: No acute POD derived, therefore no acute risks were estimated.</t>
    </r>
  </si>
  <si>
    <t>a - Inhalation metrics (AC, intermediate ADC, chronic ADC) will all be multiplied by a breathing rate ratio of 1.25/0.6125. LADC will NOT be multiplied by a breathing rate ratio as cancer UR is based on an occupational cohort, so the health value is already based on worker breathing rate.</t>
  </si>
  <si>
    <t>UR x LADC</t>
  </si>
  <si>
    <r>
      <t>UR (ppm)</t>
    </r>
    <r>
      <rPr>
        <b/>
        <vertAlign val="superscript"/>
        <sz val="10"/>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</si>
</sst>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0"/>
    <numFmt numFmtId="166" formatCode="0.0E+00"/>
    <numFmt numFmtId="167" formatCode="0.0000"/>
    <numFmt numFmtId="168" formatCode="0.0%"/>
    <numFmt numFmtId="169" formatCode="#,##0.0"/>
  </numFmts>
  <fonts count="62"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vertAlign val="superscript"/>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vertAlign val="subscript"/>
      <sz val="10"/>
      <name val="Calibri"/>
      <family val="2"/>
      <scheme val="minor"/>
    </font>
    <font>
      <b/>
      <sz val="16"/>
      <name val="Calibri"/>
      <family val="2"/>
      <scheme val="minor"/>
    </font>
    <font>
      <sz val="10"/>
      <name val="Calibri"/>
      <family val="2"/>
      <scheme val="minor"/>
    </font>
    <font>
      <b/>
      <vertAlign val="superscript"/>
      <sz val="10"/>
      <color theme="1"/>
      <name val="Calibri"/>
      <family val="2"/>
      <scheme val="minor"/>
    </font>
    <font>
      <sz val="11"/>
      <color theme="0" tint="-4.9989318521683403E-2"/>
      <name val="Calibri"/>
      <family val="2"/>
      <scheme val="minor"/>
    </font>
    <font>
      <sz val="11"/>
      <color rgb="FFFF0000"/>
      <name val="Calibri"/>
      <family val="2"/>
      <scheme val="minor"/>
    </font>
    <font>
      <u/>
      <sz val="11"/>
      <color theme="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
      <b/>
      <sz val="10"/>
      <color rgb="FF000000"/>
      <name val="Calibri"/>
      <family val="2"/>
      <scheme val="minor"/>
    </font>
    <font>
      <b/>
      <i/>
      <sz val="16"/>
      <name val="Calibri"/>
      <family val="2"/>
      <scheme val="minor"/>
    </font>
    <font>
      <sz val="14"/>
      <name val="Calibri"/>
      <family val="2"/>
      <scheme val="minor"/>
    </font>
    <font>
      <b/>
      <i/>
      <sz val="14"/>
      <name val="Calibri"/>
      <family val="2"/>
      <scheme val="minor"/>
    </font>
    <font>
      <b/>
      <sz val="14"/>
      <name val="Calibri"/>
      <family val="2"/>
      <scheme val="minor"/>
    </font>
    <font>
      <b/>
      <sz val="11"/>
      <color theme="9" tint="0.79998168889431442"/>
      <name val="Calibri"/>
      <family val="2"/>
      <scheme val="minor"/>
    </font>
    <font>
      <b/>
      <i/>
      <sz val="10"/>
      <name val="Calibri"/>
      <family val="2"/>
      <scheme val="minor"/>
    </font>
    <font>
      <b/>
      <sz val="10"/>
      <color theme="8" tint="0.79998168889431442"/>
      <name val="Calibri"/>
      <family val="2"/>
      <scheme val="minor"/>
    </font>
    <font>
      <u/>
      <sz val="10"/>
      <color theme="1"/>
      <name val="Calibri"/>
      <family val="2"/>
      <scheme val="minor"/>
    </font>
    <font>
      <sz val="10"/>
      <color rgb="FFFF0000"/>
      <name val="Calibri"/>
      <family val="2"/>
      <scheme val="minor"/>
    </font>
    <font>
      <sz val="10"/>
      <color theme="0" tint="-4.9989318521683403E-2"/>
      <name val="Calibri"/>
      <family val="2"/>
      <scheme val="minor"/>
    </font>
    <font>
      <sz val="10"/>
      <name val="Arial"/>
      <family val="2"/>
    </font>
    <font>
      <sz val="10"/>
      <name val="Calibri"/>
      <family val="2"/>
    </font>
    <font>
      <vertAlign val="superscript"/>
      <sz val="10"/>
      <name val="Calibri"/>
      <family val="2"/>
    </font>
    <font>
      <b/>
      <sz val="12"/>
      <name val="Calibri"/>
      <family val="2"/>
    </font>
    <font>
      <b/>
      <sz val="10"/>
      <name val="Calibri"/>
      <family val="2"/>
    </font>
    <font>
      <sz val="8"/>
      <name val="Calibri"/>
      <family val="2"/>
      <scheme val="minor"/>
    </font>
    <font>
      <b/>
      <sz val="16"/>
      <color theme="1"/>
      <name val="Times New Roman"/>
      <family val="1"/>
    </font>
    <font>
      <b/>
      <sz val="11"/>
      <color theme="1"/>
      <name val="Arial"/>
      <family val="2"/>
    </font>
    <font>
      <sz val="11"/>
      <color theme="1"/>
      <name val="Arial"/>
      <family val="2"/>
    </font>
    <font>
      <sz val="11"/>
      <name val="Arial"/>
      <family val="2"/>
    </font>
    <font>
      <b/>
      <sz val="11"/>
      <color rgb="FFFF0000"/>
      <name val="Arial"/>
      <family val="2"/>
    </font>
    <font>
      <b/>
      <sz val="11"/>
      <color theme="1"/>
      <name val="Times New Roman"/>
      <family val="1"/>
    </font>
    <font>
      <sz val="11"/>
      <color theme="1"/>
      <name val="Times New Roman"/>
      <family val="1"/>
    </font>
    <font>
      <b/>
      <sz val="12"/>
      <color theme="1"/>
      <name val="Times New Roman"/>
      <family val="1"/>
    </font>
    <font>
      <b/>
      <sz val="9.5"/>
      <color theme="1"/>
      <name val="Times New Roman"/>
      <family val="1"/>
    </font>
    <font>
      <b/>
      <sz val="9.5"/>
      <color rgb="FF000000"/>
      <name val="Times New Roman"/>
      <family val="1"/>
    </font>
    <font>
      <b/>
      <vertAlign val="superscript"/>
      <sz val="9.5"/>
      <color rgb="FF000000"/>
      <name val="Times New Roman"/>
      <family val="1"/>
    </font>
    <font>
      <sz val="9.5"/>
      <color theme="1"/>
      <name val="Times New Roman"/>
      <family val="1"/>
    </font>
    <font>
      <sz val="9.5"/>
      <color rgb="FF000000"/>
      <name val="Times New Roman"/>
      <family val="1"/>
    </font>
    <font>
      <sz val="10"/>
      <color theme="1"/>
      <name val="Times New Roman"/>
      <family val="1"/>
    </font>
    <font>
      <sz val="8"/>
      <color theme="1"/>
      <name val="Times New Roman"/>
      <family val="1"/>
    </font>
    <font>
      <sz val="9.5"/>
      <name val="Times New Roman"/>
      <family val="1"/>
    </font>
    <font>
      <b/>
      <vertAlign val="superscript"/>
      <sz val="10"/>
      <name val="Calibri"/>
      <family val="2"/>
      <scheme val="minor"/>
    </font>
    <font>
      <i/>
      <sz val="11"/>
      <name val="Arial"/>
      <family val="2"/>
    </font>
    <font>
      <vertAlign val="superscript"/>
      <sz val="10"/>
      <color theme="1"/>
      <name val="Calibri"/>
      <family val="2"/>
      <scheme val="minor"/>
    </font>
    <font>
      <b/>
      <vertAlign val="superscript"/>
      <sz val="11"/>
      <color rgb="FFFF0000"/>
      <name val="Calibri"/>
      <family val="2"/>
      <scheme val="minor"/>
    </font>
    <font>
      <sz val="11"/>
      <color rgb="FFFF0000"/>
      <name val="Times New Roman"/>
      <family val="1"/>
    </font>
    <font>
      <sz val="10"/>
      <color rgb="FF000000"/>
      <name val="Calibri"/>
      <family val="2"/>
      <scheme val="minor"/>
    </font>
    <font>
      <sz val="12"/>
      <color theme="1"/>
      <name val="Times New Roman"/>
      <family val="1"/>
    </font>
    <font>
      <sz val="14"/>
      <color rgb="FFFF0000"/>
      <name val="Times New Roman"/>
      <family val="1"/>
    </font>
    <font>
      <b/>
      <sz val="18"/>
      <color theme="1"/>
      <name val="Times New Roman"/>
      <family val="1"/>
    </font>
  </fonts>
  <fills count="2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rgb="FFD9D9D9"/>
        <bgColor indexed="64"/>
      </patternFill>
    </fill>
    <fill>
      <patternFill patternType="solid">
        <fgColor theme="4" tint="0.59996337778862885"/>
        <bgColor indexed="64"/>
      </patternFill>
    </fill>
    <fill>
      <patternFill patternType="solid">
        <fgColor theme="2" tint="-0.24994659260841701"/>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rgb="FFFFFF00"/>
        <bgColor indexed="64"/>
      </patternFill>
    </fill>
    <fill>
      <patternFill patternType="solid">
        <fgColor theme="6" tint="0.79998168889431442"/>
        <bgColor indexed="64"/>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medium">
        <color auto="1"/>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bottom style="medium">
        <color auto="1"/>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indexed="64"/>
      </right>
      <top/>
      <bottom/>
      <diagonal/>
    </border>
    <border>
      <left style="thin">
        <color indexed="64"/>
      </left>
      <right style="medium">
        <color indexed="64"/>
      </right>
      <top/>
      <bottom style="medium">
        <color indexed="64"/>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medium">
        <color auto="1"/>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style="thin">
        <color theme="0" tint="-0.14996795556505021"/>
      </left>
      <right style="thin">
        <color theme="0" tint="-0.14996795556505021"/>
      </right>
      <top/>
      <bottom style="thin">
        <color theme="0" tint="-0.1499679555650502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auto="1"/>
      </top>
      <bottom/>
      <diagonal/>
    </border>
    <border>
      <left/>
      <right style="thin">
        <color indexed="64"/>
      </right>
      <top style="medium">
        <color auto="1"/>
      </top>
      <bottom style="thin">
        <color auto="1"/>
      </bottom>
      <diagonal/>
    </border>
    <border>
      <left/>
      <right style="thin">
        <color indexed="64"/>
      </right>
      <top style="medium">
        <color indexed="64"/>
      </top>
      <bottom style="medium">
        <color indexed="64"/>
      </bottom>
      <diagonal/>
    </border>
    <border>
      <left/>
      <right style="thin">
        <color auto="1"/>
      </right>
      <top style="thin">
        <color auto="1"/>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auto="1"/>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auto="1"/>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theme="1"/>
      </left>
      <right style="medium">
        <color theme="1"/>
      </right>
      <top style="thin">
        <color theme="1"/>
      </top>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auto="1"/>
      </left>
      <right style="medium">
        <color indexed="64"/>
      </right>
      <top style="medium">
        <color auto="1"/>
      </top>
      <bottom style="medium">
        <color auto="1"/>
      </bottom>
      <diagonal/>
    </border>
    <border>
      <left style="medium">
        <color auto="1"/>
      </left>
      <right/>
      <top/>
      <bottom style="thin">
        <color auto="1"/>
      </bottom>
      <diagonal/>
    </border>
    <border>
      <left/>
      <right style="thin">
        <color auto="1"/>
      </right>
      <top style="dashed">
        <color auto="1"/>
      </top>
      <bottom style="dashed">
        <color indexed="64"/>
      </bottom>
      <diagonal/>
    </border>
    <border>
      <left/>
      <right/>
      <top style="dashed">
        <color auto="1"/>
      </top>
      <bottom style="dashed">
        <color indexed="64"/>
      </bottom>
      <diagonal/>
    </border>
    <border>
      <left style="medium">
        <color indexed="64"/>
      </left>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style="thin">
        <color indexed="64"/>
      </left>
      <right style="medium">
        <color indexed="64"/>
      </right>
      <top style="thin">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right style="thin">
        <color auto="1"/>
      </right>
      <top style="thin">
        <color auto="1"/>
      </top>
      <bottom style="thin">
        <color auto="1"/>
      </bottom>
      <diagonal/>
    </border>
    <border>
      <left style="thin">
        <color indexed="64"/>
      </left>
      <right/>
      <top style="thin">
        <color indexed="64"/>
      </top>
      <bottom style="dashed">
        <color auto="1"/>
      </bottom>
      <diagonal/>
    </border>
    <border>
      <left/>
      <right style="thin">
        <color indexed="64"/>
      </right>
      <top style="thin">
        <color indexed="64"/>
      </top>
      <bottom style="dashed">
        <color auto="1"/>
      </bottom>
      <diagonal/>
    </border>
    <border>
      <left style="thin">
        <color indexed="64"/>
      </left>
      <right/>
      <top style="dashed">
        <color auto="1"/>
      </top>
      <bottom style="dashed">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style="hair">
        <color indexed="64"/>
      </left>
      <right style="medium">
        <color indexed="64"/>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medium">
        <color indexed="64"/>
      </right>
      <top style="double">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4">
    <xf numFmtId="0" fontId="0" fillId="0" borderId="0"/>
    <xf numFmtId="9" fontId="17" fillId="0" borderId="0" applyFont="0" applyFill="0" applyBorder="0" applyAlignment="0" applyProtection="0"/>
    <xf numFmtId="0" fontId="31" fillId="0" borderId="0"/>
    <xf numFmtId="43" fontId="17" fillId="0" borderId="0" applyFont="0" applyFill="0" applyBorder="0" applyAlignment="0" applyProtection="0"/>
  </cellStyleXfs>
  <cellXfs count="639">
    <xf numFmtId="0" fontId="0" fillId="0" borderId="0" xfId="0"/>
    <xf numFmtId="0" fontId="4" fillId="3" borderId="0" xfId="0" applyFont="1" applyFill="1"/>
    <xf numFmtId="0" fontId="0" fillId="3" borderId="0" xfId="0" applyFill="1"/>
    <xf numFmtId="0" fontId="0" fillId="3" borderId="2" xfId="0" applyFill="1" applyBorder="1"/>
    <xf numFmtId="0" fontId="0" fillId="3" borderId="3" xfId="0" applyFill="1" applyBorder="1"/>
    <xf numFmtId="0" fontId="1" fillId="3" borderId="3" xfId="0" applyFont="1" applyFill="1" applyBorder="1"/>
    <xf numFmtId="0" fontId="0" fillId="3" borderId="5" xfId="0" applyFill="1" applyBorder="1"/>
    <xf numFmtId="166" fontId="0" fillId="3" borderId="7" xfId="0" applyNumberFormat="1" applyFill="1" applyBorder="1"/>
    <xf numFmtId="0" fontId="0" fillId="3" borderId="6" xfId="0" applyFill="1" applyBorder="1"/>
    <xf numFmtId="0" fontId="0" fillId="3" borderId="8" xfId="0" applyFill="1" applyBorder="1"/>
    <xf numFmtId="0" fontId="1" fillId="3" borderId="14" xfId="0" applyFont="1" applyFill="1" applyBorder="1" applyAlignment="1">
      <alignment horizontal="center" wrapText="1"/>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3" fillId="3" borderId="0" xfId="0" applyFont="1" applyFill="1" applyAlignment="1">
      <alignment vertical="center" wrapText="1"/>
    </xf>
    <xf numFmtId="0" fontId="0" fillId="3" borderId="0" xfId="0" applyFill="1" applyAlignment="1">
      <alignment horizontal="center" vertical="center"/>
    </xf>
    <xf numFmtId="0" fontId="0" fillId="3" borderId="0" xfId="0" applyFill="1" applyAlignment="1">
      <alignment vertical="center"/>
    </xf>
    <xf numFmtId="0" fontId="6" fillId="3" borderId="0" xfId="0" applyFont="1" applyFill="1" applyAlignment="1">
      <alignment vertical="center"/>
    </xf>
    <xf numFmtId="0" fontId="2" fillId="3" borderId="0" xfId="0" applyFont="1" applyFill="1" applyAlignment="1">
      <alignment vertical="center"/>
    </xf>
    <xf numFmtId="0" fontId="7" fillId="0" borderId="0" xfId="0" applyFont="1" applyAlignment="1">
      <alignment wrapText="1"/>
    </xf>
    <xf numFmtId="0" fontId="7" fillId="0" borderId="0" xfId="0" applyFont="1"/>
    <xf numFmtId="0" fontId="3" fillId="3" borderId="0" xfId="0" applyFont="1" applyFill="1" applyAlignment="1">
      <alignment horizontal="center" vertical="center" wrapText="1"/>
    </xf>
    <xf numFmtId="0" fontId="2" fillId="3" borderId="0" xfId="0" applyFont="1" applyFill="1" applyAlignment="1">
      <alignment horizontal="center" vertical="center"/>
    </xf>
    <xf numFmtId="0" fontId="11" fillId="3" borderId="0" xfId="0" applyFont="1" applyFill="1" applyAlignment="1">
      <alignment vertical="center"/>
    </xf>
    <xf numFmtId="0" fontId="2" fillId="3" borderId="0" xfId="0" applyFont="1" applyFill="1" applyAlignment="1">
      <alignment vertical="center" wrapText="1"/>
    </xf>
    <xf numFmtId="0" fontId="7" fillId="2" borderId="22" xfId="0" applyFont="1" applyFill="1" applyBorder="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wrapText="1"/>
    </xf>
    <xf numFmtId="0" fontId="14" fillId="3" borderId="0" xfId="0" applyFont="1" applyFill="1" applyAlignment="1">
      <alignment vertical="center"/>
    </xf>
    <xf numFmtId="0" fontId="14" fillId="3" borderId="0" xfId="0" applyFont="1" applyFill="1" applyAlignment="1">
      <alignment vertical="center" wrapText="1"/>
    </xf>
    <xf numFmtId="0" fontId="0" fillId="3" borderId="24" xfId="0" applyFill="1" applyBorder="1" applyAlignment="1">
      <alignment horizontal="center" vertical="center"/>
    </xf>
    <xf numFmtId="0" fontId="7" fillId="0" borderId="0" xfId="0" applyFont="1" applyAlignment="1">
      <alignment vertical="center" wrapText="1"/>
    </xf>
    <xf numFmtId="0" fontId="15" fillId="3" borderId="0" xfId="0" applyFont="1" applyFill="1" applyAlignment="1">
      <alignment vertical="center"/>
    </xf>
    <xf numFmtId="0" fontId="15" fillId="3" borderId="0" xfId="0" applyFont="1" applyFill="1" applyAlignment="1">
      <alignment horizontal="center" vertical="center"/>
    </xf>
    <xf numFmtId="0" fontId="2" fillId="3" borderId="1" xfId="0" applyFont="1" applyFill="1" applyBorder="1" applyAlignment="1">
      <alignment vertical="center"/>
    </xf>
    <xf numFmtId="167" fontId="2" fillId="3" borderId="1" xfId="0" applyNumberFormat="1" applyFont="1" applyFill="1" applyBorder="1" applyAlignment="1">
      <alignment horizontal="center" vertical="center"/>
    </xf>
    <xf numFmtId="0" fontId="2" fillId="3" borderId="1" xfId="0" applyFont="1" applyFill="1" applyBorder="1" applyAlignment="1">
      <alignment vertical="center" wrapText="1"/>
    </xf>
    <xf numFmtId="165" fontId="2" fillId="3" borderId="1" xfId="0" applyNumberFormat="1" applyFont="1" applyFill="1" applyBorder="1" applyAlignment="1">
      <alignment horizontal="center" vertical="center" wrapText="1"/>
    </xf>
    <xf numFmtId="2" fontId="12" fillId="3" borderId="0" xfId="0" applyNumberFormat="1" applyFont="1" applyFill="1" applyAlignment="1">
      <alignment horizontal="center" vertical="center" wrapText="1"/>
    </xf>
    <xf numFmtId="1" fontId="9" fillId="3" borderId="0" xfId="0" applyNumberFormat="1" applyFont="1" applyFill="1" applyAlignment="1">
      <alignment horizontal="center" vertical="center" wrapText="1"/>
    </xf>
    <xf numFmtId="0" fontId="0" fillId="3" borderId="0" xfId="0" applyFill="1" applyAlignment="1">
      <alignment wrapText="1"/>
    </xf>
    <xf numFmtId="0" fontId="0" fillId="3" borderId="0" xfId="0" applyFill="1" applyAlignment="1">
      <alignment horizontal="center"/>
    </xf>
    <xf numFmtId="0" fontId="1" fillId="3" borderId="0" xfId="0" applyFont="1" applyFill="1"/>
    <xf numFmtId="0" fontId="18" fillId="3" borderId="0" xfId="0" applyFont="1" applyFill="1"/>
    <xf numFmtId="0" fontId="8" fillId="0" borderId="0" xfId="0" applyFont="1"/>
    <xf numFmtId="0" fontId="3" fillId="3" borderId="0" xfId="0" applyFont="1" applyFill="1" applyAlignment="1">
      <alignment horizontal="left" vertical="center"/>
    </xf>
    <xf numFmtId="0" fontId="21" fillId="3" borderId="0" xfId="0" applyFont="1" applyFill="1" applyAlignment="1">
      <alignment vertical="center"/>
    </xf>
    <xf numFmtId="0" fontId="1" fillId="9" borderId="13" xfId="0" applyFont="1" applyFill="1" applyBorder="1" applyAlignment="1">
      <alignment horizontal="center" wrapText="1"/>
    </xf>
    <xf numFmtId="0" fontId="0" fillId="3" borderId="0" xfId="0" applyFill="1" applyAlignment="1">
      <alignment horizontal="left" vertical="top"/>
    </xf>
    <xf numFmtId="0" fontId="0" fillId="3" borderId="1" xfId="0" applyFill="1" applyBorder="1" applyAlignment="1">
      <alignment horizontal="left" vertical="top"/>
    </xf>
    <xf numFmtId="0" fontId="0" fillId="3" borderId="8" xfId="0" applyFill="1" applyBorder="1" applyAlignment="1">
      <alignment vertical="top"/>
    </xf>
    <xf numFmtId="0" fontId="0" fillId="3" borderId="12" xfId="0" applyFill="1" applyBorder="1"/>
    <xf numFmtId="2" fontId="12" fillId="3" borderId="0" xfId="0" applyNumberFormat="1" applyFont="1" applyFill="1" applyAlignment="1">
      <alignment horizontal="center" vertical="center"/>
    </xf>
    <xf numFmtId="0" fontId="11" fillId="3" borderId="32" xfId="0" applyFont="1" applyFill="1" applyBorder="1" applyAlignment="1">
      <alignment vertical="center"/>
    </xf>
    <xf numFmtId="0" fontId="2" fillId="3" borderId="32" xfId="0" applyFont="1" applyFill="1" applyBorder="1" applyAlignment="1">
      <alignment horizontal="center" vertical="center" wrapText="1"/>
    </xf>
    <xf numFmtId="0" fontId="3" fillId="3" borderId="32" xfId="0" applyFont="1" applyFill="1" applyBorder="1" applyAlignment="1">
      <alignment vertical="center" wrapText="1"/>
    </xf>
    <xf numFmtId="0" fontId="7" fillId="3" borderId="16" xfId="0" applyFont="1" applyFill="1" applyBorder="1" applyAlignment="1">
      <alignment horizontal="center" vertical="center"/>
    </xf>
    <xf numFmtId="0" fontId="9" fillId="5" borderId="37" xfId="0" applyFont="1" applyFill="1" applyBorder="1" applyAlignment="1">
      <alignment horizontal="center" vertical="center" wrapText="1"/>
    </xf>
    <xf numFmtId="0" fontId="12" fillId="3" borderId="0" xfId="0" applyFont="1" applyFill="1" applyAlignment="1">
      <alignment vertical="center" wrapText="1"/>
    </xf>
    <xf numFmtId="2" fontId="12" fillId="3" borderId="0" xfId="0" applyNumberFormat="1" applyFont="1" applyFill="1" applyAlignment="1">
      <alignment horizontal="left" vertical="center"/>
    </xf>
    <xf numFmtId="0" fontId="9" fillId="3" borderId="0" xfId="0" applyFont="1" applyFill="1" applyAlignment="1">
      <alignment vertical="center" wrapText="1"/>
    </xf>
    <xf numFmtId="0" fontId="7" fillId="3" borderId="0" xfId="0" applyFont="1" applyFill="1" applyAlignment="1">
      <alignment vertical="center" wrapText="1"/>
    </xf>
    <xf numFmtId="0" fontId="1" fillId="0" borderId="49" xfId="0" applyFont="1" applyBorder="1"/>
    <xf numFmtId="0" fontId="1" fillId="0" borderId="52" xfId="0" applyFont="1" applyBorder="1"/>
    <xf numFmtId="0" fontId="0" fillId="0" borderId="53" xfId="0" applyBorder="1"/>
    <xf numFmtId="0" fontId="1" fillId="0" borderId="46" xfId="0" applyFont="1" applyBorder="1"/>
    <xf numFmtId="9" fontId="0" fillId="0" borderId="48" xfId="0" applyNumberFormat="1" applyBorder="1"/>
    <xf numFmtId="9" fontId="0" fillId="0" borderId="47" xfId="0" applyNumberFormat="1" applyBorder="1"/>
    <xf numFmtId="0" fontId="0" fillId="0" borderId="48" xfId="0" applyBorder="1"/>
    <xf numFmtId="0" fontId="0" fillId="0" borderId="47" xfId="0" applyBorder="1"/>
    <xf numFmtId="2" fontId="12" fillId="0" borderId="25" xfId="0" applyNumberFormat="1" applyFont="1" applyBorder="1" applyAlignment="1">
      <alignment horizontal="center" vertical="center"/>
    </xf>
    <xf numFmtId="0" fontId="8" fillId="0" borderId="30" xfId="0" applyFont="1" applyBorder="1" applyAlignment="1">
      <alignment horizontal="center" vertical="center" wrapText="1"/>
    </xf>
    <xf numFmtId="0" fontId="8" fillId="5" borderId="41" xfId="0" applyFont="1" applyFill="1" applyBorder="1" applyAlignment="1">
      <alignment horizontal="center" wrapText="1"/>
    </xf>
    <xf numFmtId="0" fontId="8" fillId="5" borderId="42" xfId="0" applyFont="1" applyFill="1" applyBorder="1" applyAlignment="1">
      <alignment horizontal="center" vertical="center"/>
    </xf>
    <xf numFmtId="2" fontId="12" fillId="0" borderId="19" xfId="0" applyNumberFormat="1" applyFont="1" applyBorder="1" applyAlignment="1">
      <alignment horizontal="center" vertical="center"/>
    </xf>
    <xf numFmtId="11" fontId="0" fillId="3" borderId="1" xfId="0" applyNumberFormat="1" applyFill="1" applyBorder="1" applyAlignment="1">
      <alignment horizontal="center" vertical="center"/>
    </xf>
    <xf numFmtId="0" fontId="0" fillId="11" borderId="1" xfId="0" applyFill="1" applyBorder="1" applyAlignment="1">
      <alignment horizontal="center" vertical="center"/>
    </xf>
    <xf numFmtId="0" fontId="0" fillId="5" borderId="1" xfId="0" applyFill="1" applyBorder="1" applyAlignment="1">
      <alignment vertical="center"/>
    </xf>
    <xf numFmtId="0" fontId="25" fillId="3" borderId="0" xfId="0" applyFont="1" applyFill="1" applyAlignment="1">
      <alignment horizontal="center" vertical="center"/>
    </xf>
    <xf numFmtId="165" fontId="12" fillId="3" borderId="0" xfId="0" applyNumberFormat="1" applyFont="1" applyFill="1" applyAlignment="1">
      <alignment horizontal="center" vertical="center"/>
    </xf>
    <xf numFmtId="2" fontId="12" fillId="0" borderId="36" xfId="0" applyNumberFormat="1" applyFont="1" applyBorder="1" applyAlignment="1">
      <alignment horizontal="center" vertical="center"/>
    </xf>
    <xf numFmtId="2" fontId="12" fillId="0" borderId="30" xfId="0" applyNumberFormat="1" applyFont="1" applyBorder="1" applyAlignment="1">
      <alignment horizontal="center" vertical="center"/>
    </xf>
    <xf numFmtId="0" fontId="8" fillId="12" borderId="49" xfId="0" applyFont="1" applyFill="1" applyBorder="1" applyAlignment="1">
      <alignment horizontal="center" vertical="center"/>
    </xf>
    <xf numFmtId="0" fontId="8" fillId="12" borderId="61" xfId="0" applyFont="1" applyFill="1" applyBorder="1" applyAlignment="1">
      <alignment horizontal="center" vertical="center"/>
    </xf>
    <xf numFmtId="0" fontId="1" fillId="6" borderId="57" xfId="0" applyFont="1" applyFill="1" applyBorder="1" applyAlignment="1">
      <alignment horizontal="left" wrapText="1"/>
    </xf>
    <xf numFmtId="0" fontId="1" fillId="6" borderId="77" xfId="0" applyFont="1" applyFill="1" applyBorder="1" applyAlignment="1">
      <alignment horizontal="left"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26" fillId="4" borderId="37" xfId="0" applyFont="1" applyFill="1" applyBorder="1" applyAlignment="1">
      <alignment horizontal="center" vertical="center" wrapText="1"/>
    </xf>
    <xf numFmtId="0" fontId="26" fillId="3" borderId="0" xfId="0" applyFont="1" applyFill="1" applyAlignment="1">
      <alignment horizontal="center" vertical="center" wrapText="1"/>
    </xf>
    <xf numFmtId="0" fontId="9" fillId="4" borderId="36" xfId="0" applyFont="1" applyFill="1" applyBorder="1" applyAlignment="1">
      <alignment horizontal="center" vertical="center" wrapText="1"/>
    </xf>
    <xf numFmtId="0" fontId="9" fillId="3" borderId="0" xfId="0" applyFont="1" applyFill="1" applyAlignment="1">
      <alignment horizontal="left" vertical="center"/>
    </xf>
    <xf numFmtId="0" fontId="12" fillId="3" borderId="0" xfId="0" applyFont="1" applyFill="1" applyAlignment="1">
      <alignment horizontal="left" vertical="center" wrapText="1"/>
    </xf>
    <xf numFmtId="0" fontId="26" fillId="3" borderId="0" xfId="0" applyFont="1" applyFill="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7" fillId="12" borderId="61" xfId="0" applyFont="1" applyFill="1" applyBorder="1" applyAlignment="1">
      <alignment horizontal="left" vertical="center" wrapText="1"/>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12" borderId="61" xfId="0" applyFont="1" applyFill="1" applyBorder="1" applyAlignment="1">
      <alignment horizontal="left" vertical="center"/>
    </xf>
    <xf numFmtId="0" fontId="7" fillId="3" borderId="31" xfId="0" applyFont="1" applyFill="1" applyBorder="1" applyAlignment="1">
      <alignment vertical="center"/>
    </xf>
    <xf numFmtId="0" fontId="7" fillId="12" borderId="56" xfId="0" applyFont="1" applyFill="1" applyBorder="1" applyAlignment="1">
      <alignment horizontal="left" vertical="center"/>
    </xf>
    <xf numFmtId="0" fontId="29" fillId="3" borderId="0" xfId="0" applyFont="1" applyFill="1" applyAlignment="1">
      <alignment horizontal="center" vertical="center"/>
    </xf>
    <xf numFmtId="0" fontId="30" fillId="3" borderId="0" xfId="0" applyFont="1" applyFill="1" applyAlignment="1">
      <alignment vertical="center" wrapText="1"/>
    </xf>
    <xf numFmtId="0" fontId="30" fillId="3" borderId="0" xfId="0" applyFont="1" applyFill="1" applyAlignment="1">
      <alignment vertical="center"/>
    </xf>
    <xf numFmtId="0" fontId="29" fillId="3" borderId="0" xfId="0" applyFont="1" applyFill="1" applyAlignment="1">
      <alignment vertical="center" wrapText="1"/>
    </xf>
    <xf numFmtId="0" fontId="29" fillId="3" borderId="0" xfId="0" applyFont="1" applyFill="1" applyAlignment="1">
      <alignment horizontal="center" vertical="center" wrapText="1"/>
    </xf>
    <xf numFmtId="0" fontId="8" fillId="11" borderId="1" xfId="0" applyFont="1" applyFill="1" applyBorder="1" applyAlignment="1">
      <alignment vertical="center"/>
    </xf>
    <xf numFmtId="0" fontId="8" fillId="11" borderId="1" xfId="0" applyFont="1" applyFill="1" applyBorder="1" applyAlignment="1">
      <alignment horizontal="center" vertical="center"/>
    </xf>
    <xf numFmtId="11" fontId="7" fillId="3" borderId="1" xfId="0" applyNumberFormat="1" applyFont="1" applyFill="1" applyBorder="1" applyAlignment="1">
      <alignment horizontal="center" vertical="center"/>
    </xf>
    <xf numFmtId="0" fontId="8" fillId="3" borderId="19" xfId="0" applyFont="1" applyFill="1" applyBorder="1" applyAlignment="1">
      <alignment horizontal="center" vertical="center"/>
    </xf>
    <xf numFmtId="0" fontId="8" fillId="3" borderId="23" xfId="0" applyFont="1" applyFill="1" applyBorder="1" applyAlignment="1">
      <alignment horizontal="center" vertical="center"/>
    </xf>
    <xf numFmtId="2" fontId="12" fillId="0" borderId="63" xfId="0" applyNumberFormat="1" applyFont="1" applyBorder="1" applyAlignment="1">
      <alignment horizontal="center" vertical="center"/>
    </xf>
    <xf numFmtId="0" fontId="0" fillId="0" borderId="81" xfId="0" applyBorder="1"/>
    <xf numFmtId="0" fontId="7" fillId="0" borderId="1" xfId="0" applyFont="1" applyBorder="1" applyAlignment="1">
      <alignment vertical="center"/>
    </xf>
    <xf numFmtId="0" fontId="31" fillId="0" borderId="0" xfId="2"/>
    <xf numFmtId="0" fontId="32" fillId="0" borderId="56" xfId="2" applyFont="1" applyBorder="1" applyAlignment="1">
      <alignment vertical="center" wrapText="1"/>
    </xf>
    <xf numFmtId="0" fontId="32" fillId="0" borderId="82" xfId="2" applyFont="1" applyBorder="1" applyAlignment="1">
      <alignment horizontal="center" vertical="center" wrapText="1"/>
    </xf>
    <xf numFmtId="0" fontId="34" fillId="13" borderId="83" xfId="2" applyFont="1" applyFill="1" applyBorder="1" applyAlignment="1">
      <alignment horizontal="center" vertical="center" wrapText="1"/>
    </xf>
    <xf numFmtId="0" fontId="34" fillId="13" borderId="84" xfId="2" applyFont="1" applyFill="1" applyBorder="1" applyAlignment="1">
      <alignment horizontal="center" vertical="center" wrapText="1"/>
    </xf>
    <xf numFmtId="0" fontId="32" fillId="0" borderId="82" xfId="2" applyFont="1" applyBorder="1" applyAlignment="1">
      <alignment vertical="center" wrapText="1"/>
    </xf>
    <xf numFmtId="0" fontId="32" fillId="0" borderId="47" xfId="2" applyFont="1" applyBorder="1" applyAlignment="1">
      <alignment vertical="center" wrapText="1"/>
    </xf>
    <xf numFmtId="0" fontId="32" fillId="0" borderId="85" xfId="2" applyFont="1" applyBorder="1" applyAlignment="1">
      <alignment horizontal="center" vertical="center" wrapText="1"/>
    </xf>
    <xf numFmtId="2" fontId="12" fillId="0" borderId="22" xfId="0" applyNumberFormat="1" applyFont="1" applyBorder="1" applyAlignment="1">
      <alignment horizontal="center" vertical="center"/>
    </xf>
    <xf numFmtId="2" fontId="12" fillId="0" borderId="23" xfId="0" applyNumberFormat="1" applyFont="1" applyBorder="1" applyAlignment="1">
      <alignment horizontal="center" vertical="center"/>
    </xf>
    <xf numFmtId="0" fontId="0" fillId="3" borderId="7" xfId="0" applyFill="1" applyBorder="1" applyAlignment="1">
      <alignment wrapText="1"/>
    </xf>
    <xf numFmtId="0" fontId="8" fillId="11" borderId="1" xfId="0" applyFont="1" applyFill="1" applyBorder="1" applyAlignment="1">
      <alignment vertical="center" wrapText="1"/>
    </xf>
    <xf numFmtId="0" fontId="1" fillId="3" borderId="11" xfId="0" applyFont="1" applyFill="1" applyBorder="1" applyAlignment="1">
      <alignment vertical="center"/>
    </xf>
    <xf numFmtId="0" fontId="1" fillId="3" borderId="89" xfId="0" applyFont="1" applyFill="1" applyBorder="1" applyAlignment="1">
      <alignment vertical="center"/>
    </xf>
    <xf numFmtId="0" fontId="0" fillId="9" borderId="89" xfId="0" quotePrefix="1" applyFill="1" applyBorder="1" applyAlignment="1">
      <alignment horizontal="center"/>
    </xf>
    <xf numFmtId="0" fontId="0" fillId="9" borderId="88" xfId="0" quotePrefix="1" applyFill="1" applyBorder="1" applyAlignment="1">
      <alignment horizontal="center"/>
    </xf>
    <xf numFmtId="167" fontId="12" fillId="3" borderId="0" xfId="0" applyNumberFormat="1" applyFont="1" applyFill="1" applyAlignment="1">
      <alignment horizontal="center" vertical="center"/>
    </xf>
    <xf numFmtId="9" fontId="22" fillId="0" borderId="0" xfId="1" applyFont="1" applyFill="1" applyBorder="1" applyAlignment="1">
      <alignment horizontal="center" vertical="center"/>
    </xf>
    <xf numFmtId="0" fontId="23" fillId="3" borderId="0" xfId="0" applyFont="1" applyFill="1" applyAlignment="1">
      <alignment vertical="center" wrapText="1"/>
    </xf>
    <xf numFmtId="0" fontId="8" fillId="3" borderId="0" xfId="0" applyFont="1" applyFill="1" applyAlignment="1">
      <alignment horizontal="center" vertical="center" wrapText="1"/>
    </xf>
    <xf numFmtId="0" fontId="25" fillId="3" borderId="0" xfId="0" applyFont="1" applyFill="1" applyAlignment="1">
      <alignment vertical="center"/>
    </xf>
    <xf numFmtId="2" fontId="12" fillId="0" borderId="68" xfId="0" applyNumberFormat="1" applyFont="1" applyBorder="1" applyAlignment="1">
      <alignment horizontal="center" vertical="center"/>
    </xf>
    <xf numFmtId="1" fontId="9" fillId="3" borderId="25" xfId="0" applyNumberFormat="1"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0" fontId="26" fillId="4" borderId="66" xfId="0" applyFont="1" applyFill="1" applyBorder="1" applyAlignment="1">
      <alignment vertical="center" wrapText="1"/>
    </xf>
    <xf numFmtId="0" fontId="26" fillId="4" borderId="55" xfId="0" applyFont="1" applyFill="1" applyBorder="1" applyAlignment="1">
      <alignment vertical="center" wrapText="1"/>
    </xf>
    <xf numFmtId="166" fontId="0" fillId="3" borderId="9" xfId="0" applyNumberFormat="1" applyFill="1" applyBorder="1"/>
    <xf numFmtId="0" fontId="0" fillId="3" borderId="20" xfId="0" applyFill="1" applyBorder="1" applyAlignment="1">
      <alignment horizontal="center"/>
    </xf>
    <xf numFmtId="0" fontId="0" fillId="3" borderId="21" xfId="0" applyFill="1" applyBorder="1"/>
    <xf numFmtId="1" fontId="0" fillId="3" borderId="1" xfId="0" applyNumberFormat="1" applyFill="1" applyBorder="1" applyAlignment="1">
      <alignment horizontal="center"/>
    </xf>
    <xf numFmtId="0" fontId="0" fillId="3" borderId="1" xfId="0" applyFill="1" applyBorder="1" applyAlignment="1">
      <alignment horizontal="center"/>
    </xf>
    <xf numFmtId="0" fontId="0" fillId="3" borderId="22" xfId="0" applyFill="1" applyBorder="1" applyAlignment="1">
      <alignment horizontal="center"/>
    </xf>
    <xf numFmtId="0" fontId="0" fillId="3" borderId="16" xfId="0" applyFill="1" applyBorder="1" applyAlignment="1">
      <alignment horizontal="center"/>
    </xf>
    <xf numFmtId="0" fontId="0" fillId="3" borderId="23" xfId="0" applyFill="1" applyBorder="1"/>
    <xf numFmtId="3" fontId="0" fillId="0" borderId="20" xfId="0" applyNumberFormat="1" applyBorder="1" applyAlignment="1">
      <alignment horizontal="center" vertical="center"/>
    </xf>
    <xf numFmtId="0" fontId="1" fillId="0" borderId="0" xfId="0" applyFont="1"/>
    <xf numFmtId="0" fontId="32" fillId="0" borderId="0" xfId="2" applyFont="1" applyAlignment="1">
      <alignment vertical="center" wrapText="1"/>
    </xf>
    <xf numFmtId="1" fontId="32" fillId="0" borderId="0" xfId="2" applyNumberFormat="1" applyFont="1" applyAlignment="1">
      <alignment horizontal="center" vertical="center" wrapText="1"/>
    </xf>
    <xf numFmtId="0" fontId="31" fillId="0" borderId="22" xfId="2" applyBorder="1"/>
    <xf numFmtId="0" fontId="31" fillId="0" borderId="23" xfId="2" applyBorder="1"/>
    <xf numFmtId="0" fontId="35" fillId="0" borderId="10" xfId="2" applyFont="1" applyBorder="1" applyAlignment="1">
      <alignment vertical="center" wrapText="1"/>
    </xf>
    <xf numFmtId="1" fontId="32" fillId="0" borderId="50" xfId="2" applyNumberFormat="1" applyFont="1" applyBorder="1" applyAlignment="1">
      <alignment horizontal="center" vertical="center" wrapText="1"/>
    </xf>
    <xf numFmtId="0" fontId="32" fillId="0" borderId="45" xfId="2" applyFont="1" applyBorder="1" applyAlignment="1">
      <alignment vertical="center" wrapText="1"/>
    </xf>
    <xf numFmtId="3" fontId="31" fillId="0" borderId="16" xfId="2" applyNumberFormat="1" applyBorder="1"/>
    <xf numFmtId="0" fontId="7" fillId="7" borderId="1" xfId="0" applyFont="1" applyFill="1" applyBorder="1" applyAlignment="1">
      <alignment horizontal="center" vertical="center"/>
    </xf>
    <xf numFmtId="0" fontId="7" fillId="3" borderId="18" xfId="0" applyFont="1" applyFill="1" applyBorder="1" applyAlignment="1">
      <alignment vertical="center"/>
    </xf>
    <xf numFmtId="0" fontId="24" fillId="4" borderId="87" xfId="0" applyFont="1" applyFill="1" applyBorder="1" applyAlignment="1">
      <alignment horizontal="center" vertical="center" wrapText="1"/>
    </xf>
    <xf numFmtId="0" fontId="23" fillId="3" borderId="78"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22" fillId="3" borderId="78" xfId="0" applyFont="1" applyFill="1" applyBorder="1" applyAlignment="1">
      <alignment vertical="center" wrapText="1"/>
    </xf>
    <xf numFmtId="11" fontId="12" fillId="0" borderId="17" xfId="0" applyNumberFormat="1" applyFont="1" applyBorder="1" applyAlignment="1">
      <alignment horizontal="center" vertical="center"/>
    </xf>
    <xf numFmtId="11" fontId="12" fillId="0" borderId="15" xfId="0" applyNumberFormat="1" applyFont="1" applyBorder="1" applyAlignment="1">
      <alignment horizontal="center" vertical="center"/>
    </xf>
    <xf numFmtId="11" fontId="12" fillId="0" borderId="19" xfId="0" applyNumberFormat="1" applyFont="1" applyBorder="1" applyAlignment="1">
      <alignment horizontal="center" vertical="center"/>
    </xf>
    <xf numFmtId="11" fontId="12" fillId="0" borderId="37" xfId="0" applyNumberFormat="1" applyFont="1" applyBorder="1" applyAlignment="1">
      <alignment horizontal="center" vertical="center"/>
    </xf>
    <xf numFmtId="11" fontId="12" fillId="0" borderId="41" xfId="0" applyNumberFormat="1" applyFont="1" applyBorder="1" applyAlignment="1">
      <alignment horizontal="center" vertical="center"/>
    </xf>
    <xf numFmtId="11" fontId="12" fillId="0" borderId="42" xfId="0" applyNumberFormat="1" applyFont="1" applyBorder="1" applyAlignment="1">
      <alignment horizontal="center" vertical="center"/>
    </xf>
    <xf numFmtId="0" fontId="9" fillId="5" borderId="42" xfId="0" applyFont="1" applyFill="1" applyBorder="1" applyAlignment="1">
      <alignment horizontal="center" vertical="center" wrapText="1"/>
    </xf>
    <xf numFmtId="2" fontId="12" fillId="3" borderId="36" xfId="0" applyNumberFormat="1" applyFont="1" applyFill="1" applyBorder="1" applyAlignment="1">
      <alignment horizontal="center" vertical="center"/>
    </xf>
    <xf numFmtId="0" fontId="12" fillId="0" borderId="30" xfId="0" applyFont="1" applyBorder="1" applyAlignment="1">
      <alignment horizontal="center" vertical="center" wrapText="1"/>
    </xf>
    <xf numFmtId="167" fontId="12" fillId="3" borderId="22" xfId="0" applyNumberFormat="1" applyFont="1" applyFill="1" applyBorder="1" applyAlignment="1">
      <alignment horizontal="center" vertical="center"/>
    </xf>
    <xf numFmtId="0" fontId="12" fillId="0" borderId="23" xfId="0" applyFont="1" applyBorder="1" applyAlignment="1">
      <alignment horizontal="center" vertical="center" wrapText="1"/>
    </xf>
    <xf numFmtId="0" fontId="0" fillId="3" borderId="57" xfId="0" applyFill="1" applyBorder="1" applyAlignment="1">
      <alignment horizontal="center"/>
    </xf>
    <xf numFmtId="0" fontId="0" fillId="3" borderId="36" xfId="0" applyFill="1" applyBorder="1" applyAlignment="1">
      <alignment horizontal="center"/>
    </xf>
    <xf numFmtId="164" fontId="0" fillId="3" borderId="25" xfId="0" applyNumberFormat="1" applyFill="1" applyBorder="1" applyAlignment="1">
      <alignment horizontal="center"/>
    </xf>
    <xf numFmtId="0" fontId="0" fillId="3" borderId="30" xfId="0" applyFill="1" applyBorder="1"/>
    <xf numFmtId="0" fontId="1" fillId="6" borderId="86"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0" fillId="0" borderId="0" xfId="0" applyAlignment="1">
      <alignment vertical="center"/>
    </xf>
    <xf numFmtId="0" fontId="38" fillId="14" borderId="33" xfId="0" applyFont="1" applyFill="1" applyBorder="1" applyAlignment="1">
      <alignment vertical="center"/>
    </xf>
    <xf numFmtId="0" fontId="39" fillId="14" borderId="33" xfId="0" applyFont="1" applyFill="1" applyBorder="1" applyAlignment="1">
      <alignment vertical="center"/>
    </xf>
    <xf numFmtId="0" fontId="0" fillId="0" borderId="0" xfId="0" applyAlignment="1">
      <alignment horizontal="center" vertical="center"/>
    </xf>
    <xf numFmtId="0" fontId="38" fillId="15" borderId="98" xfId="0" applyFont="1" applyFill="1" applyBorder="1" applyAlignment="1">
      <alignment horizontal="center" vertical="center"/>
    </xf>
    <xf numFmtId="0" fontId="38" fillId="15" borderId="99" xfId="0" applyFont="1" applyFill="1" applyBorder="1" applyAlignment="1">
      <alignment horizontal="center" vertical="center"/>
    </xf>
    <xf numFmtId="0" fontId="38" fillId="16" borderId="98" xfId="0" applyFont="1" applyFill="1" applyBorder="1" applyAlignment="1">
      <alignment vertical="center"/>
    </xf>
    <xf numFmtId="0" fontId="38" fillId="16" borderId="98" xfId="0" applyFont="1" applyFill="1" applyBorder="1" applyAlignment="1">
      <alignment horizontal="left" vertical="center"/>
    </xf>
    <xf numFmtId="0" fontId="38" fillId="16" borderId="100" xfId="0" applyFont="1" applyFill="1" applyBorder="1" applyAlignment="1">
      <alignment horizontal="left" vertical="center" wrapText="1"/>
    </xf>
    <xf numFmtId="0" fontId="38" fillId="0" borderId="0" xfId="0" applyFont="1" applyAlignment="1">
      <alignment horizontal="left" vertical="center" wrapText="1"/>
    </xf>
    <xf numFmtId="0" fontId="39" fillId="0" borderId="0" xfId="0" applyFont="1" applyAlignment="1">
      <alignment vertical="top" wrapText="1"/>
    </xf>
    <xf numFmtId="0" fontId="41" fillId="0" borderId="0" xfId="0" quotePrefix="1" applyFont="1" applyAlignment="1" applyProtection="1">
      <alignment vertical="center"/>
      <protection hidden="1"/>
    </xf>
    <xf numFmtId="0" fontId="42" fillId="3" borderId="0" xfId="0" applyFont="1" applyFill="1"/>
    <xf numFmtId="0" fontId="43" fillId="3" borderId="0" xfId="0" applyFont="1" applyFill="1"/>
    <xf numFmtId="0" fontId="44" fillId="3" borderId="0" xfId="0" applyFont="1" applyFill="1" applyAlignment="1">
      <alignment vertical="center"/>
    </xf>
    <xf numFmtId="0" fontId="1" fillId="3" borderId="59" xfId="0" applyFont="1" applyFill="1" applyBorder="1" applyAlignment="1">
      <alignment horizontal="right"/>
    </xf>
    <xf numFmtId="0" fontId="1" fillId="3" borderId="0" xfId="0" applyFont="1" applyFill="1" applyAlignment="1">
      <alignment wrapText="1"/>
    </xf>
    <xf numFmtId="0" fontId="46" fillId="18" borderId="82" xfId="0" applyFont="1" applyFill="1" applyBorder="1" applyAlignment="1">
      <alignment horizontal="center" vertical="center" wrapText="1"/>
    </xf>
    <xf numFmtId="0" fontId="46" fillId="18" borderId="35" xfId="0" applyFont="1" applyFill="1" applyBorder="1" applyAlignment="1">
      <alignment horizontal="center" vertical="center" wrapText="1"/>
    </xf>
    <xf numFmtId="0" fontId="46" fillId="18" borderId="26" xfId="0" applyFont="1" applyFill="1" applyBorder="1" applyAlignment="1">
      <alignment horizontal="center" vertical="center" wrapText="1"/>
    </xf>
    <xf numFmtId="0" fontId="46" fillId="18" borderId="28" xfId="0" applyFont="1" applyFill="1" applyBorder="1" applyAlignment="1">
      <alignment horizontal="center" vertical="center" wrapText="1"/>
    </xf>
    <xf numFmtId="0" fontId="43" fillId="19" borderId="86" xfId="0" applyFont="1" applyFill="1" applyBorder="1" applyAlignment="1">
      <alignment horizontal="center"/>
    </xf>
    <xf numFmtId="0" fontId="43" fillId="3" borderId="86" xfId="0" applyFont="1" applyFill="1" applyBorder="1" applyAlignment="1">
      <alignment horizontal="center"/>
    </xf>
    <xf numFmtId="2" fontId="48" fillId="3" borderId="39" xfId="0" applyNumberFormat="1" applyFont="1" applyFill="1" applyBorder="1" applyAlignment="1">
      <alignment horizontal="center" vertical="center" wrapText="1"/>
    </xf>
    <xf numFmtId="11" fontId="48" fillId="3" borderId="39" xfId="0" applyNumberFormat="1" applyFont="1" applyFill="1" applyBorder="1" applyAlignment="1">
      <alignment horizontal="center" vertical="center" wrapText="1"/>
    </xf>
    <xf numFmtId="0" fontId="0" fillId="3" borderId="35"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86" xfId="0" applyFill="1" applyBorder="1" applyAlignment="1">
      <alignment horizontal="center"/>
    </xf>
    <xf numFmtId="0" fontId="0" fillId="3" borderId="78"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93" xfId="0" applyFill="1" applyBorder="1" applyAlignment="1" applyProtection="1">
      <alignment horizontal="center" vertical="center"/>
      <protection locked="0"/>
    </xf>
    <xf numFmtId="0" fontId="0" fillId="3" borderId="0" xfId="0" quotePrefix="1" applyFill="1"/>
    <xf numFmtId="0" fontId="0" fillId="3" borderId="87"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0" fontId="48" fillId="3" borderId="86" xfId="0" applyFont="1" applyFill="1" applyBorder="1" applyAlignment="1">
      <alignment horizontal="center" vertical="center" wrapText="1"/>
    </xf>
    <xf numFmtId="0" fontId="0" fillId="3" borderId="90"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82" xfId="0" applyFill="1" applyBorder="1" applyAlignment="1" applyProtection="1">
      <alignment horizontal="center" vertical="center"/>
      <protection locked="0"/>
    </xf>
    <xf numFmtId="0" fontId="51" fillId="3" borderId="0" xfId="0" applyFont="1" applyFill="1" applyAlignment="1">
      <alignment vertical="center"/>
    </xf>
    <xf numFmtId="0" fontId="50" fillId="3" borderId="0" xfId="0" applyFont="1" applyFill="1" applyAlignment="1">
      <alignment vertical="center"/>
    </xf>
    <xf numFmtId="3" fontId="32" fillId="0" borderId="82" xfId="2" applyNumberFormat="1" applyFont="1" applyBorder="1" applyAlignment="1">
      <alignment horizontal="center" vertical="center" wrapText="1"/>
    </xf>
    <xf numFmtId="37" fontId="7" fillId="0" borderId="86" xfId="3" applyNumberFormat="1" applyFont="1" applyFill="1" applyBorder="1" applyAlignment="1">
      <alignment horizontal="center" vertical="center"/>
    </xf>
    <xf numFmtId="37" fontId="7" fillId="0" borderId="56" xfId="3" applyNumberFormat="1" applyFont="1" applyFill="1" applyBorder="1" applyAlignment="1">
      <alignment horizontal="center" vertical="center"/>
    </xf>
    <xf numFmtId="0" fontId="32" fillId="0" borderId="86" xfId="2" applyFont="1" applyBorder="1" applyAlignment="1">
      <alignment vertical="center" wrapText="1"/>
    </xf>
    <xf numFmtId="0" fontId="32" fillId="0" borderId="55" xfId="2" applyFont="1" applyBorder="1" applyAlignment="1">
      <alignment horizontal="center" vertical="center" wrapText="1"/>
    </xf>
    <xf numFmtId="165" fontId="0" fillId="0" borderId="1" xfId="0" applyNumberFormat="1" applyBorder="1" applyAlignment="1">
      <alignment horizontal="left" vertical="top"/>
    </xf>
    <xf numFmtId="0" fontId="0" fillId="0" borderId="1" xfId="0" applyBorder="1" applyAlignment="1">
      <alignment horizontal="left" vertical="top"/>
    </xf>
    <xf numFmtId="0" fontId="0" fillId="0" borderId="89" xfId="0" applyBorder="1" applyAlignment="1">
      <alignment wrapText="1"/>
    </xf>
    <xf numFmtId="11" fontId="2" fillId="20" borderId="1" xfId="0" applyNumberFormat="1" applyFont="1" applyFill="1" applyBorder="1" applyAlignment="1">
      <alignment horizontal="center" vertical="center"/>
    </xf>
    <xf numFmtId="0" fontId="7" fillId="0" borderId="16" xfId="0" applyFont="1" applyBorder="1" applyAlignment="1">
      <alignment horizontal="center" vertical="center"/>
    </xf>
    <xf numFmtId="0" fontId="3" fillId="3" borderId="106" xfId="0" applyFont="1" applyFill="1" applyBorder="1" applyAlignment="1">
      <alignment horizontal="center" wrapText="1"/>
    </xf>
    <xf numFmtId="0" fontId="1" fillId="3" borderId="107" xfId="0" applyFont="1" applyFill="1" applyBorder="1" applyAlignment="1">
      <alignment horizontal="center" wrapText="1"/>
    </xf>
    <xf numFmtId="0" fontId="2" fillId="0" borderId="88" xfId="0" applyFont="1" applyBorder="1" applyAlignment="1">
      <alignment horizontal="center"/>
    </xf>
    <xf numFmtId="1" fontId="2" fillId="0" borderId="88" xfId="0" quotePrefix="1" applyNumberFormat="1" applyFont="1" applyBorder="1" applyAlignment="1">
      <alignment horizontal="center"/>
    </xf>
    <xf numFmtId="164" fontId="12" fillId="0" borderId="23" xfId="0" applyNumberFormat="1" applyFont="1" applyBorder="1" applyAlignment="1">
      <alignment horizontal="center" vertical="center"/>
    </xf>
    <xf numFmtId="0" fontId="40" fillId="0" borderId="99" xfId="0" applyFont="1" applyBorder="1" applyAlignment="1">
      <alignment vertical="center" wrapText="1"/>
    </xf>
    <xf numFmtId="0" fontId="40" fillId="0" borderId="101" xfId="0" applyFont="1" applyBorder="1" applyAlignment="1">
      <alignment vertical="center" wrapText="1"/>
    </xf>
    <xf numFmtId="164" fontId="12" fillId="3" borderId="0" xfId="0" applyNumberFormat="1" applyFont="1" applyFill="1" applyAlignment="1">
      <alignment horizontal="center" vertical="center"/>
    </xf>
    <xf numFmtId="0" fontId="8" fillId="3" borderId="18" xfId="0" applyFont="1" applyFill="1" applyBorder="1" applyAlignment="1">
      <alignment horizontal="center" vertical="center"/>
    </xf>
    <xf numFmtId="0" fontId="8" fillId="3" borderId="31" xfId="0" applyFont="1" applyFill="1" applyBorder="1" applyAlignment="1">
      <alignment horizontal="center" vertical="center"/>
    </xf>
    <xf numFmtId="1" fontId="12" fillId="0" borderId="17" xfId="0" applyNumberFormat="1" applyFont="1" applyBorder="1" applyAlignment="1">
      <alignment horizontal="center" vertical="center"/>
    </xf>
    <xf numFmtId="1" fontId="12" fillId="0" borderId="22" xfId="0" applyNumberFormat="1" applyFont="1" applyBorder="1" applyAlignment="1">
      <alignment horizontal="center" vertical="center"/>
    </xf>
    <xf numFmtId="3" fontId="9" fillId="0" borderId="91" xfId="0" applyNumberFormat="1" applyFont="1" applyBorder="1" applyAlignment="1">
      <alignment horizontal="center" vertical="center"/>
    </xf>
    <xf numFmtId="3" fontId="9" fillId="0" borderId="31" xfId="0" applyNumberFormat="1" applyFont="1" applyBorder="1" applyAlignment="1">
      <alignment horizontal="center" vertical="center"/>
    </xf>
    <xf numFmtId="0" fontId="9" fillId="5" borderId="93" xfId="0" applyFont="1" applyFill="1" applyBorder="1" applyAlignment="1">
      <alignment horizontal="center" vertical="center" wrapText="1"/>
    </xf>
    <xf numFmtId="164" fontId="12" fillId="0" borderId="17" xfId="0" applyNumberFormat="1" applyFont="1" applyBorder="1" applyAlignment="1">
      <alignment horizontal="center" vertical="center"/>
    </xf>
    <xf numFmtId="164" fontId="12" fillId="0" borderId="19" xfId="0" applyNumberFormat="1" applyFont="1" applyBorder="1" applyAlignment="1">
      <alignment horizontal="center" vertical="center"/>
    </xf>
    <xf numFmtId="164" fontId="12" fillId="0" borderId="22" xfId="0" applyNumberFormat="1" applyFont="1" applyBorder="1" applyAlignment="1">
      <alignment horizontal="center" vertical="center"/>
    </xf>
    <xf numFmtId="2" fontId="12" fillId="0" borderId="17" xfId="0" applyNumberFormat="1" applyFont="1" applyBorder="1" applyAlignment="1">
      <alignment horizontal="center" vertical="center"/>
    </xf>
    <xf numFmtId="3" fontId="2" fillId="0" borderId="88" xfId="0" applyNumberFormat="1" applyFont="1" applyBorder="1" applyAlignment="1">
      <alignment horizontal="center"/>
    </xf>
    <xf numFmtId="0" fontId="7" fillId="2" borderId="17" xfId="0" applyFont="1" applyFill="1" applyBorder="1" applyAlignment="1">
      <alignment horizontal="center" vertical="center"/>
    </xf>
    <xf numFmtId="0" fontId="7" fillId="2" borderId="20" xfId="0" applyFont="1" applyFill="1" applyBorder="1" applyAlignment="1">
      <alignment horizontal="center" vertical="center"/>
    </xf>
    <xf numFmtId="0" fontId="23" fillId="4" borderId="54" xfId="0" applyFont="1" applyFill="1" applyBorder="1" applyAlignment="1">
      <alignment horizontal="center" vertical="center" wrapText="1"/>
    </xf>
    <xf numFmtId="0" fontId="8" fillId="0" borderId="23" xfId="0" applyFont="1" applyBorder="1" applyAlignment="1">
      <alignment horizontal="center" vertical="center" wrapText="1"/>
    </xf>
    <xf numFmtId="2" fontId="2" fillId="0" borderId="108" xfId="0" quotePrefix="1" applyNumberFormat="1" applyFont="1" applyBorder="1" applyAlignment="1">
      <alignment horizontal="center"/>
    </xf>
    <xf numFmtId="0" fontId="0" fillId="17" borderId="67" xfId="0" applyFill="1" applyBorder="1" applyAlignment="1">
      <alignment horizontal="center"/>
    </xf>
    <xf numFmtId="0" fontId="15" fillId="3" borderId="0" xfId="0" applyFont="1" applyFill="1"/>
    <xf numFmtId="0" fontId="7" fillId="7" borderId="6" xfId="0" applyFont="1" applyFill="1" applyBorder="1" applyAlignment="1">
      <alignment horizontal="center" vertical="center"/>
    </xf>
    <xf numFmtId="0" fontId="12" fillId="2" borderId="77" xfId="0" applyFont="1" applyFill="1" applyBorder="1" applyAlignment="1">
      <alignment horizontal="center" vertical="center" wrapText="1"/>
    </xf>
    <xf numFmtId="0" fontId="2" fillId="0" borderId="108" xfId="0" applyFont="1" applyBorder="1" applyAlignment="1">
      <alignment horizontal="center"/>
    </xf>
    <xf numFmtId="1" fontId="2" fillId="0" borderId="88" xfId="0" applyNumberFormat="1" applyFont="1" applyBorder="1" applyAlignment="1">
      <alignment horizontal="center"/>
    </xf>
    <xf numFmtId="0" fontId="7" fillId="12" borderId="39" xfId="0" applyFont="1" applyFill="1" applyBorder="1" applyAlignment="1">
      <alignment horizontal="left" vertical="center" wrapText="1"/>
    </xf>
    <xf numFmtId="0" fontId="8" fillId="6" borderId="0" xfId="0" applyFont="1" applyFill="1" applyAlignment="1">
      <alignment horizontal="center"/>
    </xf>
    <xf numFmtId="0" fontId="7" fillId="0" borderId="0" xfId="0" applyFont="1" applyAlignment="1">
      <alignment vertical="center"/>
    </xf>
    <xf numFmtId="0" fontId="7" fillId="0" borderId="0" xfId="0" quotePrefix="1" applyFont="1" applyAlignment="1">
      <alignment wrapText="1"/>
    </xf>
    <xf numFmtId="0" fontId="7" fillId="0" borderId="0" xfId="0" applyFont="1" applyAlignment="1">
      <alignment horizontal="left" wrapText="1"/>
    </xf>
    <xf numFmtId="0" fontId="7" fillId="0" borderId="0" xfId="0" applyFont="1" applyAlignment="1">
      <alignment horizontal="left"/>
    </xf>
    <xf numFmtId="0" fontId="8" fillId="0" borderId="0" xfId="0" applyFont="1" applyAlignment="1">
      <alignment horizontal="left"/>
    </xf>
    <xf numFmtId="0" fontId="19" fillId="3" borderId="11" xfId="0" applyFont="1" applyFill="1" applyBorder="1" applyAlignment="1">
      <alignment vertical="center"/>
    </xf>
    <xf numFmtId="0" fontId="1" fillId="3" borderId="116" xfId="0" applyFont="1" applyFill="1" applyBorder="1" applyAlignment="1">
      <alignment vertical="center"/>
    </xf>
    <xf numFmtId="0" fontId="16" fillId="3" borderId="117" xfId="0" applyFont="1" applyFill="1" applyBorder="1" applyAlignment="1">
      <alignment vertical="center"/>
    </xf>
    <xf numFmtId="0" fontId="2" fillId="3" borderId="117" xfId="0" applyFont="1" applyFill="1" applyBorder="1" applyAlignment="1">
      <alignment vertical="center" wrapText="1"/>
    </xf>
    <xf numFmtId="0" fontId="0" fillId="3" borderId="117" xfId="0" applyFill="1" applyBorder="1"/>
    <xf numFmtId="0" fontId="0" fillId="3" borderId="116" xfId="0" quotePrefix="1" applyFill="1" applyBorder="1" applyAlignment="1">
      <alignment horizontal="center"/>
    </xf>
    <xf numFmtId="0" fontId="0" fillId="3" borderId="118" xfId="0" quotePrefix="1" applyFill="1" applyBorder="1" applyAlignment="1">
      <alignment horizontal="center"/>
    </xf>
    <xf numFmtId="0" fontId="0" fillId="8" borderId="118" xfId="0" quotePrefix="1" applyFill="1" applyBorder="1" applyAlignment="1">
      <alignment horizontal="center"/>
    </xf>
    <xf numFmtId="0" fontId="0" fillId="3" borderId="89" xfId="0" applyFill="1" applyBorder="1" applyAlignment="1">
      <alignment vertical="center"/>
    </xf>
    <xf numFmtId="0" fontId="0" fillId="3" borderId="0" xfId="0" applyFill="1" applyAlignment="1">
      <alignment vertical="center" wrapText="1"/>
    </xf>
    <xf numFmtId="169" fontId="2" fillId="0" borderId="108" xfId="0" quotePrefix="1" applyNumberFormat="1" applyFont="1" applyBorder="1" applyAlignment="1">
      <alignment horizontal="center"/>
    </xf>
    <xf numFmtId="0" fontId="19" fillId="3" borderId="106" xfId="0" applyFont="1" applyFill="1" applyBorder="1" applyAlignment="1">
      <alignment horizontal="center" wrapText="1"/>
    </xf>
    <xf numFmtId="0" fontId="19" fillId="9" borderId="14" xfId="0" applyFont="1" applyFill="1" applyBorder="1" applyAlignment="1">
      <alignment horizontal="center" wrapText="1"/>
    </xf>
    <xf numFmtId="0" fontId="11" fillId="0" borderId="0" xfId="0" applyFont="1" applyAlignment="1">
      <alignment vertical="center"/>
    </xf>
    <xf numFmtId="0" fontId="12" fillId="0" borderId="0" xfId="0" applyFont="1" applyAlignment="1">
      <alignment vertical="center"/>
    </xf>
    <xf numFmtId="2" fontId="29" fillId="3" borderId="0" xfId="0" applyNumberFormat="1" applyFont="1" applyFill="1" applyAlignment="1">
      <alignment horizontal="left" vertical="center"/>
    </xf>
    <xf numFmtId="0" fontId="12" fillId="0" borderId="0" xfId="0" quotePrefix="1" applyFont="1" applyAlignment="1">
      <alignment vertical="center" wrapText="1"/>
    </xf>
    <xf numFmtId="0" fontId="12" fillId="0" borderId="0" xfId="0" quotePrefix="1" applyFont="1" applyAlignment="1">
      <alignment wrapText="1"/>
    </xf>
    <xf numFmtId="164" fontId="32" fillId="0" borderId="82" xfId="2" applyNumberFormat="1" applyFont="1" applyBorder="1" applyAlignment="1">
      <alignment horizontal="center" vertical="center" wrapText="1"/>
    </xf>
    <xf numFmtId="0" fontId="7" fillId="0" borderId="86" xfId="0" applyFont="1" applyBorder="1" applyAlignment="1">
      <alignment horizontal="center"/>
    </xf>
    <xf numFmtId="164" fontId="0" fillId="3" borderId="86" xfId="0" applyNumberFormat="1" applyFill="1" applyBorder="1" applyAlignment="1">
      <alignment horizontal="center"/>
    </xf>
    <xf numFmtId="11" fontId="7" fillId="3" borderId="0" xfId="0" applyNumberFormat="1" applyFont="1" applyFill="1" applyAlignment="1">
      <alignment vertical="center"/>
    </xf>
    <xf numFmtId="2" fontId="48" fillId="3" borderId="60" xfId="0" applyNumberFormat="1" applyFont="1" applyFill="1" applyBorder="1" applyAlignment="1">
      <alignment horizontal="center" vertical="center" wrapText="1"/>
    </xf>
    <xf numFmtId="11" fontId="48" fillId="3" borderId="60" xfId="0" applyNumberFormat="1" applyFont="1" applyFill="1" applyBorder="1" applyAlignment="1">
      <alignment horizontal="center" vertical="center" wrapText="1"/>
    </xf>
    <xf numFmtId="0" fontId="43" fillId="0" borderId="86" xfId="0" applyFont="1" applyBorder="1" applyAlignment="1">
      <alignment horizontal="center"/>
    </xf>
    <xf numFmtId="0" fontId="0" fillId="3" borderId="62" xfId="0" applyFill="1" applyBorder="1"/>
    <xf numFmtId="0" fontId="0" fillId="3" borderId="62" xfId="0" applyFill="1" applyBorder="1" applyAlignment="1">
      <alignment horizontal="center"/>
    </xf>
    <xf numFmtId="11" fontId="0" fillId="3" borderId="62" xfId="0" applyNumberFormat="1" applyFill="1" applyBorder="1" applyAlignment="1">
      <alignment horizontal="center"/>
    </xf>
    <xf numFmtId="0" fontId="57" fillId="3" borderId="0" xfId="0" applyFont="1" applyFill="1"/>
    <xf numFmtId="0" fontId="8" fillId="3" borderId="0" xfId="0" applyFont="1" applyFill="1"/>
    <xf numFmtId="0" fontId="7" fillId="3" borderId="0" xfId="0" applyFont="1" applyFill="1"/>
    <xf numFmtId="0" fontId="7" fillId="10" borderId="16" xfId="0" applyFont="1" applyFill="1" applyBorder="1" applyAlignment="1">
      <alignment horizontal="center" wrapText="1"/>
    </xf>
    <xf numFmtId="0" fontId="7" fillId="10" borderId="31" xfId="0" applyFont="1" applyFill="1" applyBorder="1" applyAlignment="1">
      <alignment horizontal="center" wrapText="1"/>
    </xf>
    <xf numFmtId="0" fontId="7" fillId="10" borderId="65" xfId="0" applyFont="1" applyFill="1" applyBorder="1" applyAlignment="1">
      <alignment horizontal="center" wrapText="1"/>
    </xf>
    <xf numFmtId="0" fontId="7" fillId="7" borderId="25" xfId="0" applyFont="1" applyFill="1" applyBorder="1" applyAlignment="1">
      <alignment horizontal="center" vertical="center"/>
    </xf>
    <xf numFmtId="0" fontId="7" fillId="7" borderId="15" xfId="0" applyFont="1" applyFill="1" applyBorder="1" applyAlignment="1">
      <alignment horizontal="center" vertical="center"/>
    </xf>
    <xf numFmtId="0" fontId="7" fillId="0" borderId="5" xfId="0" applyFont="1" applyBorder="1" applyAlignment="1">
      <alignment horizontal="center" wrapText="1"/>
    </xf>
    <xf numFmtId="0" fontId="7" fillId="0" borderId="27" xfId="0" applyFont="1" applyBorder="1" applyAlignment="1">
      <alignment horizontal="center" wrapText="1"/>
    </xf>
    <xf numFmtId="0" fontId="7" fillId="0" borderId="29" xfId="0" applyFont="1" applyBorder="1" applyAlignment="1">
      <alignment horizontal="left"/>
    </xf>
    <xf numFmtId="0" fontId="7" fillId="0" borderId="1" xfId="0" applyFont="1" applyBorder="1" applyAlignment="1">
      <alignment horizontal="left" wrapText="1"/>
    </xf>
    <xf numFmtId="0" fontId="7" fillId="7" borderId="1" xfId="0" quotePrefix="1" applyFont="1" applyFill="1" applyBorder="1" applyAlignment="1">
      <alignment horizontal="center" vertical="center"/>
    </xf>
    <xf numFmtId="0" fontId="7" fillId="0" borderId="2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wrapText="1"/>
    </xf>
    <xf numFmtId="0" fontId="7" fillId="0" borderId="25" xfId="0" applyFont="1" applyBorder="1" applyAlignment="1">
      <alignment horizontal="center" vertical="center"/>
    </xf>
    <xf numFmtId="0" fontId="7" fillId="0" borderId="6" xfId="0" applyFont="1" applyBorder="1" applyAlignment="1">
      <alignment horizontal="center" wrapText="1"/>
    </xf>
    <xf numFmtId="0" fontId="7" fillId="0" borderId="5" xfId="0" applyFont="1" applyBorder="1" applyAlignment="1">
      <alignment horizontal="left" wrapText="1"/>
    </xf>
    <xf numFmtId="0" fontId="7" fillId="7" borderId="16" xfId="0" applyFont="1" applyFill="1" applyBorder="1" applyAlignment="1">
      <alignment horizontal="center" vertical="center"/>
    </xf>
    <xf numFmtId="0" fontId="7" fillId="0" borderId="38" xfId="0" applyFont="1" applyBorder="1" applyAlignment="1">
      <alignment horizontal="center" vertical="center"/>
    </xf>
    <xf numFmtId="0" fontId="7" fillId="0" borderId="32" xfId="0" applyFont="1" applyBorder="1" applyAlignment="1">
      <alignment horizontal="center" wrapText="1"/>
    </xf>
    <xf numFmtId="0" fontId="7" fillId="0" borderId="92" xfId="0" applyFont="1" applyBorder="1" applyAlignment="1">
      <alignment horizontal="center" wrapText="1"/>
    </xf>
    <xf numFmtId="0" fontId="7" fillId="0" borderId="26" xfId="0" applyFont="1" applyBorder="1" applyAlignment="1">
      <alignment horizontal="left" wrapText="1"/>
    </xf>
    <xf numFmtId="0" fontId="7" fillId="0" borderId="62" xfId="0" applyFont="1" applyBorder="1" applyAlignment="1">
      <alignment horizontal="center" wrapText="1"/>
    </xf>
    <xf numFmtId="0" fontId="7" fillId="0" borderId="28" xfId="0" applyFont="1" applyBorder="1" applyAlignment="1">
      <alignment horizontal="left" wrapText="1"/>
    </xf>
    <xf numFmtId="0" fontId="7" fillId="0" borderId="92" xfId="0" applyFont="1" applyBorder="1" applyAlignment="1">
      <alignment horizontal="left" wrapText="1"/>
    </xf>
    <xf numFmtId="0" fontId="7" fillId="0" borderId="68" xfId="0" applyFont="1" applyBorder="1" applyAlignment="1">
      <alignment horizontal="center" wrapText="1"/>
    </xf>
    <xf numFmtId="0" fontId="7" fillId="0" borderId="44" xfId="0" applyFont="1" applyBorder="1" applyAlignment="1">
      <alignment horizontal="left"/>
    </xf>
    <xf numFmtId="0" fontId="7" fillId="0" borderId="29" xfId="0" applyFont="1" applyBorder="1" applyAlignment="1">
      <alignment horizontal="left" wrapText="1"/>
    </xf>
    <xf numFmtId="0" fontId="7" fillId="0" borderId="1" xfId="0" applyFont="1" applyBorder="1" applyAlignment="1">
      <alignment horizontal="left"/>
    </xf>
    <xf numFmtId="0" fontId="7" fillId="0" borderId="25" xfId="0" applyFont="1" applyBorder="1" applyAlignment="1">
      <alignment horizontal="left" wrapText="1"/>
    </xf>
    <xf numFmtId="0" fontId="7" fillId="0" borderId="38" xfId="0" applyFont="1" applyBorder="1" applyAlignment="1">
      <alignment horizontal="left" wrapText="1"/>
    </xf>
    <xf numFmtId="0" fontId="7" fillId="0" borderId="68" xfId="0" applyFont="1" applyBorder="1" applyAlignment="1">
      <alignment horizontal="center" vertical="center"/>
    </xf>
    <xf numFmtId="0" fontId="7" fillId="0" borderId="38" xfId="0" applyFont="1" applyBorder="1" applyAlignment="1">
      <alignment horizontal="center" wrapText="1"/>
    </xf>
    <xf numFmtId="0" fontId="7" fillId="0" borderId="26" xfId="0" applyFont="1" applyBorder="1" applyAlignment="1">
      <alignment horizontal="center" wrapText="1"/>
    </xf>
    <xf numFmtId="0" fontId="7" fillId="0" borderId="91" xfId="0" applyFont="1" applyBorder="1" applyAlignment="1">
      <alignment horizontal="center" wrapText="1"/>
    </xf>
    <xf numFmtId="0" fontId="7" fillId="0" borderId="27" xfId="0" applyFont="1" applyBorder="1" applyAlignment="1">
      <alignment horizontal="left" wrapText="1"/>
    </xf>
    <xf numFmtId="0" fontId="7" fillId="0" borderId="69" xfId="0" applyFont="1" applyBorder="1" applyAlignment="1">
      <alignment horizontal="center" wrapText="1"/>
    </xf>
    <xf numFmtId="0" fontId="7" fillId="0" borderId="30" xfId="0" applyFont="1" applyBorder="1" applyAlignment="1">
      <alignment horizontal="left" wrapText="1"/>
    </xf>
    <xf numFmtId="0" fontId="7" fillId="0" borderId="4" xfId="0" applyFont="1" applyBorder="1" applyAlignment="1">
      <alignment horizontal="center" wrapText="1"/>
    </xf>
    <xf numFmtId="0" fontId="7" fillId="0" borderId="44" xfId="0" applyFont="1" applyBorder="1" applyAlignment="1">
      <alignment horizontal="left" wrapText="1"/>
    </xf>
    <xf numFmtId="0" fontId="7" fillId="0" borderId="6" xfId="0" applyFont="1" applyBorder="1" applyAlignment="1">
      <alignment horizontal="center" vertical="center"/>
    </xf>
    <xf numFmtId="0" fontId="7" fillId="7" borderId="33" xfId="0" quotePrefix="1" applyFont="1" applyFill="1" applyBorder="1" applyAlignment="1">
      <alignment horizontal="center" vertical="center"/>
    </xf>
    <xf numFmtId="0" fontId="7" fillId="0" borderId="15" xfId="0" applyFont="1" applyBorder="1" applyAlignment="1">
      <alignment horizontal="left" wrapText="1"/>
    </xf>
    <xf numFmtId="0" fontId="7" fillId="7" borderId="105" xfId="0" applyFont="1" applyFill="1" applyBorder="1" applyAlignment="1">
      <alignment horizontal="center" vertical="center"/>
    </xf>
    <xf numFmtId="0" fontId="7" fillId="7" borderId="105" xfId="0" quotePrefix="1" applyFont="1" applyFill="1" applyBorder="1" applyAlignment="1">
      <alignment horizontal="center" vertical="center"/>
    </xf>
    <xf numFmtId="0" fontId="7" fillId="7" borderId="65" xfId="0" applyFont="1" applyFill="1" applyBorder="1" applyAlignment="1">
      <alignment horizontal="center" vertical="center"/>
    </xf>
    <xf numFmtId="0" fontId="7" fillId="0" borderId="16" xfId="0" applyFont="1" applyBorder="1" applyAlignment="1">
      <alignment horizontal="left" wrapText="1"/>
    </xf>
    <xf numFmtId="0" fontId="7" fillId="7" borderId="9" xfId="0" applyFont="1" applyFill="1" applyBorder="1" applyAlignment="1">
      <alignment horizontal="center" vertical="center"/>
    </xf>
    <xf numFmtId="0" fontId="7" fillId="0" borderId="28"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horizontal="center" vertical="center"/>
    </xf>
    <xf numFmtId="0" fontId="7" fillId="0" borderId="39" xfId="0" applyFont="1" applyBorder="1"/>
    <xf numFmtId="0" fontId="1" fillId="0" borderId="1" xfId="0" applyFont="1" applyBorder="1"/>
    <xf numFmtId="0" fontId="0" fillId="0" borderId="3" xfId="0" applyBorder="1"/>
    <xf numFmtId="0" fontId="0" fillId="0" borderId="51" xfId="0" applyBorder="1" applyAlignment="1">
      <alignment vertical="center"/>
    </xf>
    <xf numFmtId="0" fontId="9" fillId="5" borderId="21" xfId="0" applyFont="1" applyFill="1" applyBorder="1" applyAlignment="1">
      <alignment horizontal="center" vertical="center" wrapText="1"/>
    </xf>
    <xf numFmtId="0" fontId="26" fillId="3" borderId="0" xfId="0" applyFont="1" applyFill="1" applyAlignment="1">
      <alignment vertical="center" wrapText="1"/>
    </xf>
    <xf numFmtId="3" fontId="12" fillId="3" borderId="0" xfId="0" applyNumberFormat="1" applyFont="1" applyFill="1" applyAlignment="1">
      <alignment horizontal="center" vertical="center" wrapText="1"/>
    </xf>
    <xf numFmtId="0" fontId="8" fillId="3" borderId="0" xfId="0" applyFont="1" applyFill="1" applyAlignment="1">
      <alignment vertical="center" wrapText="1"/>
    </xf>
    <xf numFmtId="0" fontId="20" fillId="3" borderId="0" xfId="0" applyFont="1" applyFill="1" applyAlignment="1">
      <alignment horizontal="left" vertical="center" wrapText="1"/>
    </xf>
    <xf numFmtId="11" fontId="7" fillId="3" borderId="0" xfId="0" applyNumberFormat="1" applyFont="1" applyFill="1" applyAlignment="1">
      <alignment horizontal="center" vertical="center"/>
    </xf>
    <xf numFmtId="0" fontId="7" fillId="3" borderId="1" xfId="0" applyFont="1" applyFill="1" applyBorder="1" applyAlignment="1">
      <alignment horizontal="center" vertical="center"/>
    </xf>
    <xf numFmtId="0" fontId="7" fillId="0" borderId="36" xfId="0" applyFont="1" applyBorder="1" applyAlignment="1">
      <alignment vertical="center"/>
    </xf>
    <xf numFmtId="0" fontId="7" fillId="0" borderId="22" xfId="0" applyFont="1" applyBorder="1" applyAlignment="1">
      <alignment vertical="center"/>
    </xf>
    <xf numFmtId="0" fontId="7" fillId="0" borderId="35"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7" fillId="0" borderId="35" xfId="0" applyFont="1" applyBorder="1" applyAlignment="1">
      <alignment horizontal="left" wrapText="1"/>
    </xf>
    <xf numFmtId="0" fontId="7" fillId="0" borderId="40" xfId="0" applyFont="1" applyBorder="1" applyAlignment="1">
      <alignment horizontal="left" wrapText="1"/>
    </xf>
    <xf numFmtId="0" fontId="7" fillId="0" borderId="43" xfId="0" applyFont="1" applyBorder="1" applyAlignment="1">
      <alignment horizontal="left" wrapText="1"/>
    </xf>
    <xf numFmtId="0" fontId="0" fillId="3" borderId="54" xfId="0" applyFill="1" applyBorder="1"/>
    <xf numFmtId="0" fontId="7" fillId="3" borderId="61" xfId="0" applyFont="1" applyFill="1" applyBorder="1" applyAlignment="1">
      <alignment horizontal="center" vertical="center"/>
    </xf>
    <xf numFmtId="0" fontId="7" fillId="3" borderId="56" xfId="0" applyFont="1" applyFill="1" applyBorder="1" applyAlignment="1">
      <alignment horizontal="center" vertical="center"/>
    </xf>
    <xf numFmtId="0" fontId="43" fillId="19" borderId="56" xfId="0" applyFont="1" applyFill="1" applyBorder="1" applyAlignment="1">
      <alignment horizontal="center"/>
    </xf>
    <xf numFmtId="0" fontId="43" fillId="0" borderId="56" xfId="0" applyFont="1" applyBorder="1" applyAlignment="1">
      <alignment horizontal="center"/>
    </xf>
    <xf numFmtId="1" fontId="12" fillId="3" borderId="0" xfId="0" applyNumberFormat="1" applyFont="1" applyFill="1" applyAlignment="1">
      <alignment horizontal="center" vertical="center"/>
    </xf>
    <xf numFmtId="11" fontId="0" fillId="3" borderId="0" xfId="0" applyNumberFormat="1" applyFill="1" applyAlignment="1">
      <alignment horizontal="center" vertical="center"/>
    </xf>
    <xf numFmtId="0" fontId="12" fillId="0" borderId="63" xfId="0" applyFont="1" applyBorder="1" applyAlignment="1">
      <alignment horizontal="center" vertical="center"/>
    </xf>
    <xf numFmtId="4" fontId="7" fillId="0" borderId="20" xfId="0" applyNumberFormat="1" applyFont="1" applyBorder="1" applyAlignment="1">
      <alignment horizontal="center"/>
    </xf>
    <xf numFmtId="4" fontId="7" fillId="0" borderId="36" xfId="0" applyNumberFormat="1" applyFont="1" applyBorder="1" applyAlignment="1">
      <alignment horizontal="center"/>
    </xf>
    <xf numFmtId="4" fontId="7" fillId="0" borderId="22" xfId="0" applyNumberFormat="1" applyFont="1" applyBorder="1" applyAlignment="1">
      <alignment horizontal="center"/>
    </xf>
    <xf numFmtId="4" fontId="7" fillId="0" borderId="1" xfId="0" applyNumberFormat="1" applyFont="1" applyBorder="1" applyAlignment="1">
      <alignment horizontal="center"/>
    </xf>
    <xf numFmtId="4" fontId="7" fillId="0" borderId="21" xfId="0" applyNumberFormat="1" applyFont="1" applyBorder="1" applyAlignment="1">
      <alignment horizontal="center"/>
    </xf>
    <xf numFmtId="4" fontId="7" fillId="0" borderId="16" xfId="0" applyNumberFormat="1" applyFont="1" applyBorder="1" applyAlignment="1">
      <alignment horizontal="center"/>
    </xf>
    <xf numFmtId="4" fontId="7" fillId="0" borderId="23" xfId="0" applyNumberFormat="1" applyFont="1" applyBorder="1" applyAlignment="1">
      <alignment horizontal="center"/>
    </xf>
    <xf numFmtId="166" fontId="0" fillId="3" borderId="86" xfId="0" applyNumberFormat="1" applyFill="1" applyBorder="1" applyAlignment="1">
      <alignment horizontal="center"/>
    </xf>
    <xf numFmtId="0" fontId="12" fillId="0" borderId="0" xfId="0" applyFont="1" applyAlignment="1">
      <alignment vertical="center" wrapText="1"/>
    </xf>
    <xf numFmtId="2" fontId="12" fillId="0" borderId="26" xfId="0" applyNumberFormat="1" applyFont="1" applyBorder="1" applyAlignment="1">
      <alignment horizontal="center" vertical="center"/>
    </xf>
    <xf numFmtId="2" fontId="12" fillId="0" borderId="28"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12" fillId="0" borderId="21" xfId="0" applyNumberFormat="1" applyFont="1" applyBorder="1" applyAlignment="1">
      <alignment horizontal="center" vertical="center"/>
    </xf>
    <xf numFmtId="0" fontId="0" fillId="0" borderId="78" xfId="0" applyBorder="1"/>
    <xf numFmtId="1" fontId="43" fillId="10" borderId="56" xfId="0" applyNumberFormat="1" applyFont="1" applyFill="1" applyBorder="1" applyAlignment="1">
      <alignment horizontal="center"/>
    </xf>
    <xf numFmtId="166" fontId="43" fillId="10" borderId="56" xfId="0" applyNumberFormat="1" applyFont="1" applyFill="1" applyBorder="1" applyAlignment="1">
      <alignment horizontal="center"/>
    </xf>
    <xf numFmtId="0" fontId="42" fillId="3" borderId="32" xfId="0" applyFont="1" applyFill="1" applyBorder="1" applyAlignment="1">
      <alignment horizontal="center"/>
    </xf>
    <xf numFmtId="0" fontId="42" fillId="3" borderId="82" xfId="0" applyFont="1" applyFill="1" applyBorder="1" applyAlignment="1">
      <alignment horizontal="center"/>
    </xf>
    <xf numFmtId="0" fontId="58" fillId="0" borderId="49" xfId="0" applyFont="1" applyBorder="1" applyAlignment="1">
      <alignment vertical="center" wrapText="1"/>
    </xf>
    <xf numFmtId="0" fontId="58" fillId="0" borderId="86" xfId="0" applyFont="1" applyBorder="1" applyAlignment="1">
      <alignment vertical="center" wrapText="1"/>
    </xf>
    <xf numFmtId="0" fontId="58" fillId="0" borderId="56" xfId="0" applyFont="1" applyBorder="1" applyAlignment="1">
      <alignment vertical="center" wrapText="1"/>
    </xf>
    <xf numFmtId="0" fontId="58" fillId="0" borderId="49" xfId="0" applyFont="1" applyBorder="1" applyAlignment="1">
      <alignment horizontal="center" vertical="center"/>
    </xf>
    <xf numFmtId="0" fontId="58" fillId="0" borderId="86" xfId="0" applyFont="1" applyBorder="1" applyAlignment="1">
      <alignment horizontal="center" vertical="center"/>
    </xf>
    <xf numFmtId="0" fontId="58" fillId="0" borderId="56" xfId="0" applyFont="1" applyBorder="1" applyAlignment="1">
      <alignment horizontal="center" vertical="center"/>
    </xf>
    <xf numFmtId="0" fontId="58" fillId="0" borderId="39" xfId="0" applyFont="1" applyBorder="1" applyAlignment="1">
      <alignment vertical="center"/>
    </xf>
    <xf numFmtId="0" fontId="58" fillId="0" borderId="86" xfId="0" applyFont="1" applyBorder="1" applyAlignment="1">
      <alignment vertical="center"/>
    </xf>
    <xf numFmtId="0" fontId="58" fillId="0" borderId="62" xfId="0" applyFont="1" applyBorder="1" applyAlignment="1">
      <alignment horizontal="center" vertical="center" wrapText="1"/>
    </xf>
    <xf numFmtId="0" fontId="58" fillId="0" borderId="67" xfId="0" applyFont="1" applyBorder="1" applyAlignment="1">
      <alignment horizontal="center" vertical="center" wrapText="1"/>
    </xf>
    <xf numFmtId="0" fontId="58" fillId="0" borderId="32" xfId="0" applyFont="1" applyBorder="1" applyAlignment="1">
      <alignment horizontal="center" vertical="center" wrapText="1"/>
    </xf>
    <xf numFmtId="167" fontId="2" fillId="8" borderId="117" xfId="0" quotePrefix="1" applyNumberFormat="1" applyFont="1" applyFill="1" applyBorder="1" applyAlignment="1">
      <alignment horizontal="center"/>
    </xf>
    <xf numFmtId="0" fontId="9" fillId="3" borderId="0" xfId="0" applyFont="1" applyFill="1" applyAlignment="1">
      <alignment horizontal="center" vertical="center" wrapText="1"/>
    </xf>
    <xf numFmtId="0" fontId="9" fillId="5" borderId="1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3" borderId="0" xfId="0" applyFont="1" applyFill="1" applyAlignment="1">
      <alignment horizontal="left" vertical="center" wrapText="1"/>
    </xf>
    <xf numFmtId="0" fontId="24" fillId="3" borderId="0" xfId="0" applyFont="1" applyFill="1" applyAlignment="1">
      <alignment horizontal="center" vertical="center" wrapText="1"/>
    </xf>
    <xf numFmtId="0" fontId="2" fillId="3" borderId="0" xfId="0" applyFont="1" applyFill="1" applyAlignment="1">
      <alignment horizontal="center" vertical="center" wrapText="1"/>
    </xf>
    <xf numFmtId="0" fontId="9" fillId="5"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34" xfId="0" applyFont="1" applyFill="1" applyBorder="1" applyAlignment="1">
      <alignment horizontal="center" vertical="center" wrapText="1"/>
    </xf>
    <xf numFmtId="2" fontId="48" fillId="3" borderId="49" xfId="0" applyNumberFormat="1" applyFont="1" applyFill="1" applyBorder="1" applyAlignment="1">
      <alignment horizontal="center" vertical="center" wrapText="1"/>
    </xf>
    <xf numFmtId="2" fontId="49" fillId="3" borderId="61" xfId="0" applyNumberFormat="1" applyFont="1" applyFill="1" applyBorder="1" applyAlignment="1">
      <alignment horizontal="center" vertical="center" wrapText="1"/>
    </xf>
    <xf numFmtId="2" fontId="49" fillId="3" borderId="102" xfId="0" applyNumberFormat="1" applyFont="1" applyFill="1" applyBorder="1" applyAlignment="1">
      <alignment horizontal="center" vertical="center" wrapText="1"/>
    </xf>
    <xf numFmtId="0" fontId="48" fillId="3" borderId="103" xfId="0" applyFont="1" applyFill="1" applyBorder="1" applyAlignment="1">
      <alignment horizontal="center" vertical="center" wrapText="1"/>
    </xf>
    <xf numFmtId="0" fontId="48" fillId="3" borderId="39" xfId="0" applyFont="1" applyFill="1" applyBorder="1" applyAlignment="1">
      <alignment horizontal="center" vertical="center" wrapText="1"/>
    </xf>
    <xf numFmtId="0" fontId="48" fillId="3" borderId="82" xfId="0" applyFont="1" applyFill="1" applyBorder="1" applyAlignment="1">
      <alignment horizontal="center" vertical="center" wrapText="1"/>
    </xf>
    <xf numFmtId="2" fontId="49" fillId="3" borderId="104" xfId="0" applyNumberFormat="1" applyFont="1" applyFill="1" applyBorder="1" applyAlignment="1">
      <alignment horizontal="center" vertical="center" wrapText="1"/>
    </xf>
    <xf numFmtId="0" fontId="46" fillId="18" borderId="56"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12" fillId="3" borderId="0" xfId="0" applyFont="1" applyFill="1" applyAlignment="1">
      <alignment horizontal="center" vertical="center"/>
    </xf>
    <xf numFmtId="2" fontId="7" fillId="3" borderId="0" xfId="0" applyNumberFormat="1" applyFont="1" applyFill="1" applyAlignment="1">
      <alignment horizontal="center" vertical="center"/>
    </xf>
    <xf numFmtId="0" fontId="27" fillId="3" borderId="32" xfId="0" applyFont="1" applyFill="1" applyBorder="1" applyAlignment="1">
      <alignment horizontal="center" vertical="center" wrapText="1"/>
    </xf>
    <xf numFmtId="0" fontId="7" fillId="3" borderId="25" xfId="0" applyFont="1" applyFill="1" applyBorder="1" applyAlignment="1">
      <alignment horizontal="center" vertical="center"/>
    </xf>
    <xf numFmtId="165" fontId="0" fillId="3" borderId="1" xfId="0" applyNumberFormat="1" applyFill="1" applyBorder="1" applyAlignment="1">
      <alignment horizontal="left" vertical="top"/>
    </xf>
    <xf numFmtId="0" fontId="1" fillId="3" borderId="13" xfId="0" applyFont="1" applyFill="1" applyBorder="1" applyAlignment="1">
      <alignment horizontal="center"/>
    </xf>
    <xf numFmtId="0" fontId="7" fillId="0" borderId="25" xfId="0" applyFont="1" applyBorder="1" applyAlignment="1">
      <alignment horizontal="center" wrapText="1"/>
    </xf>
    <xf numFmtId="0" fontId="0" fillId="3" borderId="0" xfId="0" applyFill="1" applyAlignment="1">
      <alignment horizontal="left" vertical="top" wrapText="1"/>
    </xf>
    <xf numFmtId="0" fontId="59" fillId="0" borderId="0" xfId="0" applyFont="1" applyProtection="1">
      <protection locked="0"/>
    </xf>
    <xf numFmtId="0" fontId="59" fillId="0" borderId="0" xfId="0" applyFont="1"/>
    <xf numFmtId="0" fontId="60" fillId="0" borderId="0" xfId="0" applyFont="1"/>
    <xf numFmtId="49" fontId="60" fillId="0" borderId="0" xfId="0" applyNumberFormat="1" applyFont="1"/>
    <xf numFmtId="0" fontId="61" fillId="0" borderId="0" xfId="0" applyFont="1"/>
    <xf numFmtId="0" fontId="37" fillId="3" borderId="0" xfId="0" applyFont="1" applyFill="1" applyAlignment="1">
      <alignment horizontal="left" vertical="center"/>
    </xf>
    <xf numFmtId="49" fontId="44" fillId="0" borderId="0" xfId="0" applyNumberFormat="1" applyFont="1" applyAlignment="1">
      <alignment horizontal="left"/>
    </xf>
    <xf numFmtId="0" fontId="1" fillId="0" borderId="0" xfId="0" applyFont="1" applyAlignment="1">
      <alignment horizontal="center"/>
    </xf>
    <xf numFmtId="0" fontId="3" fillId="0" borderId="0" xfId="0" applyFont="1" applyAlignment="1">
      <alignment horizontal="center" vertical="center"/>
    </xf>
    <xf numFmtId="0" fontId="40" fillId="0" borderId="94"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96" xfId="0" applyFont="1" applyBorder="1" applyAlignment="1">
      <alignment horizontal="center" vertical="center" wrapText="1"/>
    </xf>
    <xf numFmtId="0" fontId="40" fillId="0" borderId="97" xfId="0" applyFont="1" applyBorder="1" applyAlignment="1">
      <alignment horizontal="center" vertical="center" wrapText="1"/>
    </xf>
    <xf numFmtId="0" fontId="8" fillId="21" borderId="0" xfId="0" applyFont="1" applyFill="1" applyAlignment="1">
      <alignment horizontal="left"/>
    </xf>
    <xf numFmtId="0" fontId="7" fillId="0" borderId="0" xfId="0" applyFont="1" applyAlignment="1">
      <alignment horizontal="left" vertical="center" wrapText="1"/>
    </xf>
    <xf numFmtId="0" fontId="9" fillId="5" borderId="54" xfId="0" applyFont="1" applyFill="1" applyBorder="1" applyAlignment="1">
      <alignment horizontal="center" vertical="center" wrapText="1"/>
    </xf>
    <xf numFmtId="0" fontId="9" fillId="5" borderId="55" xfId="0" applyFont="1" applyFill="1" applyBorder="1" applyAlignment="1">
      <alignment horizontal="center" vertical="center" wrapText="1"/>
    </xf>
    <xf numFmtId="0" fontId="9" fillId="3" borderId="0" xfId="0" applyFont="1" applyFill="1" applyAlignment="1">
      <alignment horizontal="center" vertical="center" wrapText="1"/>
    </xf>
    <xf numFmtId="0" fontId="9" fillId="5" borderId="1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23" fillId="3" borderId="0" xfId="0" applyFont="1" applyFill="1" applyAlignment="1">
      <alignment horizontal="center" vertical="center" wrapText="1"/>
    </xf>
    <xf numFmtId="0" fontId="9" fillId="5" borderId="18"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12" fillId="0" borderId="0" xfId="0" applyFont="1" applyAlignment="1">
      <alignment horizontal="center" vertical="center" wrapText="1"/>
    </xf>
    <xf numFmtId="0" fontId="9" fillId="5"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1" xfId="0" applyFont="1" applyFill="1" applyBorder="1" applyAlignment="1">
      <alignment horizontal="center" vertical="center"/>
    </xf>
    <xf numFmtId="0" fontId="2" fillId="3" borderId="0" xfId="0" applyFont="1" applyFill="1" applyAlignment="1">
      <alignment horizontal="left" vertical="center" wrapText="1"/>
    </xf>
    <xf numFmtId="0" fontId="24" fillId="3" borderId="0" xfId="0" applyFont="1" applyFill="1" applyAlignment="1">
      <alignment horizontal="center" vertical="center" wrapText="1"/>
    </xf>
    <xf numFmtId="0" fontId="9" fillId="5" borderId="17" xfId="0" applyFont="1" applyFill="1" applyBorder="1" applyAlignment="1">
      <alignment horizontal="center" vertical="center"/>
    </xf>
    <xf numFmtId="0" fontId="9" fillId="5" borderId="20"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 fillId="3" borderId="0" xfId="0" applyFont="1" applyFill="1" applyAlignment="1">
      <alignment horizontal="center" vertical="center" wrapText="1"/>
    </xf>
    <xf numFmtId="0" fontId="9" fillId="5" borderId="26"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22"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34" xfId="0" applyFont="1" applyFill="1" applyBorder="1" applyAlignment="1">
      <alignment horizontal="center" vertical="center" wrapText="1"/>
    </xf>
    <xf numFmtId="1" fontId="0" fillId="3" borderId="26" xfId="0" applyNumberFormat="1" applyFill="1" applyBorder="1" applyAlignment="1">
      <alignment horizontal="center" vertical="center"/>
    </xf>
    <xf numFmtId="1" fontId="0" fillId="3" borderId="38" xfId="0" applyNumberFormat="1" applyFill="1" applyBorder="1" applyAlignment="1">
      <alignment horizontal="center" vertical="center"/>
    </xf>
    <xf numFmtId="166" fontId="0" fillId="3" borderId="27" xfId="0" applyNumberFormat="1" applyFill="1" applyBorder="1" applyAlignment="1">
      <alignment horizontal="center" vertical="center"/>
    </xf>
    <xf numFmtId="166" fontId="0" fillId="3" borderId="38" xfId="0" applyNumberFormat="1" applyFill="1" applyBorder="1" applyAlignment="1">
      <alignment horizontal="center" vertical="center"/>
    </xf>
    <xf numFmtId="169" fontId="0" fillId="3" borderId="27" xfId="0" applyNumberFormat="1" applyFill="1" applyBorder="1" applyAlignment="1">
      <alignment horizontal="center" vertical="center"/>
    </xf>
    <xf numFmtId="169" fontId="0" fillId="3" borderId="38" xfId="0" applyNumberFormat="1" applyFill="1" applyBorder="1" applyAlignment="1">
      <alignment horizontal="center" vertical="center"/>
    </xf>
    <xf numFmtId="164" fontId="0" fillId="3" borderId="27" xfId="0" applyNumberFormat="1" applyFill="1" applyBorder="1" applyAlignment="1">
      <alignment horizontal="center" vertical="center"/>
    </xf>
    <xf numFmtId="164" fontId="0" fillId="3" borderId="38" xfId="0" applyNumberFormat="1" applyFill="1" applyBorder="1" applyAlignment="1">
      <alignment horizontal="center" vertical="center"/>
    </xf>
    <xf numFmtId="2" fontId="48" fillId="3" borderId="49" xfId="0" applyNumberFormat="1" applyFont="1" applyFill="1" applyBorder="1" applyAlignment="1">
      <alignment horizontal="center" vertical="center" wrapText="1"/>
    </xf>
    <xf numFmtId="2" fontId="48" fillId="3" borderId="56" xfId="0" applyNumberFormat="1" applyFont="1" applyFill="1" applyBorder="1" applyAlignment="1">
      <alignment horizontal="center" vertical="center" wrapText="1"/>
    </xf>
    <xf numFmtId="2" fontId="49" fillId="3" borderId="49" xfId="0" applyNumberFormat="1" applyFont="1" applyFill="1" applyBorder="1" applyAlignment="1">
      <alignment horizontal="center" vertical="center" wrapText="1"/>
    </xf>
    <xf numFmtId="2" fontId="49" fillId="3" borderId="61" xfId="0" applyNumberFormat="1" applyFont="1" applyFill="1" applyBorder="1" applyAlignment="1">
      <alignment horizontal="center" vertical="center" wrapText="1"/>
    </xf>
    <xf numFmtId="2" fontId="49" fillId="3" borderId="102" xfId="0" applyNumberFormat="1" applyFont="1" applyFill="1" applyBorder="1" applyAlignment="1">
      <alignment horizontal="center" vertical="center" wrapText="1"/>
    </xf>
    <xf numFmtId="2" fontId="48" fillId="3" borderId="104" xfId="0" applyNumberFormat="1" applyFont="1" applyFill="1" applyBorder="1" applyAlignment="1">
      <alignment horizontal="center" vertical="center" wrapText="1"/>
    </xf>
    <xf numFmtId="2" fontId="48" fillId="3" borderId="102" xfId="0" applyNumberFormat="1" applyFont="1" applyFill="1" applyBorder="1" applyAlignment="1">
      <alignment horizontal="center" vertical="center" wrapText="1"/>
    </xf>
    <xf numFmtId="0" fontId="48" fillId="3" borderId="61" xfId="0" applyFont="1" applyFill="1" applyBorder="1" applyAlignment="1">
      <alignment horizontal="center" vertical="top" wrapText="1"/>
    </xf>
    <xf numFmtId="0" fontId="48" fillId="3" borderId="56" xfId="0" applyFont="1" applyFill="1" applyBorder="1" applyAlignment="1">
      <alignment horizontal="center" vertical="top" wrapText="1"/>
    </xf>
    <xf numFmtId="0" fontId="52" fillId="3" borderId="61" xfId="0" applyFont="1" applyFill="1" applyBorder="1" applyAlignment="1">
      <alignment horizontal="center" vertical="top" wrapText="1"/>
    </xf>
    <xf numFmtId="0" fontId="52" fillId="3" borderId="56" xfId="0" applyFont="1" applyFill="1" applyBorder="1" applyAlignment="1">
      <alignment horizontal="center" vertical="top" wrapText="1"/>
    </xf>
    <xf numFmtId="0" fontId="48" fillId="3" borderId="61" xfId="0" applyFont="1" applyFill="1" applyBorder="1" applyAlignment="1">
      <alignment horizontal="center" vertical="center" wrapText="1"/>
    </xf>
    <xf numFmtId="0" fontId="48" fillId="3" borderId="102" xfId="0" applyFont="1" applyFill="1" applyBorder="1" applyAlignment="1">
      <alignment horizontal="center" vertical="center" wrapText="1"/>
    </xf>
    <xf numFmtId="0" fontId="48" fillId="3" borderId="104" xfId="0" applyFont="1" applyFill="1" applyBorder="1" applyAlignment="1">
      <alignment horizontal="center" vertical="center" wrapText="1"/>
    </xf>
    <xf numFmtId="0" fontId="48" fillId="3" borderId="56" xfId="0" applyFont="1" applyFill="1" applyBorder="1" applyAlignment="1">
      <alignment horizontal="center" vertical="center" wrapText="1"/>
    </xf>
    <xf numFmtId="0" fontId="48" fillId="3" borderId="49" xfId="0" applyFont="1" applyFill="1" applyBorder="1" applyAlignment="1">
      <alignment horizontal="center" vertical="center" wrapText="1"/>
    </xf>
    <xf numFmtId="2" fontId="49" fillId="3" borderId="56" xfId="0" applyNumberFormat="1" applyFont="1" applyFill="1" applyBorder="1" applyAlignment="1">
      <alignment horizontal="center" vertical="center" wrapText="1"/>
    </xf>
    <xf numFmtId="0" fontId="48" fillId="3" borderId="49" xfId="0" applyFont="1" applyFill="1" applyBorder="1" applyAlignment="1">
      <alignment horizontal="center" vertical="top" wrapText="1"/>
    </xf>
    <xf numFmtId="0" fontId="52" fillId="3" borderId="49" xfId="0" applyFont="1" applyFill="1" applyBorder="1" applyAlignment="1">
      <alignment horizontal="center" vertical="top" wrapText="1"/>
    </xf>
    <xf numFmtId="0" fontId="48" fillId="3" borderId="60" xfId="0" applyFont="1" applyFill="1" applyBorder="1" applyAlignment="1">
      <alignment horizontal="center" vertical="center" wrapText="1"/>
    </xf>
    <xf numFmtId="0" fontId="48" fillId="3" borderId="103" xfId="0" applyFont="1" applyFill="1" applyBorder="1" applyAlignment="1">
      <alignment horizontal="center" vertical="center" wrapText="1"/>
    </xf>
    <xf numFmtId="0" fontId="48" fillId="3" borderId="39" xfId="0" applyFont="1" applyFill="1" applyBorder="1" applyAlignment="1">
      <alignment horizontal="center" vertical="center" wrapText="1"/>
    </xf>
    <xf numFmtId="0" fontId="48" fillId="3" borderId="82" xfId="0" applyFont="1" applyFill="1" applyBorder="1" applyAlignment="1">
      <alignment horizontal="center" vertical="center" wrapText="1"/>
    </xf>
    <xf numFmtId="2" fontId="48" fillId="3" borderId="61" xfId="0" applyNumberFormat="1" applyFont="1" applyFill="1" applyBorder="1" applyAlignment="1">
      <alignment horizontal="center" vertical="center" wrapText="1"/>
    </xf>
    <xf numFmtId="0" fontId="48" fillId="3" borderId="119" xfId="0" applyFont="1" applyFill="1" applyBorder="1" applyAlignment="1">
      <alignment horizontal="center" vertical="center" wrapText="1"/>
    </xf>
    <xf numFmtId="2" fontId="49" fillId="3" borderId="104" xfId="0" applyNumberFormat="1" applyFont="1" applyFill="1" applyBorder="1" applyAlignment="1">
      <alignment horizontal="center" vertical="center" wrapText="1"/>
    </xf>
    <xf numFmtId="0" fontId="42" fillId="3" borderId="120" xfId="0" applyFont="1" applyFill="1" applyBorder="1" applyAlignment="1">
      <alignment horizontal="center"/>
    </xf>
    <xf numFmtId="0" fontId="42" fillId="3" borderId="121" xfId="0" applyFont="1" applyFill="1" applyBorder="1" applyAlignment="1">
      <alignment horizontal="center"/>
    </xf>
    <xf numFmtId="0" fontId="42" fillId="3" borderId="122" xfId="0" applyFont="1" applyFill="1" applyBorder="1" applyAlignment="1">
      <alignment horizontal="center"/>
    </xf>
    <xf numFmtId="0" fontId="42" fillId="9" borderId="49" xfId="0" applyFont="1" applyFill="1" applyBorder="1" applyAlignment="1">
      <alignment horizontal="center" vertical="center" wrapText="1"/>
    </xf>
    <xf numFmtId="0" fontId="42" fillId="9" borderId="56" xfId="0" applyFont="1" applyFill="1" applyBorder="1" applyAlignment="1">
      <alignment horizontal="center" vertical="center" wrapText="1"/>
    </xf>
    <xf numFmtId="0" fontId="45" fillId="18" borderId="49" xfId="0" applyFont="1" applyFill="1" applyBorder="1" applyAlignment="1">
      <alignment horizontal="center" vertical="center" wrapText="1"/>
    </xf>
    <xf numFmtId="0" fontId="45" fillId="18" borderId="56" xfId="0" applyFont="1" applyFill="1" applyBorder="1" applyAlignment="1">
      <alignment horizontal="center" vertical="center" wrapText="1"/>
    </xf>
    <xf numFmtId="0" fontId="46" fillId="18" borderId="49" xfId="0" applyFont="1" applyFill="1" applyBorder="1" applyAlignment="1">
      <alignment horizontal="center" vertical="center" wrapText="1"/>
    </xf>
    <xf numFmtId="0" fontId="46" fillId="18" borderId="56" xfId="0" applyFont="1" applyFill="1" applyBorder="1" applyAlignment="1">
      <alignment horizontal="center" vertical="center" wrapText="1"/>
    </xf>
    <xf numFmtId="0" fontId="46" fillId="18" borderId="54" xfId="0" applyFont="1" applyFill="1" applyBorder="1" applyAlignment="1">
      <alignment horizontal="center" vertical="center" wrapText="1"/>
    </xf>
    <xf numFmtId="0" fontId="46" fillId="18" borderId="67" xfId="0" applyFont="1" applyFill="1" applyBorder="1" applyAlignment="1">
      <alignment horizontal="center" vertical="center" wrapText="1"/>
    </xf>
    <xf numFmtId="0" fontId="46" fillId="18" borderId="55" xfId="0" applyFont="1" applyFill="1" applyBorder="1" applyAlignment="1">
      <alignment horizontal="center" vertical="center" wrapText="1"/>
    </xf>
    <xf numFmtId="0" fontId="1" fillId="17" borderId="54" xfId="0" applyFont="1" applyFill="1" applyBorder="1" applyAlignment="1">
      <alignment horizontal="center"/>
    </xf>
    <xf numFmtId="0" fontId="1" fillId="17" borderId="67" xfId="0" applyFont="1" applyFill="1" applyBorder="1" applyAlignment="1">
      <alignment horizontal="center"/>
    </xf>
    <xf numFmtId="0" fontId="1" fillId="17" borderId="55" xfId="0" applyFont="1" applyFill="1" applyBorder="1" applyAlignment="1">
      <alignment horizontal="center"/>
    </xf>
    <xf numFmtId="1" fontId="7" fillId="3" borderId="0" xfId="0" applyNumberFormat="1" applyFont="1" applyFill="1" applyAlignment="1">
      <alignment horizontal="center" vertical="center"/>
    </xf>
    <xf numFmtId="164" fontId="7" fillId="3" borderId="43" xfId="0" applyNumberFormat="1" applyFont="1" applyFill="1" applyBorder="1" applyAlignment="1">
      <alignment horizontal="center" vertical="center"/>
    </xf>
    <xf numFmtId="164" fontId="7" fillId="3" borderId="40" xfId="0" applyNumberFormat="1"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50"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112" xfId="0" applyFont="1" applyFill="1" applyBorder="1" applyAlignment="1">
      <alignment horizontal="center" vertical="center" wrapText="1"/>
    </xf>
    <xf numFmtId="0" fontId="12" fillId="3" borderId="78" xfId="0" applyFont="1" applyFill="1" applyBorder="1" applyAlignment="1">
      <alignment horizontal="center" vertical="center" wrapText="1"/>
    </xf>
    <xf numFmtId="0" fontId="12" fillId="3" borderId="114"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13" xfId="0" applyFont="1" applyFill="1" applyBorder="1" applyAlignment="1">
      <alignment horizontal="center" vertical="center" wrapText="1"/>
    </xf>
    <xf numFmtId="0" fontId="9" fillId="3" borderId="49" xfId="0" applyFont="1" applyFill="1" applyBorder="1" applyAlignment="1">
      <alignment horizontal="left" vertical="center" wrapText="1"/>
    </xf>
    <xf numFmtId="0" fontId="9" fillId="3" borderId="56" xfId="0" applyFont="1" applyFill="1" applyBorder="1" applyAlignment="1">
      <alignment horizontal="left" vertical="center" wrapText="1"/>
    </xf>
    <xf numFmtId="0" fontId="12" fillId="3" borderId="110" xfId="0" applyFont="1" applyFill="1" applyBorder="1" applyAlignment="1">
      <alignment horizontal="left" vertical="center" wrapText="1"/>
    </xf>
    <xf numFmtId="0" fontId="12" fillId="3" borderId="115" xfId="0" applyFont="1" applyFill="1" applyBorder="1" applyAlignment="1">
      <alignment horizontal="left" vertical="center" wrapText="1"/>
    </xf>
    <xf numFmtId="0" fontId="12" fillId="3" borderId="0" xfId="0" applyFont="1" applyFill="1" applyAlignment="1">
      <alignment horizontal="center" vertical="center"/>
    </xf>
    <xf numFmtId="2" fontId="7" fillId="3" borderId="0" xfId="0" quotePrefix="1" applyNumberFormat="1" applyFont="1" applyFill="1" applyAlignment="1">
      <alignment horizontal="center" vertical="center"/>
    </xf>
    <xf numFmtId="2" fontId="7" fillId="3" borderId="0" xfId="0" applyNumberFormat="1" applyFont="1" applyFill="1" applyAlignment="1">
      <alignment horizontal="center" vertical="center"/>
    </xf>
    <xf numFmtId="0" fontId="9" fillId="2" borderId="72" xfId="0" applyFont="1" applyFill="1" applyBorder="1" applyAlignment="1">
      <alignment horizontal="left" vertical="center" wrapText="1"/>
    </xf>
    <xf numFmtId="0" fontId="9" fillId="2" borderId="75"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71" xfId="0" applyFont="1" applyFill="1" applyBorder="1" applyAlignment="1">
      <alignment horizontal="left" vertical="center" wrapText="1"/>
    </xf>
    <xf numFmtId="166" fontId="0" fillId="3" borderId="43" xfId="0" applyNumberFormat="1" applyFill="1" applyBorder="1" applyAlignment="1">
      <alignment horizontal="center" vertical="center"/>
    </xf>
    <xf numFmtId="166" fontId="0" fillId="3" borderId="40" xfId="0" applyNumberFormat="1" applyFill="1" applyBorder="1" applyAlignment="1">
      <alignment horizontal="center" vertical="center"/>
    </xf>
    <xf numFmtId="0" fontId="12" fillId="3" borderId="73" xfId="0" applyFont="1" applyFill="1" applyBorder="1" applyAlignment="1">
      <alignment horizontal="left" vertical="center" wrapText="1"/>
    </xf>
    <xf numFmtId="0" fontId="12" fillId="3" borderId="109" xfId="0" applyFont="1" applyFill="1" applyBorder="1" applyAlignment="1">
      <alignment horizontal="left" vertical="center" wrapText="1"/>
    </xf>
    <xf numFmtId="164" fontId="7" fillId="3" borderId="7" xfId="0" applyNumberFormat="1" applyFont="1" applyFill="1" applyBorder="1" applyAlignment="1">
      <alignment horizontal="center" vertical="center"/>
    </xf>
    <xf numFmtId="164" fontId="7" fillId="3" borderId="68" xfId="0" applyNumberFormat="1" applyFont="1" applyFill="1" applyBorder="1" applyAlignment="1">
      <alignment horizontal="center" vertical="center"/>
    </xf>
    <xf numFmtId="0" fontId="9" fillId="5" borderId="63"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12" fillId="3" borderId="74" xfId="0" applyFont="1" applyFill="1" applyBorder="1" applyAlignment="1">
      <alignment horizontal="left" vertical="center" wrapText="1"/>
    </xf>
    <xf numFmtId="0" fontId="12" fillId="3" borderId="76" xfId="0" applyFont="1" applyFill="1" applyBorder="1" applyAlignment="1">
      <alignment horizontal="left" vertical="center" wrapText="1"/>
    </xf>
    <xf numFmtId="0" fontId="12" fillId="3" borderId="111" xfId="0" applyFont="1" applyFill="1" applyBorder="1" applyAlignment="1">
      <alignment horizontal="left" vertical="center" wrapText="1"/>
    </xf>
    <xf numFmtId="0" fontId="9" fillId="5" borderId="35" xfId="0" applyFont="1" applyFill="1" applyBorder="1" applyAlignment="1">
      <alignment horizontal="center" vertical="center"/>
    </xf>
    <xf numFmtId="0" fontId="9" fillId="5" borderId="40" xfId="0" applyFont="1" applyFill="1" applyBorder="1" applyAlignment="1">
      <alignment horizontal="center" vertical="center"/>
    </xf>
    <xf numFmtId="168" fontId="7" fillId="3" borderId="0" xfId="0" applyNumberFormat="1" applyFont="1" applyFill="1" applyAlignment="1">
      <alignment horizontal="center" vertical="center" wrapText="1"/>
    </xf>
    <xf numFmtId="0" fontId="9" fillId="5" borderId="16" xfId="0" applyFont="1" applyFill="1" applyBorder="1" applyAlignment="1">
      <alignment horizontal="center" vertical="center"/>
    </xf>
    <xf numFmtId="2" fontId="7" fillId="3" borderId="43" xfId="0" applyNumberFormat="1" applyFont="1" applyFill="1" applyBorder="1" applyAlignment="1">
      <alignment horizontal="center" vertical="center"/>
    </xf>
    <xf numFmtId="2" fontId="7" fillId="3" borderId="40" xfId="0" applyNumberFormat="1" applyFont="1" applyFill="1" applyBorder="1" applyAlignment="1">
      <alignment horizontal="center" vertical="center"/>
    </xf>
    <xf numFmtId="0" fontId="27" fillId="3" borderId="32" xfId="0" applyFont="1" applyFill="1" applyBorder="1" applyAlignment="1">
      <alignment horizontal="center" vertical="center" wrapText="1"/>
    </xf>
    <xf numFmtId="2" fontId="7" fillId="3" borderId="7" xfId="0" applyNumberFormat="1" applyFont="1" applyFill="1" applyBorder="1" applyAlignment="1">
      <alignment horizontal="center" vertical="center"/>
    </xf>
    <xf numFmtId="2" fontId="7" fillId="3" borderId="68" xfId="0" applyNumberFormat="1"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2" fillId="2" borderId="92" xfId="0" applyFont="1" applyFill="1" applyBorder="1" applyAlignment="1">
      <alignment horizontal="center" vertical="center" wrapText="1"/>
    </xf>
    <xf numFmtId="0" fontId="12" fillId="2" borderId="82"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7" fillId="3" borderId="9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92" xfId="0" applyFont="1" applyFill="1" applyBorder="1" applyAlignment="1">
      <alignment horizontal="center" vertical="center" wrapText="1"/>
    </xf>
    <xf numFmtId="0" fontId="9" fillId="3" borderId="61"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33"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2" fillId="3" borderId="1" xfId="0" applyFont="1" applyFill="1" applyBorder="1" applyAlignment="1">
      <alignment horizontal="left" vertical="top"/>
    </xf>
    <xf numFmtId="0" fontId="2" fillId="3" borderId="6"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165" fontId="0" fillId="3" borderId="1" xfId="0" applyNumberFormat="1" applyFill="1" applyBorder="1" applyAlignment="1">
      <alignment horizontal="left" vertical="top"/>
    </xf>
    <xf numFmtId="0" fontId="19" fillId="3" borderId="0" xfId="0" applyFont="1" applyFill="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3" xfId="0" applyFont="1" applyFill="1" applyBorder="1" applyAlignment="1">
      <alignment horizontal="center"/>
    </xf>
    <xf numFmtId="0" fontId="1" fillId="9" borderId="3" xfId="0" applyFont="1" applyFill="1" applyBorder="1" applyAlignment="1">
      <alignment horizontal="center" wrapText="1"/>
    </xf>
    <xf numFmtId="0" fontId="1" fillId="9" borderId="4" xfId="0" applyFont="1" applyFill="1" applyBorder="1" applyAlignment="1">
      <alignment horizontal="center" wrapText="1"/>
    </xf>
    <xf numFmtId="0" fontId="1" fillId="3" borderId="58" xfId="0" applyFont="1" applyFill="1" applyBorder="1" applyAlignment="1">
      <alignment horizontal="center"/>
    </xf>
    <xf numFmtId="0" fontId="1" fillId="3" borderId="80" xfId="0" applyFont="1" applyFill="1" applyBorder="1" applyAlignment="1">
      <alignment horizontal="center"/>
    </xf>
    <xf numFmtId="0" fontId="1" fillId="3" borderId="105" xfId="0" applyFont="1" applyFill="1" applyBorder="1" applyAlignment="1">
      <alignment horizontal="center"/>
    </xf>
    <xf numFmtId="0" fontId="7" fillId="0" borderId="8" xfId="0" applyFont="1" applyBorder="1" applyAlignment="1">
      <alignment horizontal="center" wrapText="1"/>
    </xf>
    <xf numFmtId="0" fontId="7" fillId="10" borderId="49" xfId="0" applyFont="1" applyFill="1" applyBorder="1" applyAlignment="1">
      <alignment horizontal="center" wrapText="1"/>
    </xf>
    <xf numFmtId="0" fontId="7" fillId="10" borderId="61" xfId="0" applyFont="1" applyFill="1" applyBorder="1" applyAlignment="1">
      <alignment horizontal="center" wrapText="1"/>
    </xf>
    <xf numFmtId="0" fontId="7" fillId="10" borderId="56" xfId="0" applyFont="1" applyFill="1" applyBorder="1" applyAlignment="1">
      <alignment horizontal="center" wrapText="1"/>
    </xf>
    <xf numFmtId="0" fontId="7" fillId="10" borderId="35" xfId="0" applyFont="1" applyFill="1" applyBorder="1" applyAlignment="1">
      <alignment horizontal="center"/>
    </xf>
    <xf numFmtId="0" fontId="7" fillId="10" borderId="37" xfId="0" applyFont="1" applyFill="1" applyBorder="1" applyAlignment="1">
      <alignment horizontal="center"/>
    </xf>
    <xf numFmtId="0" fontId="7" fillId="10" borderId="26" xfId="0" applyFont="1" applyFill="1" applyBorder="1" applyAlignment="1">
      <alignment horizontal="center" wrapText="1"/>
    </xf>
    <xf numFmtId="0" fontId="7" fillId="10" borderId="41" xfId="0" applyFont="1" applyFill="1" applyBorder="1" applyAlignment="1">
      <alignment horizontal="center" wrapText="1"/>
    </xf>
    <xf numFmtId="0" fontId="8" fillId="10" borderId="91"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9" fillId="10" borderId="63" xfId="0" applyFont="1" applyFill="1" applyBorder="1" applyAlignment="1">
      <alignment horizontal="center" wrapText="1"/>
    </xf>
    <xf numFmtId="0" fontId="9" fillId="10" borderId="15" xfId="0" applyFont="1" applyFill="1" applyBorder="1" applyAlignment="1">
      <alignment horizontal="center" wrapText="1"/>
    </xf>
    <xf numFmtId="0" fontId="7" fillId="10" borderId="27" xfId="0" applyFont="1" applyFill="1" applyBorder="1" applyAlignment="1">
      <alignment horizontal="center" wrapText="1"/>
    </xf>
    <xf numFmtId="0" fontId="7" fillId="10" borderId="38" xfId="0" applyFont="1" applyFill="1" applyBorder="1" applyAlignment="1">
      <alignment horizontal="center" wrapText="1"/>
    </xf>
    <xf numFmtId="0" fontId="7" fillId="10" borderId="28" xfId="0" applyFont="1" applyFill="1" applyBorder="1" applyAlignment="1">
      <alignment horizontal="center" wrapText="1"/>
    </xf>
    <xf numFmtId="0" fontId="7" fillId="10" borderId="42" xfId="0" applyFont="1" applyFill="1" applyBorder="1" applyAlignment="1">
      <alignment horizontal="center" wrapText="1"/>
    </xf>
    <xf numFmtId="0" fontId="9" fillId="10" borderId="33" xfId="0" applyFont="1" applyFill="1" applyBorder="1" applyAlignment="1">
      <alignment horizontal="center" wrapText="1"/>
    </xf>
    <xf numFmtId="0" fontId="7" fillId="0" borderId="33" xfId="0" applyFont="1" applyBorder="1" applyAlignment="1">
      <alignment horizontal="center" wrapText="1"/>
    </xf>
    <xf numFmtId="0" fontId="9" fillId="10" borderId="25" xfId="0" applyFont="1" applyFill="1" applyBorder="1" applyAlignment="1">
      <alignment horizontal="center" wrapText="1"/>
    </xf>
    <xf numFmtId="0" fontId="7" fillId="0" borderId="25" xfId="0" applyFont="1" applyBorder="1" applyAlignment="1">
      <alignment horizontal="center" wrapText="1"/>
    </xf>
    <xf numFmtId="0" fontId="9" fillId="10" borderId="1" xfId="0" applyFont="1" applyFill="1" applyBorder="1" applyAlignment="1">
      <alignment horizontal="center" wrapText="1"/>
    </xf>
    <xf numFmtId="0" fontId="7" fillId="0" borderId="1" xfId="0" applyFont="1" applyBorder="1" applyAlignment="1">
      <alignment horizontal="center" wrapText="1"/>
    </xf>
    <xf numFmtId="0" fontId="9" fillId="10" borderId="18" xfId="0" applyFont="1" applyFill="1" applyBorder="1" applyAlignment="1">
      <alignment horizontal="center" wrapText="1"/>
    </xf>
    <xf numFmtId="0" fontId="9" fillId="10" borderId="50" xfId="0" applyFont="1" applyFill="1" applyBorder="1" applyAlignment="1">
      <alignment horizontal="center" wrapText="1"/>
    </xf>
    <xf numFmtId="0" fontId="7" fillId="10" borderId="64" xfId="0" applyFont="1" applyFill="1" applyBorder="1" applyAlignment="1">
      <alignment horizontal="center" wrapText="1"/>
    </xf>
    <xf numFmtId="0" fontId="0" fillId="3" borderId="0" xfId="0" applyFill="1" applyAlignment="1">
      <alignment horizontal="left" wrapText="1"/>
    </xf>
    <xf numFmtId="0" fontId="0" fillId="3" borderId="62" xfId="0" applyFill="1" applyBorder="1" applyAlignment="1">
      <alignment horizontal="left" vertical="top" wrapText="1"/>
    </xf>
    <xf numFmtId="0" fontId="0" fillId="3" borderId="0" xfId="0" applyFill="1" applyAlignment="1">
      <alignment horizontal="left" vertical="top" wrapText="1"/>
    </xf>
  </cellXfs>
  <cellStyles count="4">
    <cellStyle name="Comma" xfId="3" builtinId="3"/>
    <cellStyle name="Normal" xfId="0" builtinId="0"/>
    <cellStyle name="Normal 2" xfId="2" xr:uid="{BC27F4E2-20B8-47A4-9D90-F2F490171813}"/>
    <cellStyle name="Percent" xfId="1" builtinId="5"/>
  </cellStyles>
  <dxfs count="160">
    <dxf>
      <numFmt numFmtId="4" formatCode="#,##0.00"/>
    </dxf>
    <dxf>
      <numFmt numFmtId="165" formatCode="0.000"/>
    </dxf>
    <dxf>
      <numFmt numFmtId="15" formatCode="0.00E+00"/>
    </dxf>
    <dxf>
      <numFmt numFmtId="166" formatCode="0.0E+00"/>
    </dxf>
    <dxf>
      <numFmt numFmtId="3" formatCode="#,##0"/>
    </dxf>
    <dxf>
      <numFmt numFmtId="164" formatCode="0.0"/>
    </dxf>
    <dxf>
      <numFmt numFmtId="2" formatCode="0.00"/>
    </dxf>
    <dxf>
      <numFmt numFmtId="166" formatCode="0.0E+00"/>
    </dxf>
    <dxf>
      <numFmt numFmtId="4" formatCode="#,##0.00"/>
    </dxf>
    <dxf>
      <numFmt numFmtId="165" formatCode="0.000"/>
    </dxf>
    <dxf>
      <numFmt numFmtId="15" formatCode="0.00E+00"/>
    </dxf>
    <dxf>
      <numFmt numFmtId="166" formatCode="0.0E+00"/>
    </dxf>
    <dxf>
      <numFmt numFmtId="3" formatCode="#,##0"/>
    </dxf>
    <dxf>
      <numFmt numFmtId="164" formatCode="0.0"/>
    </dxf>
    <dxf>
      <numFmt numFmtId="2" formatCode="0.00"/>
    </dxf>
    <dxf>
      <numFmt numFmtId="166" formatCode="0.0E+00"/>
    </dxf>
    <dxf>
      <numFmt numFmtId="4" formatCode="#,##0.00"/>
    </dxf>
    <dxf>
      <numFmt numFmtId="165" formatCode="0.000"/>
    </dxf>
    <dxf>
      <numFmt numFmtId="15" formatCode="0.00E+00"/>
    </dxf>
    <dxf>
      <numFmt numFmtId="166" formatCode="0.0E+00"/>
    </dxf>
    <dxf>
      <numFmt numFmtId="3" formatCode="#,##0"/>
    </dxf>
    <dxf>
      <numFmt numFmtId="164" formatCode="0.0"/>
    </dxf>
    <dxf>
      <numFmt numFmtId="2" formatCode="0.00"/>
    </dxf>
    <dxf>
      <numFmt numFmtId="166" formatCode="0.0E+00"/>
    </dxf>
    <dxf>
      <font>
        <color theme="0"/>
      </font>
      <fill>
        <patternFill>
          <bgColor theme="0"/>
        </patternFill>
      </fill>
    </dxf>
    <dxf>
      <fill>
        <patternFill>
          <bgColor rgb="FF00B050"/>
        </patternFill>
      </fill>
    </dxf>
    <dxf>
      <fill>
        <patternFill>
          <bgColor theme="5"/>
        </patternFill>
      </fill>
    </dxf>
    <dxf>
      <font>
        <color theme="0"/>
      </font>
      <fill>
        <patternFill>
          <bgColor theme="0"/>
        </patternFill>
      </fill>
    </dxf>
    <dxf>
      <numFmt numFmtId="4" formatCode="#,##0.00"/>
    </dxf>
    <dxf>
      <font>
        <color theme="0"/>
      </font>
      <fill>
        <patternFill>
          <bgColor theme="0"/>
        </patternFill>
      </fill>
    </dxf>
    <dxf>
      <font>
        <b val="0"/>
        <i val="0"/>
        <strike val="0"/>
      </font>
    </dxf>
    <dxf>
      <numFmt numFmtId="166" formatCode="0.0E+00"/>
    </dxf>
    <dxf>
      <numFmt numFmtId="2" formatCode="0.00"/>
    </dxf>
    <dxf>
      <numFmt numFmtId="3" formatCode="#,##0"/>
    </dxf>
    <dxf>
      <numFmt numFmtId="164" formatCode="0.0"/>
    </dxf>
    <dxf>
      <numFmt numFmtId="166" formatCode="0.0E+00"/>
    </dxf>
    <dxf>
      <numFmt numFmtId="15" formatCode="0.00E+00"/>
    </dxf>
    <dxf>
      <numFmt numFmtId="165" formatCode="0.000"/>
    </dxf>
    <dxf>
      <numFmt numFmtId="164" formatCode="0.0"/>
    </dxf>
    <dxf>
      <numFmt numFmtId="166" formatCode="0.0E+00"/>
    </dxf>
    <dxf>
      <numFmt numFmtId="169" formatCode="#,##0.0"/>
    </dxf>
    <dxf>
      <numFmt numFmtId="2" formatCode="0.00"/>
    </dxf>
    <dxf>
      <numFmt numFmtId="15" formatCode="0.00E+00"/>
    </dxf>
    <dxf>
      <numFmt numFmtId="3" formatCode="#,##0"/>
    </dxf>
    <dxf>
      <fill>
        <patternFill>
          <bgColor theme="5"/>
        </patternFill>
      </fill>
    </dxf>
    <dxf>
      <fill>
        <patternFill>
          <bgColor rgb="FF00B050"/>
        </patternFill>
      </fill>
    </dxf>
    <dxf>
      <numFmt numFmtId="3" formatCode="#,##0"/>
    </dxf>
    <dxf>
      <numFmt numFmtId="169" formatCode="#,##0.0"/>
    </dxf>
    <dxf>
      <numFmt numFmtId="170" formatCode="#,##0.000"/>
    </dxf>
    <dxf>
      <fill>
        <patternFill patternType="none">
          <bgColor auto="1"/>
        </patternFill>
      </fill>
    </dxf>
    <dxf>
      <numFmt numFmtId="15" formatCode="0.00E+00"/>
    </dxf>
    <dxf>
      <font>
        <color theme="0"/>
      </font>
      <fill>
        <patternFill>
          <bgColor theme="0"/>
        </patternFill>
      </fill>
    </dxf>
    <dxf>
      <fill>
        <patternFill>
          <bgColor theme="9"/>
        </patternFill>
      </fill>
    </dxf>
    <dxf>
      <fill>
        <patternFill>
          <bgColor rgb="FFF15A2B"/>
        </patternFill>
      </fill>
    </dxf>
    <dxf>
      <fill>
        <patternFill>
          <bgColor theme="5"/>
        </patternFill>
      </fill>
    </dxf>
    <dxf>
      <fill>
        <patternFill patternType="none">
          <bgColor auto="1"/>
        </patternFill>
      </fill>
    </dxf>
    <dxf>
      <fill>
        <patternFill>
          <bgColor theme="5"/>
        </patternFill>
      </fill>
    </dxf>
    <dxf>
      <fill>
        <patternFill>
          <bgColor rgb="FF00B050"/>
        </patternFill>
      </fill>
    </dxf>
    <dxf>
      <numFmt numFmtId="3" formatCode="#,##0"/>
    </dxf>
    <dxf>
      <numFmt numFmtId="15" formatCode="0.00E+00"/>
    </dxf>
    <dxf>
      <numFmt numFmtId="170" formatCode="#,##0.000"/>
    </dxf>
    <dxf>
      <numFmt numFmtId="169" formatCode="#,##0.0"/>
    </dxf>
    <dxf>
      <numFmt numFmtId="3" formatCode="#,##0"/>
    </dxf>
    <dxf>
      <font>
        <color theme="0"/>
      </font>
      <fill>
        <patternFill>
          <bgColor theme="0"/>
        </patternFill>
      </fill>
    </dxf>
    <dxf>
      <numFmt numFmtId="166" formatCode="0.0E+00"/>
    </dxf>
    <dxf>
      <numFmt numFmtId="2" formatCode="0.00"/>
    </dxf>
    <dxf>
      <numFmt numFmtId="15" formatCode="0.00E+00"/>
    </dxf>
    <dxf>
      <numFmt numFmtId="164" formatCode="0.0"/>
    </dxf>
    <dxf>
      <numFmt numFmtId="3" formatCode="#,##0"/>
    </dxf>
    <dxf>
      <font>
        <b val="0"/>
        <i val="0"/>
        <strike val="0"/>
      </font>
    </dxf>
    <dxf>
      <numFmt numFmtId="166" formatCode="0.0E+00"/>
    </dxf>
    <dxf>
      <numFmt numFmtId="165" formatCode="0.000"/>
    </dxf>
    <dxf>
      <numFmt numFmtId="4" formatCode="#,##0.00"/>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numFmt numFmtId="166" formatCode="0.0E+00"/>
    </dxf>
    <dxf>
      <font>
        <b/>
        <i val="0"/>
      </font>
      <fill>
        <patternFill>
          <bgColor theme="0" tint="-0.24994659260841701"/>
        </patternFill>
      </fill>
    </dxf>
    <dxf>
      <font>
        <b val="0"/>
        <i val="0"/>
        <color theme="0"/>
      </font>
      <numFmt numFmtId="1" formatCode="0"/>
      <fill>
        <patternFill>
          <bgColor theme="0"/>
        </patternFill>
      </fill>
    </dxf>
    <dxf>
      <font>
        <b/>
        <i val="0"/>
      </font>
      <fill>
        <patternFill>
          <bgColor theme="0" tint="-0.24994659260841701"/>
        </patternFill>
      </fill>
    </dxf>
    <dxf>
      <numFmt numFmtId="3" formatCode="#,##0"/>
    </dxf>
    <dxf>
      <numFmt numFmtId="169" formatCode="#,##0.0"/>
    </dxf>
    <dxf>
      <numFmt numFmtId="4" formatCode="#,##0.00"/>
    </dxf>
    <dxf>
      <numFmt numFmtId="166" formatCode="0.0E+00"/>
    </dxf>
    <dxf>
      <numFmt numFmtId="166" formatCode="0.0E+00"/>
    </dxf>
    <dxf>
      <numFmt numFmtId="166" formatCode="0.0E+00"/>
    </dxf>
    <dxf>
      <numFmt numFmtId="4" formatCode="#,##0.00"/>
    </dxf>
    <dxf>
      <numFmt numFmtId="169" formatCode="#,##0.0"/>
    </dxf>
    <dxf>
      <numFmt numFmtId="3" formatCode="#,##0"/>
    </dxf>
    <dxf>
      <font>
        <b/>
        <i val="0"/>
      </font>
      <fill>
        <patternFill>
          <bgColor theme="0" tint="-0.24994659260841701"/>
        </patternFill>
      </fill>
    </dxf>
    <dxf>
      <font>
        <color theme="5"/>
      </font>
      <fill>
        <patternFill>
          <bgColor theme="5" tint="0.79998168889431442"/>
        </patternFill>
      </fill>
    </dxf>
    <dxf>
      <font>
        <color theme="0"/>
      </font>
    </dxf>
    <dxf>
      <numFmt numFmtId="4" formatCode="#,##0.00"/>
    </dxf>
    <dxf>
      <fill>
        <patternFill>
          <bgColor theme="0"/>
        </patternFill>
      </fill>
    </dxf>
    <dxf>
      <numFmt numFmtId="166" formatCode="0.0E+00"/>
    </dxf>
    <dxf>
      <numFmt numFmtId="166" formatCode="0.0E+00"/>
    </dxf>
    <dxf>
      <numFmt numFmtId="4" formatCode="#,##0.00"/>
    </dxf>
    <dxf>
      <font>
        <color theme="5"/>
      </font>
      <fill>
        <patternFill>
          <bgColor theme="5" tint="0.79998168889431442"/>
        </patternFill>
      </fill>
    </dxf>
    <dxf>
      <fill>
        <patternFill>
          <bgColor theme="0"/>
        </patternFill>
      </fill>
    </dxf>
    <dxf>
      <numFmt numFmtId="15" formatCode="0.00E+00"/>
    </dxf>
    <dxf>
      <numFmt numFmtId="4" formatCode="#,##0.00"/>
    </dxf>
    <dxf>
      <font>
        <color theme="0"/>
      </font>
      <fill>
        <patternFill>
          <bgColor theme="0"/>
        </patternFill>
      </fill>
    </dxf>
    <dxf>
      <numFmt numFmtId="166" formatCode="0.0E+00"/>
    </dxf>
    <dxf>
      <numFmt numFmtId="165" formatCode="0.000"/>
    </dxf>
    <dxf>
      <numFmt numFmtId="15" formatCode="0.00E+00"/>
    </dxf>
    <dxf>
      <numFmt numFmtId="166" formatCode="0.0E+00"/>
    </dxf>
    <dxf>
      <numFmt numFmtId="3" formatCode="#,##0"/>
    </dxf>
    <dxf>
      <numFmt numFmtId="164" formatCode="0.0"/>
    </dxf>
    <dxf>
      <numFmt numFmtId="2" formatCode="0.00"/>
    </dxf>
    <dxf>
      <font>
        <b val="0"/>
        <i val="0"/>
        <strike val="0"/>
      </font>
    </dxf>
    <dxf>
      <font>
        <color theme="5"/>
      </font>
      <fill>
        <patternFill>
          <bgColor theme="5" tint="0.79998168889431442"/>
        </patternFill>
      </fill>
    </dxf>
    <dxf>
      <numFmt numFmtId="3" formatCode="#,##0"/>
    </dxf>
    <dxf>
      <numFmt numFmtId="169" formatCode="#,##0.0"/>
    </dxf>
    <dxf>
      <font>
        <color theme="5"/>
      </font>
      <fill>
        <patternFill>
          <bgColor theme="5" tint="0.79998168889431442"/>
        </patternFill>
      </fill>
    </dxf>
    <dxf>
      <font>
        <color theme="0"/>
      </font>
    </dxf>
    <dxf>
      <font>
        <color theme="9" tint="-0.499984740745262"/>
      </font>
      <fill>
        <patternFill>
          <bgColor theme="9" tint="0.59996337778862885"/>
        </patternFill>
      </fill>
    </dxf>
    <dxf>
      <font>
        <color theme="5"/>
      </font>
      <fill>
        <patternFill>
          <bgColor theme="5" tint="0.59996337778862885"/>
        </patternFill>
      </fill>
    </dxf>
    <dxf>
      <fill>
        <patternFill>
          <bgColor theme="0"/>
        </patternFill>
      </fill>
    </dxf>
    <dxf>
      <numFmt numFmtId="15" formatCode="0.00E+00"/>
    </dxf>
    <dxf>
      <fill>
        <patternFill>
          <bgColor theme="0"/>
        </patternFill>
      </fill>
    </dxf>
    <dxf>
      <numFmt numFmtId="15" formatCode="0.00E+00"/>
    </dxf>
    <dxf>
      <fill>
        <patternFill>
          <bgColor theme="0"/>
        </patternFill>
      </fill>
    </dxf>
    <dxf>
      <numFmt numFmtId="15" formatCode="0.00E+00"/>
    </dxf>
    <dxf>
      <fill>
        <patternFill>
          <bgColor theme="0"/>
        </patternFill>
      </fill>
    </dxf>
    <dxf>
      <numFmt numFmtId="165" formatCode="0.000"/>
    </dxf>
    <dxf>
      <font>
        <color theme="0"/>
      </font>
      <fill>
        <patternFill>
          <bgColor theme="0"/>
        </patternFill>
      </fill>
    </dxf>
    <dxf>
      <numFmt numFmtId="164" formatCode="0.0"/>
    </dxf>
    <dxf>
      <numFmt numFmtId="2" formatCode="0.00"/>
    </dxf>
    <dxf>
      <numFmt numFmtId="3" formatCode="#,##0"/>
    </dxf>
    <dxf>
      <numFmt numFmtId="166" formatCode="0.0E+00"/>
    </dxf>
    <dxf>
      <font>
        <b val="0"/>
        <i val="0"/>
        <strike val="0"/>
      </font>
    </dxf>
    <dxf>
      <numFmt numFmtId="166" formatCode="0.0E+00"/>
    </dxf>
    <dxf>
      <numFmt numFmtId="15" formatCode="0.00E+00"/>
    </dxf>
    <dxf>
      <numFmt numFmtId="4" formatCode="#,##0.00"/>
    </dxf>
    <dxf>
      <font>
        <color theme="5"/>
      </font>
      <fill>
        <patternFill>
          <bgColor theme="5" tint="0.79998168889431442"/>
        </patternFill>
      </fill>
    </dxf>
  </dxfs>
  <tableStyles count="0" defaultTableStyle="TableStyleMedium2" defaultPivotStyle="PivotStyleLight16"/>
  <colors>
    <mruColors>
      <color rgb="FFF15A2B"/>
      <color rgb="FFF04B18"/>
      <color rgb="FFD43D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a:t>
            </a:r>
          </a:p>
        </c:rich>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905621866876288"/>
          <c:h val="0.66282889702806647"/>
        </c:manualLayout>
      </c:layout>
      <c:barChart>
        <c:barDir val="bar"/>
        <c:grouping val="stacked"/>
        <c:varyColors val="0"/>
        <c:ser>
          <c:idx val="0"/>
          <c:order val="0"/>
          <c:tx>
            <c:strRef>
              <c:f>Dashboard!$D$69</c:f>
              <c:strCache>
                <c:ptCount val="1"/>
                <c:pt idx="0">
                  <c:v>Cancer Risk</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noFill/>
              </a:ln>
              <a:effectLst/>
            </c:spPr>
            <c:extLst>
              <c:ext xmlns:c16="http://schemas.microsoft.com/office/drawing/2014/chart" uri="{C3380CC4-5D6E-409C-BE32-E72D297353CC}">
                <c16:uniqueId val="{00000002-BA70-4215-AC58-731F271DC5B6}"/>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4-BA70-4215-AC58-731F271DC5B6}"/>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6-BA70-4215-AC58-731F271DC5B6}"/>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8-BA70-4215-AC58-731F271DC5B6}"/>
              </c:ext>
            </c:extLst>
          </c:dPt>
          <c:cat>
            <c:strLit>
              <c:ptCount val="4"/>
              <c:pt idx="0">
                <c:v>ONU: 50th Percentile</c:v>
              </c:pt>
              <c:pt idx="1">
                <c:v>ONU: 95th Percentile</c:v>
              </c:pt>
              <c:pt idx="2">
                <c:v>Worker: 50th Percentile</c:v>
              </c:pt>
              <c:pt idx="3">
                <c:v>Worker: 95th Percentile</c:v>
              </c:pt>
            </c:strLit>
          </c:cat>
          <c:val>
            <c:numRef>
              <c:f>Dashboard!$D$70:$D$73</c:f>
              <c:numCache>
                <c:formatCode>0.00E+00</c:formatCode>
                <c:ptCount val="4"/>
                <c:pt idx="0">
                  <c:v>0</c:v>
                </c:pt>
                <c:pt idx="1">
                  <c:v>0</c:v>
                </c:pt>
                <c:pt idx="2">
                  <c:v>5.3557663037115092E-7</c:v>
                </c:pt>
                <c:pt idx="3">
                  <c:v>5.6504858915817822E-6</c:v>
                </c:pt>
              </c:numCache>
            </c:numRef>
          </c:val>
          <c:extLst>
            <c:ext xmlns:c16="http://schemas.microsoft.com/office/drawing/2014/chart" uri="{C3380CC4-5D6E-409C-BE32-E72D297353CC}">
              <c16:uniqueId val="{00000009-BA70-4215-AC58-731F271DC5B6}"/>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A-BA70-4215-AC58-731F271DC5B6}"/>
            </c:ext>
          </c:extLst>
        </c:ser>
        <c:ser>
          <c:idx val="2"/>
          <c:order val="2"/>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B-BA70-4215-AC58-731F271DC5B6}"/>
            </c:ext>
          </c:extLst>
        </c:ser>
        <c:ser>
          <c:idx val="3"/>
          <c:order val="3"/>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C-BA70-4215-AC58-731F271DC5B6}"/>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5"/>
          <c:order val="0"/>
          <c:tx>
            <c:strRef>
              <c:f>'Risk Reduction'!$J$58</c:f>
              <c:strCache>
                <c:ptCount val="1"/>
                <c:pt idx="0">
                  <c:v>Central Tendency</c:v>
                </c:pt>
              </c:strCache>
            </c:strRef>
          </c:tx>
          <c:spPr>
            <a:solidFill>
              <a:schemeClr val="accent5"/>
            </a:solidFill>
            <a:ln w="25400">
              <a:noFill/>
            </a:ln>
            <a:effectLst/>
          </c:spPr>
          <c:invertIfNegative val="0"/>
          <c:cat>
            <c:strRef>
              <c:f>'Risk Reduction'!$H$59:$H$64</c:f>
              <c:strCache>
                <c:ptCount val="6"/>
                <c:pt idx="0">
                  <c:v>No Respirator</c:v>
                </c:pt>
                <c:pt idx="1">
                  <c:v>APF = 10</c:v>
                </c:pt>
                <c:pt idx="2">
                  <c:v>APF = 25</c:v>
                </c:pt>
                <c:pt idx="3">
                  <c:v>APF = 50</c:v>
                </c:pt>
                <c:pt idx="4">
                  <c:v>APF = 1,000</c:v>
                </c:pt>
                <c:pt idx="5">
                  <c:v>APF = 10,000</c:v>
                </c:pt>
              </c:strCache>
            </c:strRef>
          </c:cat>
          <c:val>
            <c:numRef>
              <c:f>'Risk Reduction'!$J$59:$J$64</c:f>
              <c:numCache>
                <c:formatCode>0.00E+00</c:formatCode>
                <c:ptCount val="6"/>
                <c:pt idx="0">
                  <c:v>1.4480083156900775E-5</c:v>
                </c:pt>
                <c:pt idx="1">
                  <c:v>1.4480083156900775E-6</c:v>
                </c:pt>
                <c:pt idx="2">
                  <c:v>5.7920332627603098E-7</c:v>
                </c:pt>
                <c:pt idx="3">
                  <c:v>2.8960166313801549E-7</c:v>
                </c:pt>
                <c:pt idx="4">
                  <c:v>1.4480083156900776E-8</c:v>
                </c:pt>
                <c:pt idx="5">
                  <c:v>1.4480083156900776E-9</c:v>
                </c:pt>
              </c:numCache>
            </c:numRef>
          </c:val>
          <c:extLst>
            <c:ext xmlns:c16="http://schemas.microsoft.com/office/drawing/2014/chart" uri="{C3380CC4-5D6E-409C-BE32-E72D297353CC}">
              <c16:uniqueId val="{00000013-2530-4F3A-BEDF-BB24B328CDF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6"/>
                <c:order val="1"/>
                <c:tx>
                  <c:strRef>
                    <c:extLst>
                      <c:ext uri="{02D57815-91ED-43cb-92C2-25804820EDAC}">
                        <c15:formulaRef>
                          <c15:sqref>'Risk Reduction'!$I$58</c15:sqref>
                        </c15:formulaRef>
                      </c:ext>
                    </c:extLst>
                    <c:strCache>
                      <c:ptCount val="1"/>
                      <c:pt idx="0">
                        <c:v>High End</c:v>
                      </c:pt>
                    </c:strCache>
                  </c:strRef>
                </c:tx>
                <c:spPr>
                  <a:solidFill>
                    <a:schemeClr val="accent5">
                      <a:lumMod val="75000"/>
                    </a:schemeClr>
                  </a:solidFill>
                  <a:ln>
                    <a:noFill/>
                  </a:ln>
                  <a:effectLst/>
                </c:spPr>
                <c:invertIfNegative val="0"/>
                <c:cat>
                  <c:strRef>
                    <c:extLst>
                      <c:ext uri="{02D57815-91ED-43cb-92C2-25804820EDAC}">
                        <c15:formulaRef>
                          <c15:sqref>'Risk Reduction'!$H$59:$H$64</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'Risk Reduction'!$I$59:$I$64</c15:sqref>
                        </c15:formulaRef>
                      </c:ext>
                    </c:extLst>
                    <c:numCache>
                      <c:formatCode>0.00E+00</c:formatCode>
                      <c:ptCount val="6"/>
                      <c:pt idx="0">
                        <c:v>2.1780213089802125E-4</c:v>
                      </c:pt>
                      <c:pt idx="1">
                        <c:v>2.1780213089802126E-5</c:v>
                      </c:pt>
                      <c:pt idx="2">
                        <c:v>8.7120852359208492E-6</c:v>
                      </c:pt>
                      <c:pt idx="3">
                        <c:v>4.3560426179604246E-6</c:v>
                      </c:pt>
                      <c:pt idx="4">
                        <c:v>2.1780213089802126E-7</c:v>
                      </c:pt>
                      <c:pt idx="5">
                        <c:v>2.1780213089802124E-8</c:v>
                      </c:pt>
                    </c:numCache>
                  </c:numRef>
                </c:val>
                <c:extLst>
                  <c:ext xmlns:c16="http://schemas.microsoft.com/office/drawing/2014/chart" uri="{C3380CC4-5D6E-409C-BE32-E72D297353CC}">
                    <c16:uniqueId val="{00000014-2530-4F3A-BEDF-BB24B328CDF4}"/>
                  </c:ext>
                </c:extLst>
              </c15:ser>
            </c15:filteredBarSeries>
          </c:ext>
        </c:extLst>
      </c:barChart>
      <c:scatterChart>
        <c:scatterStyle val="lineMarker"/>
        <c:varyColors val="0"/>
        <c:ser>
          <c:idx val="1"/>
          <c:order val="2"/>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E-2530-4F3A-BEDF-BB24B328CDF4}"/>
            </c:ext>
          </c:extLst>
        </c:ser>
        <c:ser>
          <c:idx val="2"/>
          <c:order val="3"/>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10-2530-4F3A-BEDF-BB24B328CDF4}"/>
            </c:ext>
          </c:extLst>
        </c:ser>
        <c:ser>
          <c:idx val="3"/>
          <c:order val="4"/>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12-2530-4F3A-BEDF-BB24B328CDF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6"/>
          <c:order val="1"/>
          <c:tx>
            <c:strRef>
              <c:f>'Risk Reduction'!$I$58</c:f>
              <c:strCache>
                <c:ptCount val="1"/>
                <c:pt idx="0">
                  <c:v>High End</c:v>
                </c:pt>
              </c:strCache>
            </c:strRef>
          </c:tx>
          <c:spPr>
            <a:solidFill>
              <a:schemeClr val="accent5">
                <a:lumMod val="75000"/>
              </a:schemeClr>
            </a:solidFill>
            <a:ln>
              <a:noFill/>
            </a:ln>
            <a:effectLst/>
          </c:spPr>
          <c:invertIfNegative val="0"/>
          <c:cat>
            <c:strRef>
              <c:f>'Risk Reduction'!$H$59:$H$64</c:f>
              <c:strCache>
                <c:ptCount val="6"/>
                <c:pt idx="0">
                  <c:v>No Respirator</c:v>
                </c:pt>
                <c:pt idx="1">
                  <c:v>APF = 10</c:v>
                </c:pt>
                <c:pt idx="2">
                  <c:v>APF = 25</c:v>
                </c:pt>
                <c:pt idx="3">
                  <c:v>APF = 50</c:v>
                </c:pt>
                <c:pt idx="4">
                  <c:v>APF = 1,000</c:v>
                </c:pt>
                <c:pt idx="5">
                  <c:v>APF = 10,000</c:v>
                </c:pt>
              </c:strCache>
            </c:strRef>
          </c:cat>
          <c:val>
            <c:numRef>
              <c:f>'Risk Reduction'!$I$59:$I$64</c:f>
              <c:numCache>
                <c:formatCode>0.00E+00</c:formatCode>
                <c:ptCount val="6"/>
                <c:pt idx="0">
                  <c:v>2.1780213089802125E-4</c:v>
                </c:pt>
                <c:pt idx="1">
                  <c:v>2.1780213089802126E-5</c:v>
                </c:pt>
                <c:pt idx="2">
                  <c:v>8.7120852359208492E-6</c:v>
                </c:pt>
                <c:pt idx="3">
                  <c:v>4.3560426179604246E-6</c:v>
                </c:pt>
                <c:pt idx="4">
                  <c:v>2.1780213089802126E-7</c:v>
                </c:pt>
                <c:pt idx="5">
                  <c:v>2.1780213089802124E-8</c:v>
                </c:pt>
              </c:numCache>
            </c:numRef>
          </c:val>
          <c:extLst>
            <c:ext xmlns:c16="http://schemas.microsoft.com/office/drawing/2014/chart" uri="{C3380CC4-5D6E-409C-BE32-E72D297353CC}">
              <c16:uniqueId val="{00000001-D738-4D29-9A1B-A262CDDF210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5"/>
                <c:order val="0"/>
                <c:tx>
                  <c:strRef>
                    <c:extLst>
                      <c:ext uri="{02D57815-91ED-43cb-92C2-25804820EDAC}">
                        <c15:formulaRef>
                          <c15:sqref>'Risk Reduction'!$J$58</c15:sqref>
                        </c15:formulaRef>
                      </c:ext>
                    </c:extLst>
                    <c:strCache>
                      <c:ptCount val="1"/>
                      <c:pt idx="0">
                        <c:v>Central Tendency</c:v>
                      </c:pt>
                    </c:strCache>
                  </c:strRef>
                </c:tx>
                <c:spPr>
                  <a:solidFill>
                    <a:schemeClr val="accent5"/>
                  </a:solidFill>
                  <a:ln w="25400">
                    <a:noFill/>
                  </a:ln>
                  <a:effectLst/>
                </c:spPr>
                <c:invertIfNegative val="0"/>
                <c:cat>
                  <c:strRef>
                    <c:extLst>
                      <c:ext uri="{02D57815-91ED-43cb-92C2-25804820EDAC}">
                        <c15:formulaRef>
                          <c15:sqref>'Risk Reduction'!$H$59:$H$64</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'Risk Reduction'!$J$59:$J$64</c15:sqref>
                        </c15:formulaRef>
                      </c:ext>
                    </c:extLst>
                    <c:numCache>
                      <c:formatCode>0.00E+00</c:formatCode>
                      <c:ptCount val="6"/>
                      <c:pt idx="0">
                        <c:v>1.4480083156900775E-5</c:v>
                      </c:pt>
                      <c:pt idx="1">
                        <c:v>1.4480083156900775E-6</c:v>
                      </c:pt>
                      <c:pt idx="2">
                        <c:v>5.7920332627603098E-7</c:v>
                      </c:pt>
                      <c:pt idx="3">
                        <c:v>2.8960166313801549E-7</c:v>
                      </c:pt>
                      <c:pt idx="4">
                        <c:v>1.4480083156900776E-8</c:v>
                      </c:pt>
                      <c:pt idx="5">
                        <c:v>1.4480083156900776E-9</c:v>
                      </c:pt>
                    </c:numCache>
                  </c:numRef>
                </c:val>
                <c:extLst>
                  <c:ext xmlns:c16="http://schemas.microsoft.com/office/drawing/2014/chart" uri="{C3380CC4-5D6E-409C-BE32-E72D297353CC}">
                    <c16:uniqueId val="{00000000-D738-4D29-9A1B-A262CDDF2104}"/>
                  </c:ext>
                </c:extLst>
              </c15:ser>
            </c15:filteredBarSeries>
          </c:ext>
        </c:extLst>
      </c:barChart>
      <c:scatterChart>
        <c:scatterStyle val="lineMarker"/>
        <c:varyColors val="0"/>
        <c:ser>
          <c:idx val="1"/>
          <c:order val="2"/>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2-D738-4D29-9A1B-A262CDDF2104}"/>
            </c:ext>
          </c:extLst>
        </c:ser>
        <c:ser>
          <c:idx val="2"/>
          <c:order val="3"/>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D738-4D29-9A1B-A262CDDF2104}"/>
            </c:ext>
          </c:extLst>
        </c:ser>
        <c:ser>
          <c:idx val="3"/>
          <c:order val="4"/>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4-D738-4D29-9A1B-A262CDDF210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161925</xdr:rowOff>
    </xdr:from>
    <xdr:to>
      <xdr:col>1</xdr:col>
      <xdr:colOff>2720658</xdr:colOff>
      <xdr:row>14</xdr:row>
      <xdr:rowOff>161925</xdr:rowOff>
    </xdr:to>
    <xdr:pic>
      <xdr:nvPicPr>
        <xdr:cNvPr id="2" name="Picture 1">
          <a:extLst>
            <a:ext uri="{FF2B5EF4-FFF2-40B4-BE49-F238E27FC236}">
              <a16:creationId xmlns:a16="http://schemas.microsoft.com/office/drawing/2014/main" id="{FF6B6F75-C74C-4294-89E4-A407D0879B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381250"/>
          <a:ext cx="2720658"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359092</xdr:colOff>
      <xdr:row>39</xdr:row>
      <xdr:rowOff>102869</xdr:rowOff>
    </xdr:from>
    <xdr:to>
      <xdr:col>6</xdr:col>
      <xdr:colOff>1115378</xdr:colOff>
      <xdr:row>63</xdr:row>
      <xdr:rowOff>127462</xdr:rowOff>
    </xdr:to>
    <xdr:graphicFrame macro="">
      <xdr:nvGraphicFramePr>
        <xdr:cNvPr id="5" name="Chart 1">
          <a:extLst>
            <a:ext uri="{FF2B5EF4-FFF2-40B4-BE49-F238E27FC236}">
              <a16:creationId xmlns:a16="http://schemas.microsoft.com/office/drawing/2014/main" id="{8EDA91AE-1CF2-4145-826C-37CFF7FD3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600075</xdr:colOff>
      <xdr:row>3</xdr:row>
      <xdr:rowOff>0</xdr:rowOff>
    </xdr:from>
    <xdr:to>
      <xdr:col>21</xdr:col>
      <xdr:colOff>1238250</xdr:colOff>
      <xdr:row>5</xdr:row>
      <xdr:rowOff>161925</xdr:rowOff>
    </xdr:to>
    <xdr:sp macro="" textlink="">
      <xdr:nvSpPr>
        <xdr:cNvPr id="2" name="Button 1" hidden="1">
          <a:extLst>
            <a:ext uri="{63B3BB69-23CF-44E3-9099-C40C66FF867C}">
              <a14:compatExt xmlns:a14="http://schemas.microsoft.com/office/drawing/2010/main" spid="_x0000_s3073"/>
            </a:ext>
            <a:ext uri="{FF2B5EF4-FFF2-40B4-BE49-F238E27FC236}">
              <a16:creationId xmlns:a16="http://schemas.microsoft.com/office/drawing/2014/main" id="{7A5DE0DE-A06A-44DD-BE99-A65C2CBCCA03}"/>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twoCellAnchor>
    <xdr:from>
      <xdr:col>18</xdr:col>
      <xdr:colOff>600075</xdr:colOff>
      <xdr:row>3</xdr:row>
      <xdr:rowOff>0</xdr:rowOff>
    </xdr:from>
    <xdr:to>
      <xdr:col>21</xdr:col>
      <xdr:colOff>1238250</xdr:colOff>
      <xdr:row>5</xdr:row>
      <xdr:rowOff>161925</xdr:rowOff>
    </xdr:to>
    <xdr:sp macro="" textlink="">
      <xdr:nvSpPr>
        <xdr:cNvPr id="5" name="Button 1" hidden="1">
          <a:extLst>
            <a:ext uri="{63B3BB69-23CF-44E3-9099-C40C66FF867C}">
              <a14:compatExt xmlns:a14="http://schemas.microsoft.com/office/drawing/2010/main" spid="_x0000_s3073"/>
            </a:ext>
            <a:ext uri="{FF2B5EF4-FFF2-40B4-BE49-F238E27FC236}">
              <a16:creationId xmlns:a16="http://schemas.microsoft.com/office/drawing/2014/main" id="{420663BF-38B9-440B-A86B-C44CC2BC3782}"/>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324972</xdr:colOff>
      <xdr:row>32</xdr:row>
      <xdr:rowOff>21162</xdr:rowOff>
    </xdr:from>
    <xdr:to>
      <xdr:col>8</xdr:col>
      <xdr:colOff>836632</xdr:colOff>
      <xdr:row>52</xdr:row>
      <xdr:rowOff>91553</xdr:rowOff>
    </xdr:to>
    <xdr:graphicFrame macro="">
      <xdr:nvGraphicFramePr>
        <xdr:cNvPr id="2" name="Chart 1">
          <a:extLst>
            <a:ext uri="{FF2B5EF4-FFF2-40B4-BE49-F238E27FC236}">
              <a16:creationId xmlns:a16="http://schemas.microsoft.com/office/drawing/2014/main" id="{8CB4247C-332E-4763-97FF-EFEB2DD0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51593</xdr:colOff>
      <xdr:row>1</xdr:row>
      <xdr:rowOff>0</xdr:rowOff>
    </xdr:from>
    <xdr:to>
      <xdr:col>5</xdr:col>
      <xdr:colOff>690561</xdr:colOff>
      <xdr:row>4</xdr:row>
      <xdr:rowOff>166687</xdr:rowOff>
    </xdr:to>
    <xdr:sp macro="" textlink="">
      <xdr:nvSpPr>
        <xdr:cNvPr id="4" name="TextBox 3">
          <a:extLst>
            <a:ext uri="{FF2B5EF4-FFF2-40B4-BE49-F238E27FC236}">
              <a16:creationId xmlns:a16="http://schemas.microsoft.com/office/drawing/2014/main" id="{2C23DA81-FB55-437E-9302-C2E02213CA4A}"/>
            </a:ext>
          </a:extLst>
        </xdr:cNvPr>
        <xdr:cNvSpPr txBox="1"/>
      </xdr:nvSpPr>
      <xdr:spPr>
        <a:xfrm>
          <a:off x="206374" y="166688"/>
          <a:ext cx="3341687" cy="98821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900" b="1"/>
            <a:t>Key</a:t>
          </a:r>
          <a:endParaRPr lang="en-US" sz="900"/>
        </a:p>
        <a:p>
          <a:r>
            <a:rPr lang="en-US" sz="900"/>
            <a:t>             =  </a:t>
          </a:r>
          <a:r>
            <a:rPr lang="en-US" sz="900">
              <a:solidFill>
                <a:srgbClr val="FF0000"/>
              </a:solidFill>
            </a:rPr>
            <a:t>Risk</a:t>
          </a:r>
          <a:r>
            <a:rPr lang="en-US" sz="900"/>
            <a:t>.  </a:t>
          </a:r>
          <a:r>
            <a:rPr lang="en-US" sz="900" baseline="0"/>
            <a:t>       </a:t>
          </a:r>
          <a:r>
            <a:rPr lang="en-US" sz="900" i="1"/>
            <a:t>MOE</a:t>
          </a:r>
          <a:r>
            <a:rPr lang="en-US" sz="900" i="1" baseline="-25000"/>
            <a:t>acute or chronic</a:t>
          </a:r>
          <a:r>
            <a:rPr lang="en-US" sz="900" i="1" baseline="0"/>
            <a:t> &lt; MOE</a:t>
          </a:r>
          <a:r>
            <a:rPr lang="en-US" sz="900" i="1" baseline="-25000"/>
            <a:t>benchmark</a:t>
          </a:r>
          <a:endParaRPr lang="en-US" sz="900" i="0" baseline="0"/>
        </a:p>
        <a:p>
          <a:r>
            <a:rPr lang="en-US" sz="900" i="0" baseline="0"/>
            <a:t>                                  </a:t>
          </a:r>
          <a:r>
            <a:rPr lang="en-US" sz="900" i="1" baseline="0"/>
            <a:t>Cancer Risk &gt; Benchmark Cancer Risk Level</a:t>
          </a:r>
        </a:p>
        <a:p>
          <a:endParaRPr lang="en-US" sz="900" i="1" baseline="0"/>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mn-lt"/>
              <a:ea typeface="+mn-ea"/>
              <a:cs typeface="+mn-cs"/>
            </a:rPr>
            <a:t>             =  </a:t>
          </a:r>
          <a:r>
            <a:rPr lang="en-US" sz="900">
              <a:solidFill>
                <a:srgbClr val="339933"/>
              </a:solidFill>
              <a:latin typeface="+mn-lt"/>
              <a:ea typeface="+mn-ea"/>
              <a:cs typeface="+mn-cs"/>
            </a:rPr>
            <a:t>No Risk</a:t>
          </a:r>
          <a:r>
            <a:rPr lang="en-US" sz="900">
              <a:solidFill>
                <a:schemeClr val="dk1"/>
              </a:solidFill>
              <a:latin typeface="+mn-lt"/>
              <a:ea typeface="+mn-ea"/>
              <a:cs typeface="+mn-cs"/>
            </a:rPr>
            <a:t>.   </a:t>
          </a:r>
          <a:r>
            <a:rPr lang="en-US" sz="900" i="1">
              <a:solidFill>
                <a:schemeClr val="dk1"/>
              </a:solidFill>
              <a:latin typeface="+mn-lt"/>
              <a:ea typeface="+mn-ea"/>
              <a:cs typeface="+mn-cs"/>
            </a:rPr>
            <a:t>MOE</a:t>
          </a:r>
          <a:r>
            <a:rPr lang="en-US" sz="900" i="1" baseline="-25000">
              <a:solidFill>
                <a:schemeClr val="dk1"/>
              </a:solidFill>
              <a:latin typeface="+mn-lt"/>
              <a:ea typeface="+mn-ea"/>
              <a:cs typeface="+mn-cs"/>
            </a:rPr>
            <a:t>acute or chronic</a:t>
          </a:r>
          <a:r>
            <a:rPr lang="en-US" sz="900" i="1" baseline="0">
              <a:solidFill>
                <a:schemeClr val="dk1"/>
              </a:solidFill>
              <a:latin typeface="+mn-lt"/>
              <a:ea typeface="+mn-ea"/>
              <a:cs typeface="+mn-cs"/>
            </a:rPr>
            <a:t> ≥ MOE</a:t>
          </a:r>
          <a:r>
            <a:rPr lang="en-US" sz="900" i="1" baseline="-25000">
              <a:solidFill>
                <a:schemeClr val="dk1"/>
              </a:solidFill>
              <a:latin typeface="+mn-lt"/>
              <a:ea typeface="+mn-ea"/>
              <a:cs typeface="+mn-cs"/>
            </a:rPr>
            <a:t>benchmark</a:t>
          </a:r>
          <a:endParaRPr lang="en-US" sz="900" i="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i="0" baseline="0">
              <a:solidFill>
                <a:schemeClr val="dk1"/>
              </a:solidFill>
              <a:latin typeface="+mn-lt"/>
              <a:ea typeface="+mn-ea"/>
              <a:cs typeface="+mn-cs"/>
            </a:rPr>
            <a:t>                                  </a:t>
          </a:r>
          <a:r>
            <a:rPr lang="en-US" sz="900" i="1" baseline="0">
              <a:solidFill>
                <a:schemeClr val="dk1"/>
              </a:solidFill>
              <a:latin typeface="+mn-lt"/>
              <a:ea typeface="+mn-ea"/>
              <a:cs typeface="+mn-cs"/>
            </a:rPr>
            <a:t>Cancer Risk ≤ Benchmark Cancer Risk Level</a:t>
          </a:r>
          <a:endParaRPr lang="en-US" sz="900" i="1">
            <a:solidFill>
              <a:schemeClr val="dk1"/>
            </a:solidFill>
            <a:latin typeface="+mn-lt"/>
            <a:ea typeface="+mn-ea"/>
            <a:cs typeface="+mn-cs"/>
          </a:endParaRPr>
        </a:p>
      </xdr:txBody>
    </xdr:sp>
    <xdr:clientData/>
  </xdr:twoCellAnchor>
  <xdr:twoCellAnchor>
    <xdr:from>
      <xdr:col>8</xdr:col>
      <xdr:colOff>1042147</xdr:colOff>
      <xdr:row>32</xdr:row>
      <xdr:rowOff>22412</xdr:rowOff>
    </xdr:from>
    <xdr:to>
      <xdr:col>15</xdr:col>
      <xdr:colOff>831139</xdr:colOff>
      <xdr:row>52</xdr:row>
      <xdr:rowOff>100423</xdr:rowOff>
    </xdr:to>
    <xdr:graphicFrame macro="">
      <xdr:nvGraphicFramePr>
        <xdr:cNvPr id="5" name="Chart 4">
          <a:extLst>
            <a:ext uri="{FF2B5EF4-FFF2-40B4-BE49-F238E27FC236}">
              <a16:creationId xmlns:a16="http://schemas.microsoft.com/office/drawing/2014/main" id="{D4614090-6C3D-4657-B5A8-35559A9E0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DCM\Risk%20Evaluation\2018.03%20-%20TD14%20-%20Risk%20Evaluation\Current%20Drafts\Methylene%20Chloride%20Calcs_2018.1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Spiezio/Desktop/2016/2016%20TRI%20Data%20for%2010%20Work%20Plan%20Chemicals_2017.08.06%20-%20Cop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ChEIHTechTeam/ERG%20Documents/Chemical%20Specific%20Deliverables/2nd%20Batch/1,3-BD/ERG%20Deliverables/1,3-Butadiene%20Inhalation%20Monitoring%20Data%20Summary_08.06.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stanfield_kelley_epa_gov/Documents/Downloads/HERO%20and%20HEROnet%20Files/HERO/27.%201%201%20Dichloroethane%20.%20Draft%20TRV%20Calculator%20.%20Public%20Release%20.%20HERO%20.%20July%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ICS"/>
      <sheetName val="STEL Subset Corrected"/>
      <sheetName val=" TWA Subset Corrected"/>
      <sheetName val="1A-Adhesives"/>
      <sheetName val="1A-Paints and Coatings"/>
      <sheetName val="1A-PU Foam"/>
      <sheetName val="1 - Cold Cleaning"/>
      <sheetName val="1 - Adhes Rem"/>
      <sheetName val="1 - Spot Cleaning"/>
      <sheetName val="1 - Furniture Stripping"/>
      <sheetName val="2 - MFG"/>
      <sheetName val="MFG_8-hr_HSIA"/>
      <sheetName val="2 - Import"/>
      <sheetName val="2 - PROC-Rxn"/>
      <sheetName val="Proc-Rxn_HSIA"/>
      <sheetName val="2 - PROC-Form"/>
      <sheetName val="2 -Sign Manufacturing"/>
      <sheetName val="2 - Fabric Finishing"/>
      <sheetName val="2 - Laboratory"/>
      <sheetName val="2 - Plastic Mfg"/>
      <sheetName val="Plastics_HSIA"/>
      <sheetName val="2 - CTA Film"/>
      <sheetName val="2 - Printing"/>
      <sheetName val="2 - Pharm"/>
      <sheetName val="2 - Other Comm"/>
      <sheetName val="Strip-Automotive Refinish"/>
      <sheetName val="Strip-Art"/>
      <sheetName val="Strip-Aircraft"/>
      <sheetName val="Strip-Ship"/>
      <sheetName val="Summary 8-hr"/>
      <sheetName val="Summary 8-hr_Stripper"/>
      <sheetName val="Summary -Short Term"/>
      <sheetName val="1 - Spot Cleaning_PERC"/>
      <sheetName val="Cleaning Solvent"/>
      <sheetName val="Unknown"/>
      <sheetName val="Working Data Sheet"/>
      <sheetName val="Auto and Machine Repair"/>
      <sheetName val="Stripping-Not Incl"/>
      <sheetName val="Constants"/>
      <sheetName val="Version"/>
      <sheetName val="Data Extraction"/>
      <sheetName val="Source List from PF"/>
      <sheetName val="Facility Data"/>
      <sheetName val="Exposure Data"/>
      <sheetName val="Release Data"/>
      <sheetName val="Values"/>
      <sheetName val="Duplicates - Not Extracted"/>
      <sheetName val="NA"/>
      <sheetName val="Data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1">
          <cell r="C11">
            <v>8</v>
          </cell>
        </row>
        <row r="12">
          <cell r="C12">
            <v>8</v>
          </cell>
        </row>
        <row r="13">
          <cell r="C13">
            <v>250</v>
          </cell>
        </row>
        <row r="14">
          <cell r="C14">
            <v>31</v>
          </cell>
        </row>
        <row r="15">
          <cell r="C15">
            <v>40</v>
          </cell>
        </row>
        <row r="17">
          <cell r="C17">
            <v>271560</v>
          </cell>
        </row>
        <row r="18">
          <cell r="C18">
            <v>350400</v>
          </cell>
        </row>
        <row r="19">
          <cell r="C19">
            <v>683280</v>
          </cell>
        </row>
      </sheetData>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6">
          <cell r="C6">
            <v>250</v>
          </cell>
        </row>
        <row r="7">
          <cell r="C7">
            <v>40</v>
          </cell>
        </row>
        <row r="8">
          <cell r="C8">
            <v>31</v>
          </cell>
        </row>
        <row r="10">
          <cell r="C10">
            <v>350400</v>
          </cell>
        </row>
        <row r="11">
          <cell r="C11">
            <v>271560</v>
          </cell>
        </row>
        <row r="12">
          <cell r="C12">
            <v>683280</v>
          </cell>
        </row>
        <row r="16">
          <cell r="C16">
            <v>8</v>
          </cell>
        </row>
        <row r="17">
          <cell r="C17">
            <v>8</v>
          </cell>
        </row>
        <row r="18">
          <cell r="C18">
            <v>12</v>
          </cell>
        </row>
        <row r="19">
          <cell r="C19">
            <v>293</v>
          </cell>
        </row>
        <row r="20">
          <cell r="C20">
            <v>258</v>
          </cell>
        </row>
        <row r="21">
          <cell r="C21">
            <v>40</v>
          </cell>
        </row>
        <row r="22">
          <cell r="C22">
            <v>31</v>
          </cell>
        </row>
        <row r="24">
          <cell r="C24">
            <v>350400</v>
          </cell>
        </row>
        <row r="25">
          <cell r="C25">
            <v>271560</v>
          </cell>
        </row>
        <row r="26">
          <cell r="C26">
            <v>683280</v>
          </cell>
        </row>
      </sheetData>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 Table 1_2016v15"/>
      <sheetName val="TRI Table 3a_2015v15"/>
      <sheetName val="TRI Table 3b_2015v15"/>
      <sheetName val="Table 2"/>
      <sheetName val="Table 1_Scoping"/>
      <sheetName val="Chemicals"/>
      <sheetName val="2012 NAIC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Cover Page"/>
      <sheetName val="Summary"/>
      <sheetName val="Manufacturing"/>
      <sheetName val="Processing - Reactant"/>
      <sheetName val="Processing - Incorp."/>
      <sheetName val="Plastics and Rubber Compounding"/>
      <sheetName val="Plastics and Rubber Converting"/>
      <sheetName val="Paints, Coatings, Adhesives"/>
      <sheetName val="Waste Handling, T&amp;D"/>
      <sheetName val="ACC IH Data"/>
      <sheetName val="Constan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sword"/>
      <sheetName val="Cover Page"/>
      <sheetName val="READ ME"/>
      <sheetName val="Effect Type&amp;Measure-Resp Site"/>
      <sheetName val="Unit Conversions - IR - BW"/>
      <sheetName val="Data Entry"/>
      <sheetName val="Calculator"/>
      <sheetName val="Figure"/>
      <sheetName val="TRV Derivation"/>
      <sheetName val="Default BW IR-Formatted by age"/>
      <sheetName val="Default BW IR-Formatted by LS"/>
      <sheetName val="Index"/>
      <sheetName val="For Figure"/>
      <sheetName val="For Figure by EG"/>
      <sheetName val="For Figure Labe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AB0D-5AB9-4D2F-91C5-8C2559C764EB}">
  <dimension ref="A1:B18"/>
  <sheetViews>
    <sheetView showGridLines="0" tabSelected="1" topLeftCell="B1" zoomScaleNormal="100" workbookViewId="0">
      <selection activeCell="B5" sqref="B5"/>
    </sheetView>
  </sheetViews>
  <sheetFormatPr defaultRowHeight="14.5" x14ac:dyDescent="0.35"/>
  <cols>
    <col min="2" max="2" width="193.1796875" bestFit="1" customWidth="1"/>
  </cols>
  <sheetData>
    <row r="1" spans="1:2" ht="15.5" x14ac:dyDescent="0.35">
      <c r="A1" s="441"/>
      <c r="B1" s="442"/>
    </row>
    <row r="2" spans="1:2" ht="18" x14ac:dyDescent="0.4">
      <c r="A2" s="442"/>
      <c r="B2" s="443" t="s">
        <v>490</v>
      </c>
    </row>
    <row r="3" spans="1:2" ht="18" x14ac:dyDescent="0.4">
      <c r="A3" s="442"/>
      <c r="B3" s="444" t="s">
        <v>491</v>
      </c>
    </row>
    <row r="4" spans="1:2" ht="15.5" x14ac:dyDescent="0.35">
      <c r="A4" s="442"/>
      <c r="B4" s="442"/>
    </row>
    <row r="5" spans="1:2" ht="22.5" x14ac:dyDescent="0.45">
      <c r="A5" s="442"/>
      <c r="B5" s="445" t="s">
        <v>493</v>
      </c>
    </row>
    <row r="6" spans="1:2" ht="15.5" x14ac:dyDescent="0.35">
      <c r="A6" s="442"/>
    </row>
    <row r="7" spans="1:2" ht="15.5" x14ac:dyDescent="0.35">
      <c r="A7" s="442"/>
    </row>
    <row r="8" spans="1:2" ht="20" x14ac:dyDescent="0.35">
      <c r="A8" s="442"/>
      <c r="B8" s="446" t="s">
        <v>492</v>
      </c>
    </row>
    <row r="9" spans="1:2" ht="15.5" x14ac:dyDescent="0.35">
      <c r="A9" s="442"/>
      <c r="B9" s="442"/>
    </row>
    <row r="10" spans="1:2" ht="15.5" x14ac:dyDescent="0.35">
      <c r="A10" s="442"/>
    </row>
    <row r="11" spans="1:2" ht="15.5" x14ac:dyDescent="0.35">
      <c r="A11" s="442"/>
    </row>
    <row r="12" spans="1:2" ht="15.5" x14ac:dyDescent="0.35">
      <c r="A12" s="442"/>
    </row>
    <row r="18" spans="2:2" ht="15.5" x14ac:dyDescent="0.35">
      <c r="B18" s="447"/>
    </row>
  </sheetData>
  <sheetProtection sheet="1" objects="1" scenarios="1" formatCells="0" formatColumns="0" formatRows="0"/>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1240-2A0D-4766-9250-85744E11E255}">
  <sheetPr>
    <tabColor theme="1"/>
  </sheetPr>
  <dimension ref="B3:E23"/>
  <sheetViews>
    <sheetView workbookViewId="0">
      <selection activeCell="C3" sqref="C3"/>
    </sheetView>
  </sheetViews>
  <sheetFormatPr defaultColWidth="9.1796875" defaultRowHeight="14.5" x14ac:dyDescent="0.35"/>
  <cols>
    <col min="1" max="1" width="4.7265625" style="2" customWidth="1"/>
    <col min="2" max="2" width="33" style="2" customWidth="1"/>
    <col min="3" max="3" width="10.453125" style="2" customWidth="1"/>
    <col min="4" max="4" width="12.453125" style="2" customWidth="1"/>
    <col min="5" max="5" width="16.54296875" style="2" bestFit="1" customWidth="1"/>
    <col min="6" max="16384" width="9.1796875" style="2"/>
  </cols>
  <sheetData>
    <row r="3" spans="2:5" ht="18.5" x14ac:dyDescent="0.45">
      <c r="B3" s="1" t="s">
        <v>474</v>
      </c>
    </row>
    <row r="4" spans="2:5" ht="15" thickBot="1" x14ac:dyDescent="0.4"/>
    <row r="5" spans="2:5" ht="44" thickBot="1" x14ac:dyDescent="0.4">
      <c r="C5" s="180" t="s">
        <v>410</v>
      </c>
      <c r="D5" s="181" t="s">
        <v>475</v>
      </c>
      <c r="E5" s="181" t="s">
        <v>476</v>
      </c>
    </row>
    <row r="6" spans="2:5" x14ac:dyDescent="0.35">
      <c r="B6" s="83" t="s">
        <v>477</v>
      </c>
      <c r="C6" s="177">
        <v>80</v>
      </c>
      <c r="D6" s="178">
        <f>AVERAGE(65.9,71.9,74.8,77.1)</f>
        <v>72.425000000000011</v>
      </c>
      <c r="E6" s="179"/>
    </row>
    <row r="7" spans="2:5" ht="16.5" x14ac:dyDescent="0.35">
      <c r="B7" s="83" t="s">
        <v>478</v>
      </c>
      <c r="C7" s="176">
        <f>C8/2</f>
        <v>535</v>
      </c>
      <c r="D7" s="145">
        <f>D8/2</f>
        <v>445</v>
      </c>
      <c r="E7" s="143" t="s">
        <v>66</v>
      </c>
    </row>
    <row r="8" spans="2:5" ht="15" customHeight="1" x14ac:dyDescent="0.35">
      <c r="B8" s="83" t="s">
        <v>479</v>
      </c>
      <c r="C8" s="149">
        <v>1070</v>
      </c>
      <c r="D8" s="144">
        <v>890</v>
      </c>
      <c r="E8" s="143" t="s">
        <v>69</v>
      </c>
    </row>
    <row r="9" spans="2:5" ht="17.25" customHeight="1" x14ac:dyDescent="0.35">
      <c r="B9" s="83" t="s">
        <v>480</v>
      </c>
      <c r="C9" s="142">
        <v>40</v>
      </c>
      <c r="D9" s="145">
        <v>40</v>
      </c>
      <c r="E9" s="143" t="s">
        <v>66</v>
      </c>
    </row>
    <row r="10" spans="2:5" x14ac:dyDescent="0.35">
      <c r="B10" s="83" t="s">
        <v>481</v>
      </c>
      <c r="C10" s="142">
        <v>31</v>
      </c>
      <c r="D10" s="145">
        <v>31</v>
      </c>
      <c r="E10" s="143" t="s">
        <v>69</v>
      </c>
    </row>
    <row r="11" spans="2:5" ht="15" thickBot="1" x14ac:dyDescent="0.4">
      <c r="B11" s="84" t="s">
        <v>482</v>
      </c>
      <c r="C11" s="146">
        <v>78</v>
      </c>
      <c r="D11" s="147">
        <v>78</v>
      </c>
      <c r="E11" s="148"/>
    </row>
    <row r="12" spans="2:5" x14ac:dyDescent="0.35">
      <c r="B12" s="637"/>
      <c r="C12" s="637"/>
      <c r="D12" s="638"/>
      <c r="E12" s="638"/>
    </row>
    <row r="13" spans="2:5" x14ac:dyDescent="0.35">
      <c r="B13" s="440"/>
      <c r="C13" s="440"/>
      <c r="D13" s="440"/>
      <c r="E13" s="440"/>
    </row>
    <row r="14" spans="2:5" x14ac:dyDescent="0.35">
      <c r="B14" s="41" t="s">
        <v>483</v>
      </c>
    </row>
    <row r="15" spans="2:5" x14ac:dyDescent="0.35">
      <c r="B15" s="42" t="s">
        <v>484</v>
      </c>
    </row>
    <row r="16" spans="2:5" x14ac:dyDescent="0.35">
      <c r="B16" s="2" t="s">
        <v>485</v>
      </c>
    </row>
    <row r="17" spans="2:5" x14ac:dyDescent="0.35">
      <c r="B17" s="2" t="s">
        <v>486</v>
      </c>
    </row>
    <row r="18" spans="2:5" x14ac:dyDescent="0.35">
      <c r="B18" s="2" t="s">
        <v>487</v>
      </c>
    </row>
    <row r="19" spans="2:5" x14ac:dyDescent="0.35">
      <c r="B19" s="2" t="s">
        <v>488</v>
      </c>
    </row>
    <row r="20" spans="2:5" x14ac:dyDescent="0.35">
      <c r="B20" s="2" t="s">
        <v>489</v>
      </c>
    </row>
    <row r="23" spans="2:5" ht="78" customHeight="1" x14ac:dyDescent="0.35">
      <c r="B23" s="636" t="s">
        <v>497</v>
      </c>
      <c r="C23" s="636"/>
      <c r="D23" s="636"/>
      <c r="E23" s="636"/>
    </row>
  </sheetData>
  <sheetProtection sheet="1" objects="1" scenarios="1" formatCells="0" formatColumns="0" formatRows="0"/>
  <mergeCells count="2">
    <mergeCell ref="B23:E23"/>
    <mergeCell ref="B12:E12"/>
  </mergeCells>
  <phoneticPr fontId="36"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C5E6-FBC2-4B72-8208-0297D949E5B3}">
  <dimension ref="A1:B13"/>
  <sheetViews>
    <sheetView workbookViewId="0">
      <selection activeCell="A4" sqref="A4:B4"/>
    </sheetView>
  </sheetViews>
  <sheetFormatPr defaultRowHeight="14.5" x14ac:dyDescent="0.35"/>
  <cols>
    <col min="1" max="1" width="27.7265625" customWidth="1"/>
    <col min="2" max="2" width="110.26953125" customWidth="1"/>
  </cols>
  <sheetData>
    <row r="1" spans="1:2" x14ac:dyDescent="0.35">
      <c r="A1" s="448" t="s">
        <v>0</v>
      </c>
      <c r="B1" s="448"/>
    </row>
    <row r="2" spans="1:2" s="182" customFormat="1" x14ac:dyDescent="0.35">
      <c r="A2" s="449" t="s">
        <v>1</v>
      </c>
      <c r="B2" s="449"/>
    </row>
    <row r="3" spans="1:2" s="182" customFormat="1" ht="15" thickBot="1" x14ac:dyDescent="0.4">
      <c r="A3" s="183" t="s">
        <v>2</v>
      </c>
      <c r="B3" s="184"/>
    </row>
    <row r="4" spans="1:2" s="185" customFormat="1" ht="77.25" customHeight="1" thickTop="1" x14ac:dyDescent="0.35">
      <c r="A4" s="450" t="s">
        <v>3</v>
      </c>
      <c r="B4" s="451"/>
    </row>
    <row r="5" spans="1:2" s="182" customFormat="1" x14ac:dyDescent="0.35">
      <c r="A5" s="452"/>
      <c r="B5" s="453"/>
    </row>
    <row r="6" spans="1:2" s="182" customFormat="1" x14ac:dyDescent="0.35">
      <c r="A6" s="186" t="s">
        <v>4</v>
      </c>
      <c r="B6" s="187" t="s">
        <v>5</v>
      </c>
    </row>
    <row r="7" spans="1:2" s="182" customFormat="1" ht="126.5" x14ac:dyDescent="0.35">
      <c r="A7" s="188" t="s">
        <v>6</v>
      </c>
      <c r="B7" s="242" t="s">
        <v>500</v>
      </c>
    </row>
    <row r="8" spans="1:2" s="182" customFormat="1" ht="42" x14ac:dyDescent="0.35">
      <c r="A8" s="189" t="s">
        <v>7</v>
      </c>
      <c r="B8" s="242" t="s">
        <v>8</v>
      </c>
    </row>
    <row r="9" spans="1:2" s="182" customFormat="1" ht="84" x14ac:dyDescent="0.35">
      <c r="A9" s="189" t="s">
        <v>9</v>
      </c>
      <c r="B9" s="242" t="s">
        <v>10</v>
      </c>
    </row>
    <row r="10" spans="1:2" s="182" customFormat="1" ht="56.5" thickBot="1" x14ac:dyDescent="0.4">
      <c r="A10" s="190" t="s">
        <v>11</v>
      </c>
      <c r="B10" s="243" t="s">
        <v>12</v>
      </c>
    </row>
    <row r="11" spans="1:2" ht="15" thickTop="1" x14ac:dyDescent="0.35">
      <c r="A11" s="191"/>
      <c r="B11" s="192"/>
    </row>
    <row r="13" spans="1:2" x14ac:dyDescent="0.35">
      <c r="B13" s="193"/>
    </row>
  </sheetData>
  <sheetProtection sheet="1" objects="1" scenarios="1" formatCells="0" formatColumns="0" formatRows="0"/>
  <mergeCells count="4">
    <mergeCell ref="A1:B1"/>
    <mergeCell ref="A2:B2"/>
    <mergeCell ref="A4:B4"/>
    <mergeCell ref="A5:B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ED66-3813-40A4-86A2-7FA0757E6A9F}">
  <dimension ref="A1:C17"/>
  <sheetViews>
    <sheetView workbookViewId="0">
      <selection activeCell="A5" sqref="A5"/>
    </sheetView>
  </sheetViews>
  <sheetFormatPr defaultRowHeight="14.5" x14ac:dyDescent="0.35"/>
  <cols>
    <col min="1" max="1" width="54.1796875" style="19" bestFit="1" customWidth="1"/>
    <col min="2" max="2" width="49.7265625" style="19" bestFit="1" customWidth="1"/>
    <col min="3" max="3" width="94.81640625" style="19" customWidth="1"/>
    <col min="4" max="4" width="29.26953125" customWidth="1"/>
  </cols>
  <sheetData>
    <row r="1" spans="1:3" x14ac:dyDescent="0.35">
      <c r="A1" s="43" t="s">
        <v>13</v>
      </c>
    </row>
    <row r="2" spans="1:3" x14ac:dyDescent="0.35">
      <c r="A2" s="269" t="s">
        <v>14</v>
      </c>
      <c r="B2" s="269" t="s">
        <v>15</v>
      </c>
      <c r="C2" s="269" t="s">
        <v>16</v>
      </c>
    </row>
    <row r="3" spans="1:3" ht="15" x14ac:dyDescent="0.35">
      <c r="A3" s="454" t="s">
        <v>17</v>
      </c>
      <c r="B3" s="454"/>
      <c r="C3" s="454"/>
    </row>
    <row r="4" spans="1:3" ht="26.5" x14ac:dyDescent="0.35">
      <c r="A4" s="289" t="s">
        <v>18</v>
      </c>
      <c r="B4" s="291" t="s">
        <v>19</v>
      </c>
      <c r="C4" s="292" t="s">
        <v>20</v>
      </c>
    </row>
    <row r="5" spans="1:3" ht="96.75" customHeight="1" x14ac:dyDescent="0.35">
      <c r="A5" s="270" t="s">
        <v>21</v>
      </c>
      <c r="B5" s="270" t="s">
        <v>22</v>
      </c>
      <c r="C5" s="271" t="s">
        <v>23</v>
      </c>
    </row>
    <row r="6" spans="1:3" ht="52.5" x14ac:dyDescent="0.35">
      <c r="A6" s="270" t="s">
        <v>24</v>
      </c>
      <c r="B6" s="270" t="s">
        <v>25</v>
      </c>
      <c r="C6" s="271" t="s">
        <v>26</v>
      </c>
    </row>
    <row r="7" spans="1:3" ht="52.5" x14ac:dyDescent="0.35">
      <c r="A7" s="270" t="s">
        <v>27</v>
      </c>
      <c r="B7" s="270" t="s">
        <v>28</v>
      </c>
      <c r="C7" s="271" t="s">
        <v>29</v>
      </c>
    </row>
    <row r="8" spans="1:3" ht="29.25" customHeight="1" x14ac:dyDescent="0.35">
      <c r="A8" s="455" t="s">
        <v>501</v>
      </c>
      <c r="B8" s="455"/>
      <c r="C8" s="455"/>
    </row>
    <row r="9" spans="1:3" x14ac:dyDescent="0.35">
      <c r="A9" s="454" t="s">
        <v>30</v>
      </c>
      <c r="B9" s="454"/>
      <c r="C9" s="454"/>
    </row>
    <row r="10" spans="1:3" x14ac:dyDescent="0.35">
      <c r="A10" s="272" t="s">
        <v>31</v>
      </c>
      <c r="B10" s="273" t="s">
        <v>32</v>
      </c>
      <c r="C10" s="274"/>
    </row>
    <row r="11" spans="1:3" x14ac:dyDescent="0.35">
      <c r="A11" s="272" t="s">
        <v>33</v>
      </c>
      <c r="B11" s="273" t="s">
        <v>32</v>
      </c>
      <c r="C11" s="274"/>
    </row>
    <row r="12" spans="1:3" ht="26.5" x14ac:dyDescent="0.35">
      <c r="A12" s="273" t="s">
        <v>34</v>
      </c>
      <c r="B12" s="273" t="s">
        <v>35</v>
      </c>
      <c r="C12" s="272" t="s">
        <v>36</v>
      </c>
    </row>
    <row r="13" spans="1:3" ht="26.5" x14ac:dyDescent="0.35">
      <c r="A13" s="273" t="s">
        <v>37</v>
      </c>
      <c r="B13" s="273" t="s">
        <v>38</v>
      </c>
      <c r="C13" s="272" t="s">
        <v>36</v>
      </c>
    </row>
    <row r="14" spans="1:3" x14ac:dyDescent="0.35">
      <c r="A14" s="454" t="s">
        <v>39</v>
      </c>
      <c r="B14" s="454"/>
      <c r="C14" s="454"/>
    </row>
    <row r="15" spans="1:3" ht="15" x14ac:dyDescent="0.35">
      <c r="A15" s="273" t="s">
        <v>40</v>
      </c>
      <c r="B15" s="273" t="s">
        <v>32</v>
      </c>
      <c r="C15" s="272"/>
    </row>
    <row r="16" spans="1:3" ht="26.5" x14ac:dyDescent="0.35">
      <c r="A16" s="273" t="s">
        <v>41</v>
      </c>
      <c r="B16" s="273" t="s">
        <v>502</v>
      </c>
      <c r="C16" s="272" t="s">
        <v>42</v>
      </c>
    </row>
    <row r="17" spans="1:3" x14ac:dyDescent="0.35">
      <c r="A17" s="270"/>
      <c r="B17" s="270"/>
      <c r="C17" s="271"/>
    </row>
  </sheetData>
  <sheetProtection sheet="1" objects="1" scenarios="1" formatCells="0" formatColumns="0" formatRows="0"/>
  <mergeCells count="4">
    <mergeCell ref="A3:C3"/>
    <mergeCell ref="A8:C8"/>
    <mergeCell ref="A9:C9"/>
    <mergeCell ref="A14:C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V73"/>
  <sheetViews>
    <sheetView topLeftCell="N5" zoomScale="90" zoomScaleNormal="90" workbookViewId="0">
      <selection activeCell="O15" sqref="O15"/>
    </sheetView>
  </sheetViews>
  <sheetFormatPr defaultColWidth="8.81640625" defaultRowHeight="14.5" x14ac:dyDescent="0.35"/>
  <cols>
    <col min="1" max="1" width="2.26953125" style="15" customWidth="1"/>
    <col min="2" max="2" width="5.54296875" style="14" bestFit="1" customWidth="1"/>
    <col min="3" max="3" width="31.81640625" style="15" customWidth="1"/>
    <col min="4" max="4" width="16" style="14" bestFit="1" customWidth="1"/>
    <col min="5" max="5" width="19.7265625" style="15" customWidth="1"/>
    <col min="6" max="6" width="19.26953125" style="15" customWidth="1"/>
    <col min="7" max="7" width="21" style="15" customWidth="1"/>
    <col min="8" max="8" width="22.26953125" style="15" customWidth="1"/>
    <col min="9" max="9" width="23" style="15" customWidth="1"/>
    <col min="10" max="11" width="19.81640625" style="15" customWidth="1"/>
    <col min="12" max="12" width="4.453125" style="15" customWidth="1"/>
    <col min="13" max="13" width="7.26953125" style="15" customWidth="1"/>
    <col min="14" max="14" width="37.54296875" style="15" customWidth="1"/>
    <col min="15" max="15" width="18" style="15" customWidth="1"/>
    <col min="16" max="16" width="18" style="15" bestFit="1" customWidth="1"/>
    <col min="17" max="17" width="22.26953125" style="15" customWidth="1"/>
    <col min="18" max="18" width="21" style="15" customWidth="1"/>
    <col min="19" max="19" width="22" style="15" customWidth="1"/>
    <col min="20" max="20" width="22.453125" style="15" customWidth="1"/>
    <col min="21" max="21" width="18.453125" style="15" customWidth="1"/>
    <col min="22" max="16384" width="8.81640625" style="15"/>
  </cols>
  <sheetData>
    <row r="1" spans="1:22" ht="15" thickBot="1" x14ac:dyDescent="0.4"/>
    <row r="2" spans="1:22" s="17" customFormat="1" ht="21" customHeight="1" thickBot="1" x14ac:dyDescent="0.4">
      <c r="B2" s="21"/>
      <c r="C2" s="259" t="s">
        <v>43</v>
      </c>
      <c r="D2" s="162"/>
      <c r="E2" s="133"/>
      <c r="N2" s="461"/>
      <c r="O2" s="461"/>
    </row>
    <row r="3" spans="1:22" s="17" customFormat="1" ht="56.25" customHeight="1" x14ac:dyDescent="0.35">
      <c r="B3" s="21"/>
      <c r="C3" s="161" t="s">
        <v>44</v>
      </c>
      <c r="D3" s="163"/>
      <c r="E3" s="418"/>
      <c r="N3" s="470"/>
      <c r="O3" s="470"/>
    </row>
    <row r="4" spans="1:22" s="17" customFormat="1" ht="39" x14ac:dyDescent="0.35">
      <c r="B4" s="21"/>
      <c r="C4" s="265" t="s">
        <v>45</v>
      </c>
      <c r="D4" s="164"/>
      <c r="E4" s="132"/>
      <c r="N4" s="464"/>
      <c r="O4" s="464"/>
    </row>
    <row r="5" spans="1:22" s="17" customFormat="1" ht="21" x14ac:dyDescent="0.35">
      <c r="A5" s="44"/>
      <c r="B5" s="21"/>
      <c r="E5" s="23"/>
      <c r="F5" s="469"/>
      <c r="G5" s="469"/>
      <c r="H5" s="417"/>
      <c r="I5" s="417"/>
      <c r="J5" s="417"/>
      <c r="K5" s="417"/>
      <c r="L5" s="417"/>
      <c r="Q5" s="60"/>
      <c r="R5" s="57"/>
      <c r="S5" s="45"/>
    </row>
    <row r="6" spans="1:22" s="17" customFormat="1" ht="21" x14ac:dyDescent="0.35">
      <c r="B6" s="21"/>
      <c r="C6" s="45" t="s">
        <v>46</v>
      </c>
      <c r="D6" s="21"/>
      <c r="E6" s="23"/>
      <c r="F6" s="23"/>
      <c r="G6" s="23"/>
      <c r="H6" s="23"/>
      <c r="I6" s="23"/>
      <c r="J6" s="23"/>
      <c r="K6" s="23"/>
      <c r="L6" s="23"/>
      <c r="N6" s="45" t="s">
        <v>47</v>
      </c>
      <c r="O6" s="15"/>
      <c r="P6" s="15"/>
      <c r="Q6" s="60"/>
      <c r="R6" s="57"/>
      <c r="S6" s="15"/>
    </row>
    <row r="7" spans="1:22" ht="21.5" thickBot="1" x14ac:dyDescent="0.4">
      <c r="C7" s="16" t="s">
        <v>48</v>
      </c>
      <c r="F7" s="135"/>
      <c r="G7" s="135"/>
      <c r="H7" s="135"/>
      <c r="I7" s="77"/>
      <c r="J7" s="77"/>
      <c r="K7" s="77"/>
      <c r="L7" s="77"/>
      <c r="N7" s="16" t="s">
        <v>48</v>
      </c>
      <c r="O7" s="14"/>
      <c r="Q7" s="135"/>
      <c r="R7" s="135"/>
      <c r="S7" s="135"/>
      <c r="T7" s="77"/>
      <c r="U7" s="77"/>
      <c r="V7" s="77"/>
    </row>
    <row r="8" spans="1:22" ht="26" x14ac:dyDescent="0.35">
      <c r="C8" s="471" t="s">
        <v>49</v>
      </c>
      <c r="D8" s="467" t="s">
        <v>50</v>
      </c>
      <c r="E8" s="465" t="s">
        <v>51</v>
      </c>
      <c r="F8" s="415" t="s">
        <v>52</v>
      </c>
      <c r="G8" s="415" t="s">
        <v>53</v>
      </c>
      <c r="H8" s="415" t="s">
        <v>54</v>
      </c>
      <c r="I8" s="415" t="s">
        <v>55</v>
      </c>
      <c r="J8" s="414" t="s">
        <v>56</v>
      </c>
      <c r="K8" s="413"/>
      <c r="L8" s="413"/>
      <c r="M8" s="413"/>
      <c r="N8" s="471" t="s">
        <v>49</v>
      </c>
      <c r="O8" s="467" t="s">
        <v>50</v>
      </c>
      <c r="P8" s="465" t="s">
        <v>51</v>
      </c>
      <c r="Q8" s="415" t="s">
        <v>57</v>
      </c>
      <c r="R8" s="415" t="s">
        <v>53</v>
      </c>
      <c r="S8" s="415" t="s">
        <v>54</v>
      </c>
      <c r="T8" s="415" t="s">
        <v>55</v>
      </c>
      <c r="U8" s="414" t="s">
        <v>56</v>
      </c>
      <c r="V8" s="413"/>
    </row>
    <row r="9" spans="1:22" ht="36.75" customHeight="1" x14ac:dyDescent="0.35">
      <c r="C9" s="472"/>
      <c r="D9" s="468"/>
      <c r="E9" s="466"/>
      <c r="F9" s="416" t="s">
        <v>58</v>
      </c>
      <c r="G9" s="416" t="s">
        <v>59</v>
      </c>
      <c r="H9" s="416" t="s">
        <v>60</v>
      </c>
      <c r="I9" s="416" t="s">
        <v>60</v>
      </c>
      <c r="J9" s="360" t="s">
        <v>61</v>
      </c>
      <c r="K9" s="413"/>
      <c r="L9" s="413"/>
      <c r="M9" s="413"/>
      <c r="N9" s="472"/>
      <c r="O9" s="468"/>
      <c r="P9" s="466"/>
      <c r="Q9" s="416" t="s">
        <v>62</v>
      </c>
      <c r="R9" s="416" t="s">
        <v>63</v>
      </c>
      <c r="S9" s="416" t="s">
        <v>60</v>
      </c>
      <c r="T9" s="416" t="s">
        <v>60</v>
      </c>
      <c r="U9" s="360" t="s">
        <v>61</v>
      </c>
      <c r="V9" s="413"/>
    </row>
    <row r="10" spans="1:22" x14ac:dyDescent="0.3">
      <c r="C10" s="258" t="s">
        <v>64</v>
      </c>
      <c r="D10" s="366" t="s">
        <v>65</v>
      </c>
      <c r="E10" s="473" t="s">
        <v>66</v>
      </c>
      <c r="F10" s="386">
        <f>SUMIFS('Inhalation Exposure'!$H:$H,'Inhalation Exposure'!$C:$C,$C$4,'Inhalation Exposure'!$D:$D,$C10, 'Inhalation Exposure'!$E:$E, $D10)</f>
        <v>0.13900000000000001</v>
      </c>
      <c r="G10" s="386">
        <f>SUMIFS('Inhalation Exposure'!$L:$L,'Inhalation Exposure'!$C:$C,$C$4,'Inhalation Exposure'!$D:$D,$C10, 'Inhalation Exposure'!$E:$E, $D10)</f>
        <v>9.4557823129251706E-2</v>
      </c>
      <c r="H10" s="386">
        <f>SUMIFS('Inhalation Exposure'!$N:$N,'Inhalation Exposure'!$C:$C,$C$4,'Inhalation Exposure'!$D:$D,$C10, 'Inhalation Exposure'!$E:$E, $D10)</f>
        <v>4.4126984126984133E-2</v>
      </c>
      <c r="I10" s="386">
        <f>SUMIFS('Inhalation Exposure'!$P:$P,'Inhalation Exposure'!$C:$C,$C$4,'Inhalation Exposure'!$D:$D,$C10, 'Inhalation Exposure'!$E:$E, $D10)</f>
        <v>3.6268754076973259E-3</v>
      </c>
      <c r="J10" s="387">
        <f>SUMIFS('Inhalation Exposure'!$R:$R,'Inhalation Exposure'!$C:$C,$C$4,'Inhalation Exposure'!$D:$D,$C10, 'Inhalation Exposure'!$E:$E, $D10)</f>
        <v>9.1136869219061003E-4</v>
      </c>
      <c r="K10" s="78"/>
      <c r="L10" s="78"/>
      <c r="M10" s="78"/>
      <c r="N10" s="258" t="s">
        <v>64</v>
      </c>
      <c r="O10" s="366" t="s">
        <v>67</v>
      </c>
      <c r="P10" s="473" t="s">
        <v>66</v>
      </c>
      <c r="Q10" s="386">
        <f>SUMIFS('Inhalation Exposure'!$H:$H,'Inhalation Exposure'!$C:$C,$C$4,'Inhalation Exposure'!$D:$D,$C10, 'Inhalation Exposure'!$E:$E, $O10)</f>
        <v>0.13900000000000001</v>
      </c>
      <c r="R10" s="386">
        <f>SUMIFS('Inhalation Exposure'!$L:$L,'Inhalation Exposure'!$C:$C,$C$4,'Inhalation Exposure'!$D:$D,$C10, 'Inhalation Exposure'!$E:$E, $O10)</f>
        <v>0.14183673469387756</v>
      </c>
      <c r="S10" s="386">
        <f>SUMIFS('Inhalation Exposure'!$N:$N,'Inhalation Exposure'!$C:$C,$C$4,'Inhalation Exposure'!$D:$D,$C10, 'Inhalation Exposure'!$E:$E, $O10)</f>
        <v>6.6190476190476202E-2</v>
      </c>
      <c r="T10" s="386">
        <f>SUMIFS('Inhalation Exposure'!$P:$P,'Inhalation Exposure'!$C:$C,$C$4,'Inhalation Exposure'!$D:$D,$C10, 'Inhalation Exposure'!$E:$E, $O10)</f>
        <v>5.440313111545989E-3</v>
      </c>
      <c r="U10" s="387">
        <f>SUMIFS('Inhalation Exposure'!$R:$R,'Inhalation Exposure'!$C:$C,$C$4,'Inhalation Exposure'!$D:$D,$C10, 'Inhalation Exposure'!$E:$E, $O10)</f>
        <v>1.3670530382859153E-3</v>
      </c>
      <c r="V10" s="78"/>
    </row>
    <row r="11" spans="1:22" x14ac:dyDescent="0.3">
      <c r="C11" s="258" t="s">
        <v>68</v>
      </c>
      <c r="D11" s="366" t="s">
        <v>65</v>
      </c>
      <c r="E11" s="473"/>
      <c r="F11" s="386">
        <f>SUMIFS('Inhalation Exposure'!$H:$H,'Inhalation Exposure'!$C:$C,$C$4,'Inhalation Exposure'!$D:$D,$C11, 'Inhalation Exposure'!$E:$E, $D11)</f>
        <v>0</v>
      </c>
      <c r="G11" s="386">
        <f>SUMIFS('Inhalation Exposure'!$L:$L,'Inhalation Exposure'!$C:$C,$C$4,'Inhalation Exposure'!$D:$D,$C11, 'Inhalation Exposure'!$E:$E, $D11)</f>
        <v>0</v>
      </c>
      <c r="H11" s="386">
        <f>SUMIFS('Inhalation Exposure'!$N:$N,'Inhalation Exposure'!$C:$C,$C$4,'Inhalation Exposure'!$D:$D,$C11, 'Inhalation Exposure'!$E:$E, $D11)</f>
        <v>0</v>
      </c>
      <c r="I11" s="386">
        <f>SUMIFS('Inhalation Exposure'!$P:$P,'Inhalation Exposure'!$C:$C,$C$4,'Inhalation Exposure'!$D:$D,$C11, 'Inhalation Exposure'!$E:$E, $D11)</f>
        <v>0</v>
      </c>
      <c r="J11" s="387">
        <f>SUMIFS('Inhalation Exposure'!$R:$R,'Inhalation Exposure'!$C:$C,$C$4,'Inhalation Exposure'!$D:$D,$C11, 'Inhalation Exposure'!$E:$E, $D11)</f>
        <v>0</v>
      </c>
      <c r="K11" s="78"/>
      <c r="L11" s="78"/>
      <c r="M11" s="78"/>
      <c r="N11" s="258" t="s">
        <v>68</v>
      </c>
      <c r="O11" s="366" t="s">
        <v>67</v>
      </c>
      <c r="P11" s="473"/>
      <c r="Q11" s="386">
        <f>SUMIFS('Inhalation Exposure'!$H:$H,'Inhalation Exposure'!$C:$C,$C$4,'Inhalation Exposure'!$D:$D,$C11, 'Inhalation Exposure'!$E:$E, $O11)</f>
        <v>0</v>
      </c>
      <c r="R11" s="386">
        <f>SUMIFS('Inhalation Exposure'!$L:$L,'Inhalation Exposure'!$C:$C,$C$4,'Inhalation Exposure'!$D:$D,$C11, 'Inhalation Exposure'!$E:$E, $O11)</f>
        <v>0</v>
      </c>
      <c r="S11" s="386">
        <f>SUMIFS('Inhalation Exposure'!$N:$N,'Inhalation Exposure'!$C:$C,$C$4,'Inhalation Exposure'!$D:$D,$C11, 'Inhalation Exposure'!$E:$E, $O11)</f>
        <v>0</v>
      </c>
      <c r="T11" s="386">
        <f>SUMIFS('Inhalation Exposure'!$P:$P,'Inhalation Exposure'!$C:$C,$C$4,'Inhalation Exposure'!$D:$D,$C11, 'Inhalation Exposure'!$E:$E, $O11)</f>
        <v>0</v>
      </c>
      <c r="U11" s="387">
        <f>SUMIFS('Inhalation Exposure'!$R:$R,'Inhalation Exposure'!$C:$C,$C$4,'Inhalation Exposure'!$D:$D,$C11, 'Inhalation Exposure'!$E:$E, $O11)</f>
        <v>0</v>
      </c>
      <c r="V11" s="78"/>
    </row>
    <row r="12" spans="1:22" ht="15" customHeight="1" x14ac:dyDescent="0.3">
      <c r="C12" s="258" t="s">
        <v>64</v>
      </c>
      <c r="D12" s="366" t="s">
        <v>65</v>
      </c>
      <c r="E12" s="473" t="s">
        <v>69</v>
      </c>
      <c r="F12" s="386">
        <f>SUMIFS('Inhalation Exposure'!$I:$I,'Inhalation Exposure'!$C:$C,$C$4,'Inhalation Exposure'!$D:$D,$C12, 'Inhalation Exposure'!$E:$E, $D12)</f>
        <v>1.7000000000000001E-2</v>
      </c>
      <c r="G12" s="386">
        <f>SUMIFS('Inhalation Exposure'!$M:$M,'Inhalation Exposure'!$C:$C,$C$4,'Inhalation Exposure'!$D:$D,$C12, 'Inhalation Exposure'!$E:$E, $D12)</f>
        <v>1.1564625850340137E-2</v>
      </c>
      <c r="H12" s="386">
        <f>SUMIFS('Inhalation Exposure'!$O:$O,'Inhalation Exposure'!$C:$C,$C$4,'Inhalation Exposure'!$D:$D,$C12, 'Inhalation Exposure'!$E:$E, $D12)</f>
        <v>5.3968253968253973E-3</v>
      </c>
      <c r="I12" s="386">
        <f>SUMIFS('Inhalation Exposure'!$Q:$Q,'Inhalation Exposure'!$C:$C,$C$4,'Inhalation Exposure'!$D:$D,$C12, 'Inhalation Exposure'!$E:$E, $D12)</f>
        <v>4.4357469015003263E-4</v>
      </c>
      <c r="J12" s="387">
        <f>SUMIFS('Inhalation Exposure'!$S:$S,'Inhalation Exposure'!$C:$C,$C$4,'Inhalation Exposure'!$D:$D,$C12, 'Inhalation Exposure'!$E:$E, $D12)</f>
        <v>8.6383327479217886E-5</v>
      </c>
      <c r="K12" s="78"/>
      <c r="L12" s="78"/>
      <c r="M12" s="78"/>
      <c r="N12" s="258" t="s">
        <v>64</v>
      </c>
      <c r="O12" s="366" t="s">
        <v>67</v>
      </c>
      <c r="P12" s="473" t="s">
        <v>69</v>
      </c>
      <c r="Q12" s="386">
        <f>SUMIFS('Inhalation Exposure'!$I:$I,'Inhalation Exposure'!$C:$C,$C$4,'Inhalation Exposure'!$D:$D,$C12, 'Inhalation Exposure'!$E:$E, $O12)</f>
        <v>1.7000000000000001E-2</v>
      </c>
      <c r="R12" s="386">
        <f>SUMIFS('Inhalation Exposure'!$M:$M,'Inhalation Exposure'!$C:$C,$C$4,'Inhalation Exposure'!$D:$D,$C12, 'Inhalation Exposure'!$E:$E, $O12)</f>
        <v>1.7346938775510207E-2</v>
      </c>
      <c r="S12" s="386">
        <f>SUMIFS('Inhalation Exposure'!$O:$O,'Inhalation Exposure'!$C:$C,$C$4,'Inhalation Exposure'!$D:$D,$C12, 'Inhalation Exposure'!$E:$E, $O12)</f>
        <v>8.0952380952380963E-3</v>
      </c>
      <c r="T12" s="386">
        <f>SUMIFS('Inhalation Exposure'!$Q:$Q,'Inhalation Exposure'!$C:$C,$C$4,'Inhalation Exposure'!$D:$D,$C12, 'Inhalation Exposure'!$E:$E, $O12)</f>
        <v>6.6536203522504908E-4</v>
      </c>
      <c r="U12" s="387">
        <f>SUMIFS('Inhalation Exposure'!$S:$S,'Inhalation Exposure'!$C:$C,$C$4,'Inhalation Exposure'!$D:$D,$C12, 'Inhalation Exposure'!$E:$E, $O12)</f>
        <v>1.2957499121882686E-4</v>
      </c>
      <c r="V12" s="78"/>
    </row>
    <row r="13" spans="1:22" ht="15" thickBot="1" x14ac:dyDescent="0.35">
      <c r="C13" s="24" t="s">
        <v>68</v>
      </c>
      <c r="D13" s="55" t="s">
        <v>65</v>
      </c>
      <c r="E13" s="474"/>
      <c r="F13" s="388">
        <f>SUMIFS('Inhalation Exposure'!$I:$I,'Inhalation Exposure'!$C:$C,$C$4,'Inhalation Exposure'!$D:$D,$C13, 'Inhalation Exposure'!$E:$E, $D13)</f>
        <v>0</v>
      </c>
      <c r="G13" s="388">
        <f>SUMIFS('Inhalation Exposure'!$M:$M,'Inhalation Exposure'!$C:$C,$C$4,'Inhalation Exposure'!$D:$D,$C13, 'Inhalation Exposure'!$E:$E, $D13)</f>
        <v>0</v>
      </c>
      <c r="H13" s="388">
        <f>SUMIFS('Inhalation Exposure'!$O:$O,'Inhalation Exposure'!$C:$C,$C$4,'Inhalation Exposure'!$D:$D,$C13, 'Inhalation Exposure'!$E:$E, $D13)</f>
        <v>0</v>
      </c>
      <c r="I13" s="388">
        <f>SUMIFS('Inhalation Exposure'!$Q:$Q,'Inhalation Exposure'!$C:$C,$C$4,'Inhalation Exposure'!$D:$D,$C13, 'Inhalation Exposure'!$E:$E, $D13)</f>
        <v>0</v>
      </c>
      <c r="J13" s="389">
        <f>SUMIFS('Inhalation Exposure'!$S:$S,'Inhalation Exposure'!$C:$C,$C$4,'Inhalation Exposure'!$D:$D,$C13, 'Inhalation Exposure'!$E:$E, $D13)</f>
        <v>0</v>
      </c>
      <c r="K13" s="78"/>
      <c r="L13" s="78"/>
      <c r="M13" s="78"/>
      <c r="N13" s="24" t="s">
        <v>68</v>
      </c>
      <c r="O13" s="55" t="s">
        <v>67</v>
      </c>
      <c r="P13" s="474"/>
      <c r="Q13" s="388">
        <f>SUMIFS('Inhalation Exposure'!$I:$I,'Inhalation Exposure'!$C:$C,$C$4,'Inhalation Exposure'!$D:$D,$C13, 'Inhalation Exposure'!$E:$E, $O13)</f>
        <v>0</v>
      </c>
      <c r="R13" s="388">
        <f>SUMIFS('Inhalation Exposure'!$M:$M,'Inhalation Exposure'!$C:$C,$C$4,'Inhalation Exposure'!$D:$D,$C13, 'Inhalation Exposure'!$E:$E, $O13)</f>
        <v>0</v>
      </c>
      <c r="S13" s="388">
        <f>SUMIFS('Inhalation Exposure'!$O:$O,'Inhalation Exposure'!$C:$C,$C$4,'Inhalation Exposure'!$D:$D,$C13, 'Inhalation Exposure'!$E:$E, $O13)</f>
        <v>0</v>
      </c>
      <c r="T13" s="388">
        <f>SUMIFS('Inhalation Exposure'!$Q:$Q,'Inhalation Exposure'!$C:$C,$C$4,'Inhalation Exposure'!$D:$D,$C13, 'Inhalation Exposure'!$E:$E, $O13)</f>
        <v>0</v>
      </c>
      <c r="U13" s="389">
        <f>SUMIFS('Inhalation Exposure'!$S:$S,'Inhalation Exposure'!$C:$C,$C$4,'Inhalation Exposure'!$D:$D,$C13, 'Inhalation Exposure'!$E:$E, $O13)</f>
        <v>0</v>
      </c>
      <c r="V13" s="78"/>
    </row>
    <row r="14" spans="1:22" s="17" customFormat="1" x14ac:dyDescent="0.35">
      <c r="B14" s="21"/>
      <c r="C14" s="20"/>
      <c r="D14" s="419"/>
      <c r="E14" s="23"/>
      <c r="F14" s="419"/>
      <c r="G14" s="419"/>
      <c r="H14" s="419"/>
      <c r="I14" s="419"/>
      <c r="J14" s="419"/>
      <c r="K14" s="419"/>
      <c r="L14" s="419"/>
      <c r="N14" s="20"/>
      <c r="O14" s="419"/>
      <c r="P14" s="23"/>
      <c r="Q14" s="419"/>
      <c r="R14" s="419"/>
      <c r="S14" s="419"/>
      <c r="T14" s="419"/>
      <c r="U14" s="419"/>
      <c r="V14" s="419"/>
    </row>
    <row r="15" spans="1:22" s="17" customFormat="1" ht="36" customHeight="1" thickBot="1" x14ac:dyDescent="0.4">
      <c r="B15" s="21"/>
      <c r="C15" s="288" t="s">
        <v>70</v>
      </c>
      <c r="D15" s="419"/>
      <c r="E15" s="23"/>
      <c r="G15" s="419"/>
      <c r="N15" s="288" t="s">
        <v>70</v>
      </c>
      <c r="O15" s="419"/>
      <c r="P15" s="23"/>
      <c r="R15" s="419"/>
    </row>
    <row r="16" spans="1:22" s="17" customFormat="1" ht="27" customHeight="1" x14ac:dyDescent="0.35">
      <c r="B16" s="21"/>
      <c r="C16" s="459" t="s">
        <v>71</v>
      </c>
      <c r="D16" s="465" t="s">
        <v>72</v>
      </c>
      <c r="E16" s="476" t="s">
        <v>51</v>
      </c>
      <c r="F16" s="462" t="s">
        <v>73</v>
      </c>
      <c r="G16" s="459" t="s">
        <v>74</v>
      </c>
      <c r="H16" s="460"/>
      <c r="I16" s="413"/>
      <c r="J16" s="458"/>
      <c r="K16" s="458"/>
      <c r="L16" s="413"/>
      <c r="N16" s="459" t="s">
        <v>71</v>
      </c>
      <c r="O16" s="465" t="s">
        <v>72</v>
      </c>
      <c r="P16" s="476" t="s">
        <v>51</v>
      </c>
      <c r="Q16" s="462" t="s">
        <v>73</v>
      </c>
      <c r="R16" s="459" t="s">
        <v>74</v>
      </c>
      <c r="S16" s="460"/>
      <c r="T16" s="413"/>
      <c r="U16" s="458"/>
      <c r="V16" s="458"/>
    </row>
    <row r="17" spans="1:22" s="17" customFormat="1" ht="51.75" customHeight="1" thickBot="1" x14ac:dyDescent="0.4">
      <c r="B17" s="21"/>
      <c r="C17" s="478"/>
      <c r="D17" s="481"/>
      <c r="E17" s="477"/>
      <c r="F17" s="463"/>
      <c r="G17" s="420" t="s">
        <v>75</v>
      </c>
      <c r="H17" s="432" t="s">
        <v>76</v>
      </c>
      <c r="I17" s="413"/>
      <c r="J17" s="413"/>
      <c r="K17" s="413"/>
      <c r="L17" s="413"/>
      <c r="M17" s="23"/>
      <c r="N17" s="478"/>
      <c r="O17" s="481"/>
      <c r="P17" s="477"/>
      <c r="Q17" s="463"/>
      <c r="R17" s="420" t="s">
        <v>75</v>
      </c>
      <c r="S17" s="432" t="s">
        <v>76</v>
      </c>
      <c r="T17" s="413"/>
      <c r="U17" s="413"/>
      <c r="V17" s="413"/>
    </row>
    <row r="18" spans="1:22" s="17" customFormat="1" ht="34.5" customHeight="1" x14ac:dyDescent="0.35">
      <c r="B18" s="475" t="s">
        <v>77</v>
      </c>
      <c r="C18" s="479" t="e">
        <f>INDEX('Health Data'!$D:$D, MATCH($B18, 'Health Data'!$F:$F, 0)) &amp; "; "  &amp; INDEX('Health Data'!$E:$E, MATCH($B18, 'Health Data'!$F:$F, 0))</f>
        <v>#N/A</v>
      </c>
      <c r="D18" s="483" t="e">
        <f>INDEX('Health Data'!$G:$G,MATCH(B18,'Health Data'!$F:$F,0))</f>
        <v>#N/A</v>
      </c>
      <c r="E18" s="98" t="s">
        <v>66</v>
      </c>
      <c r="F18" s="245" t="e">
        <f>INDEX('Health Data'!$H:$H,MATCH(B18,'Health Data'!$F:$F,0))</f>
        <v>#N/A</v>
      </c>
      <c r="G18" s="247" t="str">
        <f>IFERROR(D18/$G$10, "")</f>
        <v/>
      </c>
      <c r="H18" s="73" t="str">
        <f>IFERROR(D18/$G$11, "")</f>
        <v/>
      </c>
      <c r="J18" s="380"/>
      <c r="K18" s="51"/>
      <c r="L18" s="51"/>
      <c r="M18" s="475" t="s">
        <v>77</v>
      </c>
      <c r="N18" s="479" t="e">
        <f>INDEX('Health Data'!$D:$D, MATCH($B18, 'Health Data'!$F:$F, 0)) &amp; "; "  &amp; INDEX('Health Data'!$E:$E, MATCH($B18, 'Health Data'!$F:$F, 0))</f>
        <v>#N/A</v>
      </c>
      <c r="O18" s="483" t="e">
        <f>INDEX('Health Data'!$G:$G,MATCH(M18,'Health Data'!$F:$F,0))</f>
        <v>#N/A</v>
      </c>
      <c r="P18" s="98" t="s">
        <v>66</v>
      </c>
      <c r="Q18" s="245" t="e">
        <f>INDEX('Health Data'!$H:$H,MATCH(M18,'Health Data'!$F:$F,0))</f>
        <v>#N/A</v>
      </c>
      <c r="R18" s="247" t="str">
        <f>IFERROR(O18/R10, "")</f>
        <v/>
      </c>
      <c r="S18" s="73" t="str">
        <f>IFERROR(O18/R11, "")</f>
        <v/>
      </c>
      <c r="U18" s="380"/>
      <c r="V18" s="51"/>
    </row>
    <row r="19" spans="1:22" s="17" customFormat="1" ht="34.5" customHeight="1" thickBot="1" x14ac:dyDescent="0.4">
      <c r="B19" s="475"/>
      <c r="C19" s="480"/>
      <c r="D19" s="484"/>
      <c r="E19" s="97" t="s">
        <v>69</v>
      </c>
      <c r="F19" s="246" t="e">
        <f>INDEX('Health Data'!$H:$H,MATCH(B18,'Health Data'!$F:$F,0))</f>
        <v>#N/A</v>
      </c>
      <c r="G19" s="248" t="str">
        <f>IFERROR(D18/$G$12, "")</f>
        <v/>
      </c>
      <c r="H19" s="124" t="str">
        <f>IFERROR(D18/$G$13, "")</f>
        <v/>
      </c>
      <c r="I19" s="51"/>
      <c r="J19" s="51"/>
      <c r="K19" s="51"/>
      <c r="L19" s="51"/>
      <c r="M19" s="475"/>
      <c r="N19" s="480"/>
      <c r="O19" s="484"/>
      <c r="P19" s="97" t="s">
        <v>69</v>
      </c>
      <c r="Q19" s="246" t="e">
        <f>INDEX('Health Data'!$H:$H,MATCH(M18,'Health Data'!$F:$F,0))</f>
        <v>#N/A</v>
      </c>
      <c r="R19" s="248" t="str">
        <f>IFERROR(O18/R12, "")</f>
        <v/>
      </c>
      <c r="S19" s="124" t="str">
        <f>IFERROR(O18/R13, "")</f>
        <v/>
      </c>
      <c r="T19" s="51"/>
      <c r="U19" s="51"/>
      <c r="V19" s="51"/>
    </row>
    <row r="20" spans="1:22" s="17" customFormat="1" x14ac:dyDescent="0.35">
      <c r="B20" s="419"/>
      <c r="C20" s="290" t="s">
        <v>78</v>
      </c>
      <c r="D20" s="15"/>
      <c r="E20" s="37"/>
      <c r="F20" s="58"/>
      <c r="G20" s="51"/>
      <c r="H20" s="51"/>
      <c r="I20" s="51"/>
      <c r="M20" s="419"/>
      <c r="N20" s="290" t="s">
        <v>78</v>
      </c>
      <c r="O20" s="15"/>
      <c r="P20" s="37"/>
      <c r="Q20" s="58"/>
      <c r="R20" s="51"/>
      <c r="S20" s="51"/>
      <c r="T20" s="51"/>
    </row>
    <row r="21" spans="1:22" s="17" customFormat="1" ht="39.75" customHeight="1" thickBot="1" x14ac:dyDescent="0.4">
      <c r="B21" s="419"/>
      <c r="C21" s="52" t="s">
        <v>79</v>
      </c>
      <c r="D21" s="52"/>
      <c r="E21" s="53"/>
      <c r="F21" s="54"/>
      <c r="G21" s="54"/>
      <c r="H21" s="54"/>
      <c r="I21" s="13"/>
      <c r="J21" s="13"/>
      <c r="K21" s="13"/>
      <c r="L21" s="13"/>
      <c r="M21" s="419"/>
      <c r="N21" s="52" t="s">
        <v>79</v>
      </c>
      <c r="O21" s="52"/>
      <c r="P21" s="53"/>
      <c r="Q21" s="54"/>
      <c r="R21" s="54"/>
      <c r="S21" s="54"/>
      <c r="T21" s="13"/>
      <c r="U21" s="13"/>
      <c r="V21" s="13"/>
    </row>
    <row r="22" spans="1:22" s="17" customFormat="1" ht="28.5" customHeight="1" x14ac:dyDescent="0.35">
      <c r="B22" s="419"/>
      <c r="C22" s="459" t="s">
        <v>71</v>
      </c>
      <c r="D22" s="465" t="s">
        <v>72</v>
      </c>
      <c r="E22" s="476" t="s">
        <v>51</v>
      </c>
      <c r="F22" s="462" t="s">
        <v>73</v>
      </c>
      <c r="G22" s="459" t="s">
        <v>80</v>
      </c>
      <c r="H22" s="460"/>
      <c r="I22" s="413"/>
      <c r="J22" s="458"/>
      <c r="K22" s="458"/>
      <c r="L22" s="413"/>
      <c r="M22" s="419"/>
      <c r="N22" s="459" t="s">
        <v>71</v>
      </c>
      <c r="O22" s="465" t="s">
        <v>72</v>
      </c>
      <c r="P22" s="476" t="s">
        <v>51</v>
      </c>
      <c r="Q22" s="462" t="s">
        <v>73</v>
      </c>
      <c r="R22" s="459" t="s">
        <v>80</v>
      </c>
      <c r="S22" s="460"/>
      <c r="T22" s="413"/>
      <c r="U22" s="458"/>
      <c r="V22" s="458"/>
    </row>
    <row r="23" spans="1:22" s="17" customFormat="1" ht="15" thickBot="1" x14ac:dyDescent="0.4">
      <c r="B23" s="419"/>
      <c r="C23" s="482"/>
      <c r="D23" s="481"/>
      <c r="E23" s="477"/>
      <c r="F23" s="463"/>
      <c r="G23" s="423" t="s">
        <v>75</v>
      </c>
      <c r="H23" s="251" t="s">
        <v>76</v>
      </c>
      <c r="I23" s="413"/>
      <c r="J23" s="413"/>
      <c r="K23" s="413"/>
      <c r="L23" s="413"/>
      <c r="M23" s="419"/>
      <c r="N23" s="482"/>
      <c r="O23" s="481"/>
      <c r="P23" s="477"/>
      <c r="Q23" s="463"/>
      <c r="R23" s="423" t="s">
        <v>75</v>
      </c>
      <c r="S23" s="251" t="s">
        <v>76</v>
      </c>
      <c r="T23" s="413"/>
      <c r="U23" s="413"/>
      <c r="V23" s="413"/>
    </row>
    <row r="24" spans="1:22" s="17" customFormat="1" ht="36" customHeight="1" x14ac:dyDescent="0.35">
      <c r="B24" s="475" t="s">
        <v>81</v>
      </c>
      <c r="C24" s="479" t="str">
        <f>INDEX('Health Data'!$D:$D, MATCH($B24, 'Health Data'!$F:$F, 0)) &amp; "; "  &amp; INDEX('Health Data'!$E:$E, MATCH($B24, 'Health Data'!$F:$F, 0))</f>
        <v>Decreased fetal body weight; Hackett et al, 1987</v>
      </c>
      <c r="D24" s="487">
        <f>INDEX('Health Data'!$G:$G,MATCH(B24,'Health Data'!$F:$F,0))</f>
        <v>2.5</v>
      </c>
      <c r="E24" s="160" t="s">
        <v>66</v>
      </c>
      <c r="F24" s="249">
        <f>INDEX('Health Data'!$H:$H,MATCH(B24,'Health Data'!$F:$F,0))</f>
        <v>30</v>
      </c>
      <c r="G24" s="252">
        <f>IFERROR(D24/$H$10, "")</f>
        <v>56.654676258992801</v>
      </c>
      <c r="H24" s="253" t="str">
        <f>IFERROR(D24/$H$11, "")</f>
        <v/>
      </c>
      <c r="I24" s="244"/>
      <c r="J24" s="244"/>
      <c r="K24" s="244"/>
      <c r="L24" s="51"/>
      <c r="M24" s="475" t="s">
        <v>81</v>
      </c>
      <c r="N24" s="479" t="str">
        <f>INDEX('Health Data'!$D:$D, MATCH($B24, 'Health Data'!$F:$F, 0)) &amp; "; "  &amp; INDEX('Health Data'!$E:$E, MATCH($B24, 'Health Data'!$F:$F, 0))</f>
        <v>Decreased fetal body weight; Hackett et al, 1987</v>
      </c>
      <c r="O24" s="487">
        <f>INDEX('Health Data'!$G:$G,MATCH(M24,'Health Data'!$F:$F,0))</f>
        <v>2.5</v>
      </c>
      <c r="P24" s="160" t="s">
        <v>66</v>
      </c>
      <c r="Q24" s="249">
        <f>INDEX('Health Data'!$H:$H,MATCH(M24,'Health Data'!$F:$F,0))</f>
        <v>30</v>
      </c>
      <c r="R24" s="252">
        <f>IFERROR(O24/S10, "")</f>
        <v>37.769784172661865</v>
      </c>
      <c r="S24" s="253" t="str">
        <f>IFERROR(O24/S11, "")</f>
        <v/>
      </c>
      <c r="T24" s="244"/>
      <c r="U24" s="244"/>
      <c r="V24" s="244"/>
    </row>
    <row r="25" spans="1:22" s="25" customFormat="1" ht="36" customHeight="1" thickBot="1" x14ac:dyDescent="0.4">
      <c r="A25" s="17"/>
      <c r="B25" s="475"/>
      <c r="C25" s="480"/>
      <c r="D25" s="488"/>
      <c r="E25" s="100" t="s">
        <v>69</v>
      </c>
      <c r="F25" s="250">
        <f>INDEX('Health Data'!$H:$H,MATCH(B24,'Health Data'!$F:$F,0))</f>
        <v>30</v>
      </c>
      <c r="G25" s="254">
        <f>IFERROR(D24/$H$12, "")</f>
        <v>463.23529411764702</v>
      </c>
      <c r="H25" s="241" t="str">
        <f>IFERROR(D24/$H$13, "")</f>
        <v/>
      </c>
      <c r="I25" s="244"/>
      <c r="J25" s="244"/>
      <c r="K25" s="244"/>
      <c r="L25" s="51"/>
      <c r="M25" s="475"/>
      <c r="N25" s="480"/>
      <c r="O25" s="488"/>
      <c r="P25" s="100" t="s">
        <v>69</v>
      </c>
      <c r="Q25" s="250">
        <f>INDEX('Health Data'!$H:$H,MATCH(M24,'Health Data'!$F:$F,0))</f>
        <v>30</v>
      </c>
      <c r="R25" s="254">
        <f>IFERROR(O24/S12, "")</f>
        <v>308.82352941176464</v>
      </c>
      <c r="S25" s="241" t="str">
        <f>IFERROR(O24/S13, "")</f>
        <v/>
      </c>
      <c r="T25" s="244"/>
      <c r="U25" s="244"/>
      <c r="V25" s="244"/>
    </row>
    <row r="26" spans="1:22" s="17" customFormat="1" x14ac:dyDescent="0.35">
      <c r="B26" s="419"/>
      <c r="C26" s="26"/>
      <c r="D26" s="15"/>
      <c r="E26" s="37"/>
      <c r="F26" s="58"/>
      <c r="G26" s="51"/>
      <c r="H26" s="51"/>
      <c r="I26" s="51"/>
      <c r="M26" s="419"/>
      <c r="N26" s="26"/>
      <c r="O26" s="15"/>
      <c r="P26" s="37"/>
      <c r="Q26" s="58"/>
      <c r="R26" s="51"/>
      <c r="S26" s="51"/>
      <c r="T26" s="51"/>
    </row>
    <row r="27" spans="1:22" s="17" customFormat="1" ht="39.75" customHeight="1" thickBot="1" x14ac:dyDescent="0.4">
      <c r="B27" s="419"/>
      <c r="C27" s="52" t="s">
        <v>82</v>
      </c>
      <c r="D27" s="52"/>
      <c r="E27" s="53"/>
      <c r="F27" s="54"/>
      <c r="G27" s="54"/>
      <c r="H27" s="54"/>
      <c r="I27" s="13"/>
      <c r="J27" s="13"/>
      <c r="K27" s="13"/>
      <c r="L27" s="13"/>
      <c r="M27" s="419"/>
      <c r="N27" s="52" t="s">
        <v>82</v>
      </c>
      <c r="O27" s="52"/>
      <c r="P27" s="53"/>
      <c r="Q27" s="54"/>
      <c r="R27" s="54"/>
      <c r="S27" s="54"/>
      <c r="T27" s="13"/>
      <c r="U27" s="13"/>
      <c r="V27" s="13"/>
    </row>
    <row r="28" spans="1:22" s="17" customFormat="1" ht="28.5" customHeight="1" x14ac:dyDescent="0.35">
      <c r="B28" s="419"/>
      <c r="C28" s="459" t="s">
        <v>71</v>
      </c>
      <c r="D28" s="465" t="s">
        <v>72</v>
      </c>
      <c r="E28" s="476" t="s">
        <v>51</v>
      </c>
      <c r="F28" s="462" t="s">
        <v>73</v>
      </c>
      <c r="G28" s="459" t="s">
        <v>83</v>
      </c>
      <c r="H28" s="460"/>
      <c r="I28" s="413"/>
      <c r="J28" s="458"/>
      <c r="K28" s="458"/>
      <c r="L28" s="413"/>
      <c r="M28" s="419"/>
      <c r="N28" s="459" t="s">
        <v>71</v>
      </c>
      <c r="O28" s="465" t="s">
        <v>72</v>
      </c>
      <c r="P28" s="476" t="s">
        <v>51</v>
      </c>
      <c r="Q28" s="462" t="s">
        <v>73</v>
      </c>
      <c r="R28" s="459" t="s">
        <v>83</v>
      </c>
      <c r="S28" s="460"/>
      <c r="T28" s="413"/>
      <c r="U28" s="458"/>
      <c r="V28" s="458"/>
    </row>
    <row r="29" spans="1:22" s="17" customFormat="1" ht="15" thickBot="1" x14ac:dyDescent="0.4">
      <c r="B29" s="419"/>
      <c r="C29" s="482"/>
      <c r="D29" s="481"/>
      <c r="E29" s="477"/>
      <c r="F29" s="463"/>
      <c r="G29" s="423" t="s">
        <v>75</v>
      </c>
      <c r="H29" s="251" t="s">
        <v>76</v>
      </c>
      <c r="I29" s="413"/>
      <c r="J29" s="413"/>
      <c r="K29" s="413"/>
      <c r="L29" s="413"/>
      <c r="M29" s="419"/>
      <c r="N29" s="482"/>
      <c r="O29" s="481"/>
      <c r="P29" s="477"/>
      <c r="Q29" s="463"/>
      <c r="R29" s="423" t="s">
        <v>75</v>
      </c>
      <c r="S29" s="251" t="s">
        <v>76</v>
      </c>
      <c r="T29" s="413"/>
      <c r="U29" s="413"/>
      <c r="V29" s="413"/>
    </row>
    <row r="30" spans="1:22" s="17" customFormat="1" ht="35.25" customHeight="1" x14ac:dyDescent="0.35">
      <c r="B30" s="475" t="s">
        <v>84</v>
      </c>
      <c r="C30" s="479" t="str">
        <f>INDEX('Health Data'!$D:$D, MATCH($B30, 'Health Data'!$F:$F, 0)) &amp; "; "  &amp; INDEX('Health Data'!$E:$E, MATCH($B30, 'Health Data'!$F:$F, 0))</f>
        <v>Decreased fetal body weight; Hackett et al, 1987</v>
      </c>
      <c r="D30" s="489">
        <f>INDEX('Health Data'!$G:$G,MATCH(B30,'Health Data'!$F:$F,0))</f>
        <v>2.5</v>
      </c>
      <c r="E30" s="160" t="s">
        <v>66</v>
      </c>
      <c r="F30" s="249">
        <f>INDEX('Health Data'!$H:$H,MATCH(B30,'Health Data'!$F:$F,0))</f>
        <v>30</v>
      </c>
      <c r="G30" s="252">
        <f>IFERROR(D30/$I$10, "")</f>
        <v>689.29856115107907</v>
      </c>
      <c r="H30" s="253" t="str">
        <f>IFERROR(D30/$I$11, "")</f>
        <v/>
      </c>
      <c r="I30" s="51"/>
      <c r="J30" s="51"/>
      <c r="K30" s="51"/>
      <c r="L30" s="51"/>
      <c r="M30" s="475" t="s">
        <v>84</v>
      </c>
      <c r="N30" s="479" t="str">
        <f>INDEX('Health Data'!$D:$D, MATCH($B30, 'Health Data'!$F:$F, 0)) &amp; "; "  &amp; INDEX('Health Data'!$E:$E, MATCH($B30, 'Health Data'!$F:$F, 0))</f>
        <v>Decreased fetal body weight; Hackett et al, 1987</v>
      </c>
      <c r="O30" s="489">
        <f>INDEX('Health Data'!$G:$G,MATCH(M30,'Health Data'!$F:$F,0))</f>
        <v>2.5</v>
      </c>
      <c r="P30" s="160" t="s">
        <v>66</v>
      </c>
      <c r="Q30" s="249">
        <f>INDEX('Health Data'!$H:$H,MATCH(M30,'Health Data'!$F:$F,0))</f>
        <v>30</v>
      </c>
      <c r="R30" s="255">
        <f>IFERROR(O30/T10, "")</f>
        <v>459.53237410071938</v>
      </c>
      <c r="S30" s="73" t="str">
        <f>IFERROR(O30/T11, "")</f>
        <v/>
      </c>
    </row>
    <row r="31" spans="1:22" s="25" customFormat="1" ht="35.25" customHeight="1" thickBot="1" x14ac:dyDescent="0.4">
      <c r="A31" s="17"/>
      <c r="B31" s="475"/>
      <c r="C31" s="480"/>
      <c r="D31" s="490"/>
      <c r="E31" s="100" t="s">
        <v>69</v>
      </c>
      <c r="F31" s="250">
        <f>INDEX('Health Data'!$H:$H,MATCH(B30,'Health Data'!$F:$F,0))</f>
        <v>30</v>
      </c>
      <c r="G31" s="254">
        <f>IFERROR(D30/$I$12, "")</f>
        <v>5636.0294117647054</v>
      </c>
      <c r="H31" s="241" t="str">
        <f>IFERROR(D30/$I$13, "")</f>
        <v/>
      </c>
      <c r="I31" s="51"/>
      <c r="J31" s="51"/>
      <c r="K31" s="51"/>
      <c r="L31" s="51"/>
      <c r="M31" s="475"/>
      <c r="N31" s="480"/>
      <c r="O31" s="490"/>
      <c r="P31" s="100" t="s">
        <v>69</v>
      </c>
      <c r="Q31" s="250">
        <f>INDEX('Health Data'!$H:$H,MATCH(M30,'Health Data'!$F:$F,0))</f>
        <v>30</v>
      </c>
      <c r="R31" s="123">
        <f>IFERROR(O30/T12, "")</f>
        <v>3757.3529411764698</v>
      </c>
      <c r="S31" s="124" t="str">
        <f>IFERROR(O30/T13, "")</f>
        <v/>
      </c>
    </row>
    <row r="32" spans="1:22" s="25" customFormat="1" x14ac:dyDescent="0.35">
      <c r="B32" s="23"/>
      <c r="C32" s="57"/>
      <c r="D32" s="37"/>
      <c r="E32" s="51"/>
      <c r="F32" s="15"/>
      <c r="G32" s="51"/>
      <c r="H32" s="38"/>
      <c r="I32" s="38"/>
      <c r="M32" s="23"/>
      <c r="N32" s="57"/>
      <c r="O32" s="37"/>
      <c r="P32" s="51"/>
      <c r="Q32" s="15"/>
      <c r="R32" s="51"/>
      <c r="S32" s="38"/>
      <c r="T32" s="38"/>
    </row>
    <row r="33" spans="1:22" s="25" customFormat="1" x14ac:dyDescent="0.35">
      <c r="B33" s="23"/>
      <c r="C33" s="57"/>
      <c r="D33" s="37"/>
      <c r="E33" s="51"/>
      <c r="F33" s="15"/>
      <c r="G33" s="51"/>
      <c r="H33" s="38"/>
      <c r="I33" s="38"/>
      <c r="M33" s="23"/>
      <c r="N33" s="57"/>
      <c r="O33" s="37"/>
      <c r="P33" s="51"/>
      <c r="Q33" s="15"/>
      <c r="R33" s="51"/>
      <c r="S33" s="38"/>
      <c r="T33" s="38"/>
    </row>
    <row r="34" spans="1:22" s="25" customFormat="1" ht="15" thickBot="1" x14ac:dyDescent="0.4">
      <c r="B34" s="419"/>
      <c r="C34" s="26"/>
      <c r="D34" s="15"/>
      <c r="E34" s="37"/>
      <c r="F34" s="38"/>
      <c r="G34" s="51"/>
      <c r="H34" s="51"/>
      <c r="I34" s="51"/>
      <c r="M34" s="419"/>
      <c r="N34" s="26"/>
      <c r="O34" s="15"/>
      <c r="P34" s="37"/>
      <c r="Q34" s="38"/>
      <c r="R34" s="51"/>
      <c r="S34" s="51"/>
      <c r="T34" s="51"/>
    </row>
    <row r="35" spans="1:22" s="25" customFormat="1" ht="37.5" customHeight="1" thickBot="1" x14ac:dyDescent="0.4">
      <c r="B35" s="14"/>
      <c r="C35" s="22" t="s">
        <v>85</v>
      </c>
      <c r="D35" s="17"/>
      <c r="E35" s="13"/>
      <c r="F35" s="15"/>
      <c r="G35" s="456" t="s">
        <v>86</v>
      </c>
      <c r="H35" s="457"/>
      <c r="I35" s="413"/>
      <c r="J35" s="458"/>
      <c r="K35" s="458"/>
      <c r="L35" s="413"/>
      <c r="M35" s="14"/>
      <c r="N35" s="22" t="s">
        <v>85</v>
      </c>
      <c r="O35" s="17"/>
      <c r="P35" s="13"/>
      <c r="Q35" s="15"/>
      <c r="R35" s="456" t="s">
        <v>86</v>
      </c>
      <c r="S35" s="457"/>
      <c r="T35" s="413"/>
      <c r="U35" s="458"/>
      <c r="V35" s="458"/>
    </row>
    <row r="36" spans="1:22" s="25" customFormat="1" ht="15" thickBot="1" x14ac:dyDescent="0.35">
      <c r="B36" s="14"/>
      <c r="C36" s="56" t="s">
        <v>87</v>
      </c>
      <c r="D36" s="71" t="s">
        <v>498</v>
      </c>
      <c r="E36" s="71" t="s">
        <v>51</v>
      </c>
      <c r="F36" s="72" t="s">
        <v>88</v>
      </c>
      <c r="G36" s="56" t="s">
        <v>89</v>
      </c>
      <c r="H36" s="171" t="s">
        <v>90</v>
      </c>
      <c r="I36" s="413"/>
      <c r="J36" s="413"/>
      <c r="K36" s="413"/>
      <c r="L36" s="413"/>
      <c r="M36" s="14"/>
      <c r="N36" s="56" t="s">
        <v>87</v>
      </c>
      <c r="O36" s="71" t="s">
        <v>498</v>
      </c>
      <c r="P36" s="71" t="s">
        <v>51</v>
      </c>
      <c r="Q36" s="72" t="s">
        <v>88</v>
      </c>
      <c r="R36" s="56" t="s">
        <v>89</v>
      </c>
      <c r="S36" s="171" t="s">
        <v>90</v>
      </c>
      <c r="T36" s="413"/>
      <c r="U36" s="413"/>
      <c r="V36" s="413"/>
    </row>
    <row r="37" spans="1:22" s="17" customFormat="1" ht="23.25" customHeight="1" x14ac:dyDescent="0.35">
      <c r="A37" s="25"/>
      <c r="B37" s="419" t="s">
        <v>91</v>
      </c>
      <c r="C37" s="479" t="str">
        <f>INDEX('Health Data'!$D:$D, MATCH($B37, 'Health Data'!$F:$F, 0)) &amp; "; "  &amp; INDEX('Health Data'!$E:$E, MATCH($B37, 'Health Data'!$F:$F, 0))</f>
        <v>Increased leukemia incidence; Sathiakumar, 2021</v>
      </c>
      <c r="D37" s="485">
        <f>INDEX('Health Data'!$K:$K,MATCH(B37,'Health Data'!$F:$F,0))</f>
        <v>6.1999999999999998E-3</v>
      </c>
      <c r="E37" s="436" t="s">
        <v>66</v>
      </c>
      <c r="F37" s="70" t="s">
        <v>92</v>
      </c>
      <c r="G37" s="172">
        <f>IFERROR(J10*D37, "")</f>
        <v>5.6504858915817822E-6</v>
      </c>
      <c r="H37" s="173">
        <f>IFERROR(J11*D37, "")</f>
        <v>0</v>
      </c>
      <c r="I37" s="26"/>
      <c r="J37" s="51"/>
      <c r="K37" s="26"/>
      <c r="L37" s="26"/>
      <c r="M37" s="419" t="s">
        <v>91</v>
      </c>
      <c r="N37" s="479" t="str">
        <f>INDEX('Health Data'!$D:$D, MATCH($B37, 'Health Data'!$F:$F, 0)) &amp; "; "  &amp; INDEX('Health Data'!$E:$E, MATCH($B37, 'Health Data'!$F:$F, 0))</f>
        <v>Increased leukemia incidence; Sathiakumar, 2021</v>
      </c>
      <c r="O37" s="485">
        <f>INDEX('Health Data'!$K:$K,MATCH(M37,'Health Data'!$F:$F,0))</f>
        <v>6.1999999999999998E-3</v>
      </c>
      <c r="P37" s="436" t="s">
        <v>66</v>
      </c>
      <c r="Q37" s="70" t="s">
        <v>92</v>
      </c>
      <c r="R37" s="172">
        <f>IFERROR(U10*O37, "")</f>
        <v>8.4757288373726745E-6</v>
      </c>
      <c r="S37" s="173">
        <f>IFERROR(U11*O37, "")</f>
        <v>0</v>
      </c>
      <c r="T37" s="26"/>
      <c r="U37" s="51"/>
      <c r="V37" s="26"/>
    </row>
    <row r="38" spans="1:22" s="17" customFormat="1" ht="24" customHeight="1" thickBot="1" x14ac:dyDescent="0.4">
      <c r="B38" s="419"/>
      <c r="C38" s="480"/>
      <c r="D38" s="486"/>
      <c r="E38" s="55" t="s">
        <v>69</v>
      </c>
      <c r="F38" s="260" t="s">
        <v>92</v>
      </c>
      <c r="G38" s="174">
        <f>IFERROR(J12*D37, "")</f>
        <v>5.3557663037115092E-7</v>
      </c>
      <c r="H38" s="175">
        <f>IFERROR(J13*D37, "")</f>
        <v>0</v>
      </c>
      <c r="I38" s="26"/>
      <c r="J38" s="131"/>
      <c r="K38" s="26"/>
      <c r="L38" s="26"/>
      <c r="M38" s="419"/>
      <c r="N38" s="480"/>
      <c r="O38" s="486"/>
      <c r="P38" s="55" t="s">
        <v>69</v>
      </c>
      <c r="Q38" s="260" t="s">
        <v>92</v>
      </c>
      <c r="R38" s="174">
        <f>IFERROR(U12*O37, "")</f>
        <v>8.0336494555672649E-7</v>
      </c>
      <c r="S38" s="175">
        <f>IFERROR(U13*O37, "")</f>
        <v>0</v>
      </c>
      <c r="T38" s="26"/>
      <c r="U38" s="131"/>
      <c r="V38" s="26"/>
    </row>
    <row r="39" spans="1:22" s="17" customFormat="1" x14ac:dyDescent="0.35">
      <c r="B39" s="419"/>
      <c r="C39" s="20"/>
      <c r="D39" s="86"/>
      <c r="E39" s="86"/>
      <c r="F39" s="134"/>
      <c r="G39" s="131"/>
      <c r="H39" s="26"/>
      <c r="I39" s="131"/>
      <c r="J39" s="26"/>
      <c r="K39" s="26"/>
      <c r="L39" s="26"/>
      <c r="N39" s="20"/>
      <c r="O39" s="86"/>
      <c r="P39" s="85"/>
      <c r="Q39" s="134"/>
      <c r="R39" s="14"/>
      <c r="S39" s="14"/>
      <c r="T39" s="15"/>
    </row>
    <row r="40" spans="1:22" s="17" customFormat="1" x14ac:dyDescent="0.35">
      <c r="B40" s="419"/>
      <c r="C40" s="20"/>
      <c r="D40" s="86"/>
      <c r="E40" s="86"/>
      <c r="F40" s="134"/>
      <c r="G40" s="131"/>
      <c r="H40" s="26"/>
      <c r="I40" s="131"/>
      <c r="J40" s="26"/>
      <c r="K40" s="26"/>
      <c r="L40" s="26"/>
      <c r="N40" s="20"/>
      <c r="O40" s="86"/>
      <c r="P40" s="85"/>
      <c r="Q40" s="134"/>
      <c r="R40" s="14"/>
      <c r="S40" s="14"/>
      <c r="T40" s="15"/>
    </row>
    <row r="41" spans="1:22" s="25" customFormat="1" x14ac:dyDescent="0.35">
      <c r="A41" s="17"/>
      <c r="B41" s="21"/>
      <c r="C41" s="15"/>
      <c r="D41" s="14"/>
      <c r="E41" s="15"/>
      <c r="F41" s="15"/>
      <c r="G41" s="15"/>
      <c r="H41" s="15"/>
      <c r="I41" s="15"/>
      <c r="J41" s="15"/>
      <c r="K41" s="15"/>
      <c r="L41" s="15"/>
      <c r="M41" s="17"/>
      <c r="N41" s="15"/>
      <c r="O41" s="15"/>
      <c r="P41" s="15"/>
      <c r="Q41" s="15"/>
      <c r="R41" s="15"/>
      <c r="S41" s="17"/>
    </row>
    <row r="42" spans="1:22" s="25" customFormat="1" x14ac:dyDescent="0.35">
      <c r="B42" s="14"/>
      <c r="C42" s="15"/>
      <c r="D42" s="14"/>
      <c r="E42" s="15"/>
      <c r="F42" s="15"/>
      <c r="G42" s="15"/>
      <c r="H42" s="15"/>
      <c r="I42" s="15"/>
      <c r="J42" s="15"/>
      <c r="K42" s="15"/>
      <c r="L42" s="15"/>
      <c r="M42" s="17"/>
      <c r="N42" s="15"/>
      <c r="O42" s="15"/>
      <c r="P42" s="15"/>
      <c r="Q42" s="15"/>
      <c r="R42" s="17"/>
    </row>
    <row r="43" spans="1:22" s="17" customFormat="1" x14ac:dyDescent="0.35">
      <c r="A43" s="25"/>
      <c r="B43" s="14"/>
      <c r="C43" s="15"/>
      <c r="D43" s="14"/>
      <c r="E43" s="15"/>
      <c r="F43" s="15"/>
      <c r="G43" s="15"/>
      <c r="H43" s="15"/>
      <c r="I43" s="15"/>
      <c r="J43" s="15"/>
      <c r="K43" s="15"/>
      <c r="L43" s="15"/>
      <c r="N43" s="15"/>
      <c r="O43" s="15"/>
      <c r="P43" s="15"/>
      <c r="Q43" s="15"/>
      <c r="R43" s="15"/>
    </row>
    <row r="44" spans="1:22" s="17" customFormat="1" x14ac:dyDescent="0.35">
      <c r="B44" s="14"/>
      <c r="C44" s="15"/>
      <c r="D44" s="14"/>
      <c r="E44" s="15"/>
      <c r="F44" s="15"/>
      <c r="G44" s="15"/>
      <c r="H44" s="15"/>
      <c r="I44" s="15"/>
      <c r="J44" s="15"/>
      <c r="K44" s="15"/>
      <c r="L44" s="15"/>
      <c r="M44" s="15"/>
      <c r="N44" s="15"/>
      <c r="O44" s="15"/>
      <c r="P44" s="15"/>
      <c r="Q44" s="15"/>
      <c r="R44" s="15"/>
    </row>
    <row r="45" spans="1:22" x14ac:dyDescent="0.35">
      <c r="A45" s="17"/>
    </row>
    <row r="51" spans="1:18" x14ac:dyDescent="0.35">
      <c r="H51" s="17"/>
      <c r="I51" s="17"/>
      <c r="J51" s="17"/>
      <c r="K51" s="17"/>
      <c r="L51" s="17"/>
    </row>
    <row r="56" spans="1:18" x14ac:dyDescent="0.35">
      <c r="N56" s="17"/>
      <c r="O56" s="17"/>
      <c r="P56" s="17"/>
      <c r="Q56" s="17"/>
    </row>
    <row r="57" spans="1:18" x14ac:dyDescent="0.35">
      <c r="C57" s="17"/>
      <c r="D57" s="21"/>
      <c r="E57" s="17"/>
      <c r="F57" s="17"/>
      <c r="G57" s="17"/>
    </row>
    <row r="59" spans="1:18" x14ac:dyDescent="0.35">
      <c r="B59" s="21"/>
    </row>
    <row r="60" spans="1:18" x14ac:dyDescent="0.35">
      <c r="B60" s="32"/>
      <c r="R60" s="17"/>
    </row>
    <row r="61" spans="1:18" x14ac:dyDescent="0.35">
      <c r="B61" s="32"/>
      <c r="H61" s="28"/>
      <c r="I61" s="28"/>
      <c r="J61" s="28"/>
      <c r="K61" s="28"/>
      <c r="L61" s="28"/>
      <c r="M61" s="17"/>
    </row>
    <row r="62" spans="1:18" s="17" customFormat="1" x14ac:dyDescent="0.35">
      <c r="A62" s="15"/>
      <c r="B62" s="32"/>
      <c r="C62" s="15"/>
      <c r="D62" s="14"/>
      <c r="E62" s="15"/>
      <c r="F62" s="15"/>
      <c r="G62" s="15"/>
      <c r="H62" s="28"/>
      <c r="I62" s="28"/>
      <c r="J62" s="28"/>
      <c r="K62" s="28"/>
      <c r="L62" s="28"/>
      <c r="M62" s="15"/>
      <c r="N62" s="15"/>
      <c r="O62" s="15"/>
      <c r="P62" s="15"/>
      <c r="Q62" s="15"/>
      <c r="R62" s="15"/>
    </row>
    <row r="63" spans="1:18" x14ac:dyDescent="0.35">
      <c r="A63" s="17"/>
      <c r="B63" s="32"/>
      <c r="H63" s="27"/>
      <c r="I63" s="27"/>
      <c r="J63" s="27"/>
      <c r="K63" s="27"/>
      <c r="L63" s="27"/>
    </row>
    <row r="64" spans="1:18" x14ac:dyDescent="0.35">
      <c r="B64" s="32"/>
      <c r="H64" s="27"/>
      <c r="I64" s="27"/>
      <c r="J64" s="27"/>
      <c r="K64" s="27"/>
      <c r="L64" s="27"/>
    </row>
    <row r="65" spans="2:17" x14ac:dyDescent="0.35">
      <c r="B65" s="32"/>
    </row>
    <row r="66" spans="2:17" x14ac:dyDescent="0.35">
      <c r="B66" s="32"/>
      <c r="C66" s="31"/>
      <c r="D66" s="32"/>
      <c r="E66" s="31"/>
      <c r="N66" s="27"/>
      <c r="O66" s="27"/>
      <c r="P66" s="27"/>
      <c r="Q66" s="27"/>
    </row>
    <row r="69" spans="2:17" x14ac:dyDescent="0.35">
      <c r="C69" s="75" t="s">
        <v>93</v>
      </c>
      <c r="D69" s="75" t="s">
        <v>94</v>
      </c>
      <c r="N69" s="14"/>
      <c r="O69" s="14"/>
    </row>
    <row r="70" spans="2:17" x14ac:dyDescent="0.35">
      <c r="C70" s="76" t="s">
        <v>95</v>
      </c>
      <c r="D70" s="74">
        <f>H38</f>
        <v>0</v>
      </c>
      <c r="E70" s="15">
        <f>K38</f>
        <v>0</v>
      </c>
      <c r="O70" s="381"/>
    </row>
    <row r="71" spans="2:17" x14ac:dyDescent="0.35">
      <c r="C71" s="76" t="s">
        <v>96</v>
      </c>
      <c r="D71" s="74">
        <f>H37</f>
        <v>0</v>
      </c>
      <c r="E71" s="15">
        <f>K37</f>
        <v>0</v>
      </c>
      <c r="O71" s="381"/>
    </row>
    <row r="72" spans="2:17" x14ac:dyDescent="0.35">
      <c r="C72" s="76" t="s">
        <v>97</v>
      </c>
      <c r="D72" s="74">
        <f>G38</f>
        <v>5.3557663037115092E-7</v>
      </c>
      <c r="E72" s="15">
        <f>J38</f>
        <v>0</v>
      </c>
      <c r="O72" s="381"/>
    </row>
    <row r="73" spans="2:17" x14ac:dyDescent="0.35">
      <c r="C73" s="76" t="s">
        <v>98</v>
      </c>
      <c r="D73" s="74">
        <f>G37</f>
        <v>5.6504858915817822E-6</v>
      </c>
      <c r="E73" s="15">
        <f>J37</f>
        <v>0</v>
      </c>
      <c r="O73" s="381"/>
    </row>
  </sheetData>
  <sheetProtection sheet="1" objects="1" scenarios="1" formatCells="0" formatColumns="0" formatRows="0"/>
  <dataConsolidate link="1"/>
  <mergeCells count="76">
    <mergeCell ref="Q28:Q29"/>
    <mergeCell ref="N28:N29"/>
    <mergeCell ref="O28:O29"/>
    <mergeCell ref="P16:P17"/>
    <mergeCell ref="Q16:Q17"/>
    <mergeCell ref="N18:N19"/>
    <mergeCell ref="O18:O19"/>
    <mergeCell ref="N16:N17"/>
    <mergeCell ref="O16:O17"/>
    <mergeCell ref="N22:N23"/>
    <mergeCell ref="O22:O23"/>
    <mergeCell ref="P22:P23"/>
    <mergeCell ref="Q22:Q23"/>
    <mergeCell ref="N24:N25"/>
    <mergeCell ref="O24:O25"/>
    <mergeCell ref="C8:C9"/>
    <mergeCell ref="E8:E9"/>
    <mergeCell ref="E10:E11"/>
    <mergeCell ref="E12:E13"/>
    <mergeCell ref="B30:B31"/>
    <mergeCell ref="C30:C31"/>
    <mergeCell ref="D30:D31"/>
    <mergeCell ref="D16:D17"/>
    <mergeCell ref="B18:B19"/>
    <mergeCell ref="B24:B25"/>
    <mergeCell ref="D8:D9"/>
    <mergeCell ref="E16:E17"/>
    <mergeCell ref="C37:C38"/>
    <mergeCell ref="N37:N38"/>
    <mergeCell ref="M30:M31"/>
    <mergeCell ref="J35:K35"/>
    <mergeCell ref="O30:O31"/>
    <mergeCell ref="G35:H35"/>
    <mergeCell ref="G28:H28"/>
    <mergeCell ref="G22:H22"/>
    <mergeCell ref="D37:D38"/>
    <mergeCell ref="N30:N31"/>
    <mergeCell ref="O37:O38"/>
    <mergeCell ref="D22:D23"/>
    <mergeCell ref="E22:E23"/>
    <mergeCell ref="F22:F23"/>
    <mergeCell ref="D24:D25"/>
    <mergeCell ref="J22:K22"/>
    <mergeCell ref="F16:F17"/>
    <mergeCell ref="C16:C17"/>
    <mergeCell ref="E28:E29"/>
    <mergeCell ref="C18:C19"/>
    <mergeCell ref="D28:D29"/>
    <mergeCell ref="C28:C29"/>
    <mergeCell ref="D18:D19"/>
    <mergeCell ref="C22:C23"/>
    <mergeCell ref="C24:C25"/>
    <mergeCell ref="N2:O2"/>
    <mergeCell ref="F28:F29"/>
    <mergeCell ref="N4:O4"/>
    <mergeCell ref="P8:P9"/>
    <mergeCell ref="O8:O9"/>
    <mergeCell ref="J28:K28"/>
    <mergeCell ref="F5:G5"/>
    <mergeCell ref="J16:K16"/>
    <mergeCell ref="N3:O3"/>
    <mergeCell ref="N8:N9"/>
    <mergeCell ref="P10:P11"/>
    <mergeCell ref="P12:P13"/>
    <mergeCell ref="M18:M19"/>
    <mergeCell ref="M24:M25"/>
    <mergeCell ref="P28:P29"/>
    <mergeCell ref="G16:H16"/>
    <mergeCell ref="R35:S35"/>
    <mergeCell ref="U35:V35"/>
    <mergeCell ref="U28:V28"/>
    <mergeCell ref="U22:V22"/>
    <mergeCell ref="U16:V16"/>
    <mergeCell ref="R16:S16"/>
    <mergeCell ref="R22:S22"/>
    <mergeCell ref="R28:S28"/>
  </mergeCells>
  <conditionalFormatting sqref="C20">
    <cfRule type="cellIs" dxfId="159" priority="351" operator="lessThan">
      <formula>$F18</formula>
    </cfRule>
  </conditionalFormatting>
  <conditionalFormatting sqref="F10:J13">
    <cfRule type="cellIs" dxfId="158" priority="70" operator="greaterThanOrEqual">
      <formula>1</formula>
    </cfRule>
    <cfRule type="cellIs" dxfId="157" priority="68" operator="lessThan">
      <formula>0.01</formula>
    </cfRule>
    <cfRule type="expression" dxfId="156" priority="67">
      <formula>"&gt;=10000"</formula>
    </cfRule>
    <cfRule type="containsBlanks" dxfId="155" priority="54" stopIfTrue="1">
      <formula>LEN(TRIM(F10))=0</formula>
    </cfRule>
    <cfRule type="cellIs" dxfId="154" priority="63" operator="lessThan">
      <formula>0.1</formula>
    </cfRule>
    <cfRule type="cellIs" dxfId="153" priority="66" operator="between">
      <formula>10</formula>
      <formula>9999.999</formula>
    </cfRule>
    <cfRule type="cellIs" dxfId="152" priority="64" operator="between">
      <formula>0.1</formula>
      <formula>0.999</formula>
    </cfRule>
    <cfRule type="cellIs" dxfId="151" priority="65" operator="between">
      <formula>1</formula>
      <formula>9.999</formula>
    </cfRule>
    <cfRule type="cellIs" dxfId="150" priority="35" operator="equal">
      <formula>0</formula>
    </cfRule>
    <cfRule type="cellIs" dxfId="149" priority="69" operator="between">
      <formula>0.01</formula>
      <formula>1</formula>
    </cfRule>
  </conditionalFormatting>
  <conditionalFormatting sqref="G24:H25">
    <cfRule type="containsBlanks" dxfId="148" priority="5" stopIfTrue="1">
      <formula>LEN(TRIM(G24))=0</formula>
    </cfRule>
    <cfRule type="cellIs" dxfId="147" priority="6" operator="lessThanOrEqual">
      <formula>0.01</formula>
    </cfRule>
  </conditionalFormatting>
  <conditionalFormatting sqref="G30:H31">
    <cfRule type="containsBlanks" dxfId="146" priority="1" stopIfTrue="1">
      <formula>LEN(TRIM(G30))=0</formula>
    </cfRule>
    <cfRule type="cellIs" dxfId="145" priority="2" operator="lessThanOrEqual">
      <formula>0.01</formula>
    </cfRule>
    <cfRule type="containsBlanks" dxfId="144" priority="4" stopIfTrue="1">
      <formula>LEN(TRIM(G30))=0</formula>
    </cfRule>
  </conditionalFormatting>
  <conditionalFormatting sqref="G24:K25">
    <cfRule type="cellIs" dxfId="143" priority="126" operator="lessThanOrEqual">
      <formula>0.01</formula>
    </cfRule>
    <cfRule type="containsBlanks" dxfId="142" priority="128" stopIfTrue="1">
      <formula>LEN(TRIM(G24))=0</formula>
    </cfRule>
  </conditionalFormatting>
  <conditionalFormatting sqref="G37:K38 R37:V38">
    <cfRule type="cellIs" dxfId="141" priority="347" operator="greaterThan">
      <formula>0.0001</formula>
    </cfRule>
    <cfRule type="cellIs" dxfId="140" priority="349" operator="between">
      <formula>0.000001</formula>
      <formula>0.0001</formula>
    </cfRule>
  </conditionalFormatting>
  <conditionalFormatting sqref="G37:K38">
    <cfRule type="cellIs" dxfId="139" priority="136" operator="equal">
      <formula>0</formula>
    </cfRule>
  </conditionalFormatting>
  <conditionalFormatting sqref="J18:K18 I19:K19 G30:K31 G24:K25">
    <cfRule type="cellIs" dxfId="138" priority="142" operator="lessThan">
      <formula>$F18</formula>
    </cfRule>
  </conditionalFormatting>
  <conditionalFormatting sqref="J18:K18 U18:V18 I19:K19 T19:V19 C20 N20 G24:K25 R24:V25 G30:K31 R30:S31 G37:K38 R37:V38">
    <cfRule type="cellIs" dxfId="137" priority="72" operator="between">
      <formula>1</formula>
      <formula>9.999</formula>
    </cfRule>
    <cfRule type="cellIs" dxfId="136" priority="74" operator="between">
      <formula>10</formula>
      <formula>9999.999</formula>
    </cfRule>
  </conditionalFormatting>
  <conditionalFormatting sqref="N20">
    <cfRule type="cellIs" dxfId="135" priority="109" operator="lessThan">
      <formula>$F18</formula>
    </cfRule>
  </conditionalFormatting>
  <conditionalFormatting sqref="Q10:U13">
    <cfRule type="containsBlanks" dxfId="134" priority="16" stopIfTrue="1">
      <formula>LEN(TRIM(Q10))=0</formula>
    </cfRule>
    <cfRule type="cellIs" dxfId="133" priority="18" operator="between">
      <formula>0.1</formula>
      <formula>0.999</formula>
    </cfRule>
    <cfRule type="cellIs" dxfId="132" priority="19" operator="between">
      <formula>1</formula>
      <formula>9.999</formula>
    </cfRule>
    <cfRule type="cellIs" dxfId="131" priority="20" operator="between">
      <formula>10</formula>
      <formula>9999.999</formula>
    </cfRule>
    <cfRule type="expression" dxfId="130" priority="21">
      <formula>"&gt;=10000"</formula>
    </cfRule>
    <cfRule type="cellIs" dxfId="129" priority="22" operator="lessThan">
      <formula>0.01</formula>
    </cfRule>
    <cfRule type="cellIs" dxfId="128" priority="23" operator="between">
      <formula>0.01</formula>
      <formula>1</formula>
    </cfRule>
    <cfRule type="cellIs" dxfId="127" priority="17" operator="lessThan">
      <formula>0.1</formula>
    </cfRule>
    <cfRule type="cellIs" dxfId="126" priority="15" operator="equal">
      <formula>0</formula>
    </cfRule>
    <cfRule type="cellIs" dxfId="125" priority="24" operator="greaterThanOrEqual">
      <formula>1</formula>
    </cfRule>
  </conditionalFormatting>
  <conditionalFormatting sqref="R24:S25">
    <cfRule type="cellIs" dxfId="124" priority="11" operator="lessThanOrEqual">
      <formula>0.01</formula>
    </cfRule>
    <cfRule type="containsBlanks" dxfId="123" priority="10" stopIfTrue="1">
      <formula>LEN(TRIM(R24))=0</formula>
    </cfRule>
    <cfRule type="cellIs" dxfId="122" priority="103" operator="lessThan">
      <formula>$F24</formula>
    </cfRule>
  </conditionalFormatting>
  <conditionalFormatting sqref="R24:V25 G24:K25 G30:K31 J18:K18 U18:V18 I19:K19 T19:V19 C20 N20 R30:S31 G37:K38 R37:V38">
    <cfRule type="cellIs" dxfId="121" priority="71" operator="between">
      <formula>0.1</formula>
      <formula>0.999</formula>
    </cfRule>
    <cfRule type="cellIs" dxfId="120" priority="75" operator="greaterThanOrEqual">
      <formula>10000</formula>
    </cfRule>
    <cfRule type="cellIs" dxfId="119" priority="12" operator="lessThan">
      <formula>0.1</formula>
    </cfRule>
  </conditionalFormatting>
  <conditionalFormatting sqref="R24:V25 N20 U18:V18 T19:V19 R30:S31 R37:V38 J18:K18 I19:K19 C20 G30:K31 G37:K38">
    <cfRule type="containsBlanks" dxfId="118" priority="133" stopIfTrue="1">
      <formula>LEN(TRIM(C18))=0</formula>
    </cfRule>
  </conditionalFormatting>
  <conditionalFormatting sqref="R24:V25">
    <cfRule type="cellIs" dxfId="117" priority="110" operator="greaterThan">
      <formula>0.01</formula>
    </cfRule>
  </conditionalFormatting>
  <conditionalFormatting sqref="R37:V38">
    <cfRule type="cellIs" dxfId="116" priority="107" operator="equal">
      <formula>0</formula>
    </cfRule>
  </conditionalFormatting>
  <conditionalFormatting sqref="U18:V18 T19:V19 R30:S31">
    <cfRule type="cellIs" dxfId="115" priority="108" operator="lessThan">
      <formula>$F18</formula>
    </cfRule>
  </conditionalFormatting>
  <dataValidations count="1">
    <dataValidation allowBlank="1" showErrorMessage="1" sqref="C8:D8 C12:C13 F8:F9 G8 N8:O8 N12:N13 Q8:Q9 R8" xr:uid="{00000000-0002-0000-0200-000005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0688B23-6125-49FA-9B9F-BE3A00B4E2DD}">
          <x14:formula1>
            <xm:f>'List Values'!$E$17:$E$21</xm:f>
          </x14:formula1>
          <xm:sqref>G4</xm:sqref>
        </x14:dataValidation>
        <x14:dataValidation type="list" allowBlank="1" showInputMessage="1" showErrorMessage="1" xr:uid="{E5526D17-97EC-4AA5-A666-8D2A0F9CF0D6}">
          <x14:formula1>
            <xm:f>'List Values'!#REF!</xm:f>
          </x14:formula1>
          <xm:sqref>H4</xm:sqref>
        </x14:dataValidation>
        <x14:dataValidation type="list" allowBlank="1" showInputMessage="1" showErrorMessage="1" xr:uid="{7A257FB3-03C7-4DEF-9441-F0399894DF14}">
          <x14:formula1>
            <xm:f>'List Values'!$B$2:$B$57</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E7FE-9D99-4B66-A2F9-D57F9F4A70CF}">
  <sheetPr>
    <tabColor rgb="FF92D050"/>
  </sheetPr>
  <dimension ref="A2:AB508"/>
  <sheetViews>
    <sheetView topLeftCell="A438" workbookViewId="0">
      <selection activeCell="E441" sqref="E441:E456"/>
    </sheetView>
  </sheetViews>
  <sheetFormatPr defaultColWidth="9.26953125" defaultRowHeight="14.5" x14ac:dyDescent="0.35"/>
  <cols>
    <col min="1" max="1" width="2.7265625" style="2" customWidth="1"/>
    <col min="2" max="2" width="7.453125" style="195" customWidth="1"/>
    <col min="3" max="3" width="11.26953125" style="195" customWidth="1"/>
    <col min="4" max="4" width="10" style="195" customWidth="1"/>
    <col min="5" max="5" width="15.26953125" style="2" customWidth="1"/>
    <col min="6" max="6" width="19.26953125" style="2" customWidth="1"/>
    <col min="7" max="7" width="17.26953125" style="2" customWidth="1"/>
    <col min="8" max="8" width="17.81640625" style="2" customWidth="1"/>
    <col min="9" max="10" width="11.26953125" style="2" customWidth="1"/>
    <col min="11" max="12" width="12.453125" style="2" customWidth="1"/>
    <col min="13" max="13" width="15.26953125" style="2" customWidth="1"/>
    <col min="14" max="14" width="11.26953125" style="2" customWidth="1"/>
    <col min="15" max="16" width="12.54296875" style="2" hidden="1" customWidth="1"/>
    <col min="17" max="17" width="14.1796875" style="2" hidden="1" customWidth="1"/>
    <col min="18" max="18" width="12.7265625" style="2" hidden="1" customWidth="1"/>
    <col min="19" max="19" width="9.26953125" style="2" bestFit="1" customWidth="1"/>
    <col min="20" max="21" width="16.54296875" style="2" hidden="1" customWidth="1"/>
    <col min="22" max="22" width="19.453125" style="2" hidden="1" customWidth="1"/>
    <col min="23" max="23" width="21" style="2" hidden="1" customWidth="1"/>
    <col min="24" max="24" width="9.26953125" style="2" hidden="1" customWidth="1"/>
    <col min="25" max="25" width="10.81640625" style="2" customWidth="1"/>
    <col min="26" max="27" width="14.26953125" style="2" customWidth="1"/>
    <col min="28" max="28" width="12.7265625" style="2" customWidth="1"/>
    <col min="29" max="16384" width="9.26953125" style="2"/>
  </cols>
  <sheetData>
    <row r="2" spans="1:28" x14ac:dyDescent="0.35">
      <c r="B2" s="194" t="s">
        <v>99</v>
      </c>
    </row>
    <row r="3" spans="1:28" ht="15" thickBot="1" x14ac:dyDescent="0.4">
      <c r="B3" s="194"/>
    </row>
    <row r="4" spans="1:28" ht="15" thickBot="1" x14ac:dyDescent="0.4">
      <c r="K4" s="517" t="s">
        <v>100</v>
      </c>
      <c r="L4" s="518"/>
      <c r="M4" s="518"/>
      <c r="N4" s="518"/>
      <c r="O4" s="518"/>
      <c r="P4" s="518"/>
      <c r="Q4" s="518"/>
      <c r="R4" s="519"/>
    </row>
    <row r="5" spans="1:28" ht="29.5" thickBot="1" x14ac:dyDescent="0.4">
      <c r="J5" s="39" t="s">
        <v>101</v>
      </c>
      <c r="K5" s="397">
        <f>'Health Data'!H7</f>
        <v>0</v>
      </c>
      <c r="L5" s="397">
        <f>'Health Data'!H8</f>
        <v>30</v>
      </c>
      <c r="M5" s="397">
        <f>'Health Data'!H9</f>
        <v>30</v>
      </c>
      <c r="N5" s="398">
        <f>'Health Data'!Q10</f>
        <v>1E-4</v>
      </c>
      <c r="O5" s="399"/>
      <c r="P5" s="399"/>
      <c r="Q5" s="399"/>
      <c r="R5" s="400"/>
    </row>
    <row r="6" spans="1:28" ht="15.5" thickBot="1" x14ac:dyDescent="0.4">
      <c r="E6" s="196"/>
      <c r="L6" s="303" t="s">
        <v>78</v>
      </c>
      <c r="W6" s="197" t="s">
        <v>102</v>
      </c>
      <c r="X6" s="262"/>
    </row>
    <row r="7" spans="1:28" ht="15" thickBot="1" x14ac:dyDescent="0.4">
      <c r="B7" s="520" t="s">
        <v>103</v>
      </c>
      <c r="C7" s="520" t="s">
        <v>104</v>
      </c>
      <c r="D7" s="520" t="s">
        <v>105</v>
      </c>
      <c r="E7" s="522" t="s">
        <v>106</v>
      </c>
      <c r="F7" s="524" t="s">
        <v>107</v>
      </c>
      <c r="G7" s="524" t="s">
        <v>108</v>
      </c>
      <c r="H7" s="524" t="s">
        <v>104</v>
      </c>
      <c r="I7" s="524" t="s">
        <v>109</v>
      </c>
      <c r="J7" s="524" t="s">
        <v>51</v>
      </c>
      <c r="K7" s="526" t="s">
        <v>110</v>
      </c>
      <c r="L7" s="527"/>
      <c r="M7" s="527"/>
      <c r="N7" s="528"/>
      <c r="O7" s="526" t="s">
        <v>111</v>
      </c>
      <c r="P7" s="527"/>
      <c r="Q7" s="527"/>
      <c r="R7" s="528"/>
      <c r="T7" s="529" t="s">
        <v>112</v>
      </c>
      <c r="U7" s="530"/>
      <c r="V7" s="530"/>
      <c r="W7" s="531"/>
    </row>
    <row r="8" spans="1:28" ht="63" thickBot="1" x14ac:dyDescent="0.4">
      <c r="A8" s="198"/>
      <c r="B8" s="521"/>
      <c r="C8" s="521"/>
      <c r="D8" s="521"/>
      <c r="E8" s="523"/>
      <c r="F8" s="525"/>
      <c r="G8" s="525"/>
      <c r="H8" s="525"/>
      <c r="I8" s="525"/>
      <c r="J8" s="525"/>
      <c r="K8" s="199" t="str">
        <f>"Acute Non-cancer (bench­mark MOE = " &amp; K5 &amp; " (inhalation)"</f>
        <v>Acute Non-cancer (bench­mark MOE = 0 (inhalation)</v>
      </c>
      <c r="L8" s="199" t="str">
        <f xml:space="preserve"> "Intermediate Non-cancer (bench­mark MOE = " &amp; L5 &amp; " (inhalation)"</f>
        <v>Intermediate Non-cancer (bench­mark MOE = 30 (inhalation)</v>
      </c>
      <c r="M8" s="199" t="str">
        <f xml:space="preserve"> "Chronic Non-cancer (bench­mark MOE = " &amp; M5 &amp; " (inhalation)"</f>
        <v>Chronic Non-cancer (bench­mark MOE = 30 (inhalation)</v>
      </c>
      <c r="N8" s="199" t="s">
        <v>113</v>
      </c>
      <c r="O8" s="199" t="e">
        <f>"Acute Non-cancer (bench­mark MOE = " &amp;#REF! &amp; ")"</f>
        <v>#REF!</v>
      </c>
      <c r="P8" s="199" t="e">
        <f xml:space="preserve"> "Intermediate Non-cancer (bench­mark MOE =" &amp;#REF! &amp; ")"</f>
        <v>#REF!</v>
      </c>
      <c r="Q8" s="199" t="e">
        <f xml:space="preserve"> "Chronic Non-cancer (bench­mark MOE =" &amp;#REF! &amp; ")"</f>
        <v>#REF!</v>
      </c>
      <c r="R8" s="199" t="s">
        <v>113</v>
      </c>
      <c r="T8" s="431" t="s">
        <v>114</v>
      </c>
      <c r="U8" s="199" t="s">
        <v>115</v>
      </c>
      <c r="V8" s="199" t="s">
        <v>116</v>
      </c>
      <c r="W8" s="199" t="s">
        <v>117</v>
      </c>
      <c r="Z8" s="200" t="s">
        <v>118</v>
      </c>
      <c r="AA8" s="201" t="s">
        <v>119</v>
      </c>
      <c r="AB8" s="202" t="s">
        <v>120</v>
      </c>
    </row>
    <row r="9" spans="1:28" ht="15.75" customHeight="1" thickBot="1" x14ac:dyDescent="0.4">
      <c r="B9" s="203" t="s">
        <v>121</v>
      </c>
      <c r="C9" s="204" t="s">
        <v>64</v>
      </c>
      <c r="D9" s="204" t="s">
        <v>122</v>
      </c>
      <c r="E9" s="508" t="s">
        <v>123</v>
      </c>
      <c r="F9" s="508" t="s">
        <v>124</v>
      </c>
      <c r="G9" s="509" t="s">
        <v>125</v>
      </c>
      <c r="H9" s="506" t="s">
        <v>126</v>
      </c>
      <c r="I9" s="506" t="s">
        <v>101</v>
      </c>
      <c r="J9" s="510" t="s">
        <v>69</v>
      </c>
      <c r="K9" s="493" t="str">
        <f>IFERROR(VLOOKUP($D9,$Y$9:$AB$10,2,FALSE)/IF($D9="Inhalation",IF($J9="Central Tendency",SUMIFS(#REF!,#REF!,$B9,#REF!,$C9),SUMIFS(#REF!,#REF!,$B9,#REF!,$C9))),"--")</f>
        <v>--</v>
      </c>
      <c r="L9" s="491">
        <f>IFERROR(VLOOKUP($D9,$Y$9:$AB$9,2,FALSE)/IF($D9="Inhalation",IF($J9="Central Tendency",SUMIFS('Inhalation Exposure'!$O$5:$O$164,'Inhalation Exposure'!$B$5:$B$164,$B9,'Inhalation Exposure'!$D$5:$D$164,$C9),SUMIFS('Inhalation Exposure'!$N$5:$N$164,'Inhalation Exposure'!$B$5:$B$164,$B9,'Inhalation Exposure'!$D$5:$D$164,$C9))),"--")</f>
        <v>200.45454545454544</v>
      </c>
      <c r="M9" s="491">
        <f>IFERROR(VLOOKUP($D9,$Y$9:$AB$9,3,FALSE)/IF($D9="Inhalation",IF($J9="Central Tendency",SUMIFS('Inhalation Exposure'!$Q$5:$Q$164,'Inhalation Exposure'!$B$5:$B$164,$B9,'Inhalation Exposure'!$D$5:$D$164,$C9),SUMIFS('Inhalation Exposure'!$P$5:$P$164,'Inhalation Exposure'!$B$5:$B$164,$B9,'Inhalation Exposure'!$D$5:$D$164,$C9))),"--")</f>
        <v>206.36538461538461</v>
      </c>
      <c r="N9" s="491">
        <f>IFERROR(VLOOKUP($D9,$Y$9:$AB$9,4,FALSE)*IF($D9="Inhalation",IF($J9="Central Tendency",SUMIFS('Inhalation Exposure'!$S$5:$S$164,'Inhalation Exposure'!$B$5:$B$164,$B9,'Inhalation Exposure'!$D$5:$D$164,$C9),SUMIFS('Inhalation Exposure'!$R$5:$R$164,'Inhalation Exposure'!$B$5:$B$164,$B9,'Inhalation Exposure'!$D$5:$D$164,$C9))),"--")</f>
        <v>1.4627092846270928E-5</v>
      </c>
      <c r="O9" s="205" t="str">
        <f>IFERROR(K9*T9, "--")</f>
        <v>--</v>
      </c>
      <c r="P9" s="205">
        <f>IFERROR(L9*U9, "--")</f>
        <v>2004.5454545454545</v>
      </c>
      <c r="Q9" s="205">
        <f>IFERROR(M9*V9, "--")</f>
        <v>2063.6538461538462</v>
      </c>
      <c r="R9" s="206">
        <f>IFERROR(N9/W9, "--")</f>
        <v>1.4627092846270928E-6</v>
      </c>
      <c r="T9" s="207">
        <v>10</v>
      </c>
      <c r="U9" s="208">
        <v>10</v>
      </c>
      <c r="V9" s="208">
        <v>10</v>
      </c>
      <c r="W9" s="209">
        <v>10</v>
      </c>
      <c r="Y9" s="375" t="s">
        <v>122</v>
      </c>
      <c r="Z9" s="295">
        <f>'Health Data'!G8</f>
        <v>2.5</v>
      </c>
      <c r="AA9" s="210">
        <f>'Health Data'!G9</f>
        <v>2.5</v>
      </c>
      <c r="AB9" s="390">
        <f>'Health Data'!K10</f>
        <v>6.1999999999999998E-3</v>
      </c>
    </row>
    <row r="10" spans="1:28" ht="15" thickBot="1" x14ac:dyDescent="0.4">
      <c r="B10" s="203" t="s">
        <v>121</v>
      </c>
      <c r="C10" s="204" t="s">
        <v>64</v>
      </c>
      <c r="D10" s="204" t="s">
        <v>122</v>
      </c>
      <c r="E10" s="498"/>
      <c r="F10" s="498"/>
      <c r="G10" s="500"/>
      <c r="H10" s="502"/>
      <c r="I10" s="502"/>
      <c r="J10" s="513"/>
      <c r="K10" s="495"/>
      <c r="L10" s="492"/>
      <c r="M10" s="492"/>
      <c r="N10" s="492"/>
      <c r="O10" s="429" t="str">
        <f>CONCATENATE("(APF ",T9,")")</f>
        <v>(APF 10)</v>
      </c>
      <c r="P10" s="429" t="str">
        <f>CONCATENATE("(APF ",U9,")")</f>
        <v>(APF 10)</v>
      </c>
      <c r="Q10" s="429" t="str">
        <f>CONCATENATE("(APF ",V9,")")</f>
        <v>(APF 10)</v>
      </c>
      <c r="R10" s="429" t="str">
        <f>CONCATENATE("(APF ",W9,")")</f>
        <v>(APF 10)</v>
      </c>
      <c r="T10" s="211" t="s">
        <v>127</v>
      </c>
      <c r="U10" s="212" t="s">
        <v>127</v>
      </c>
      <c r="V10" s="212" t="s">
        <v>127</v>
      </c>
      <c r="W10" s="213" t="s">
        <v>127</v>
      </c>
      <c r="Y10" s="300"/>
      <c r="Z10" s="301"/>
      <c r="AA10" s="301"/>
      <c r="AB10" s="302"/>
    </row>
    <row r="11" spans="1:28" ht="15" thickBot="1" x14ac:dyDescent="0.4">
      <c r="B11" s="203" t="s">
        <v>121</v>
      </c>
      <c r="C11" s="204" t="s">
        <v>64</v>
      </c>
      <c r="D11" s="204" t="s">
        <v>122</v>
      </c>
      <c r="E11" s="498"/>
      <c r="F11" s="498"/>
      <c r="G11" s="500"/>
      <c r="H11" s="502"/>
      <c r="I11" s="502"/>
      <c r="J11" s="510" t="s">
        <v>128</v>
      </c>
      <c r="K11" s="493" t="str">
        <f>IFERROR(VLOOKUP($D11,$Y$9:$AB$10,2,FALSE)/IF($D11="Inhalation",IF($J11="Central Tendency",SUMIFS(#REF!,#REF!,$B11,#REF!,$C11),SUMIFS(#REF!,#REF!,$B11,#REF!,$C11))),"--")</f>
        <v>--</v>
      </c>
      <c r="L11" s="491">
        <f>IFERROR(VLOOKUP($D11,$Y$9:$AB$9,2,FALSE)/IF($D11="Inhalation",IF($J11="Central Tendency",SUMIFS('Inhalation Exposure'!$O$5:$O$164,'Inhalation Exposure'!$B$5:$B$164,$B11,'Inhalation Exposure'!$D$5:$D$164,$C11),SUMIFS('Inhalation Exposure'!$N$5:$N$164,'Inhalation Exposure'!$B$5:$B$164,$B11,'Inhalation Exposure'!$D$5:$D$164,$C11))),"--")</f>
        <v>11.161166227981372</v>
      </c>
      <c r="M11" s="491">
        <f>IFERROR(VLOOKUP($D11,$Y$9:$AB$9,3,FALSE)/IF($D11="Inhalation",IF($J11="Central Tendency",SUMIFS('Inhalation Exposure'!$Q$5:$Q$164,'Inhalation Exposure'!$B$5:$B$164,$B11,'Inhalation Exposure'!$D$5:$D$164,$C11),SUMIFS('Inhalation Exposure'!$P$5:$P$164,'Inhalation Exposure'!$B$5:$B$164,$B11,'Inhalation Exposure'!$D$5:$D$164,$C11))),"--")</f>
        <v>11.490277539832105</v>
      </c>
      <c r="N11" s="491">
        <f>IFERROR(VLOOKUP($D11,$Y$9:$AB$9,4,FALSE)*IF($D11="Inhalation",IF($J11="Central Tendency",SUMIFS('Inhalation Exposure'!$S$5:$S$164,'Inhalation Exposure'!$B$5:$B$164,$B11,'Inhalation Exposure'!$D$5:$D$164,$C11),SUMIFS('Inhalation Exposure'!$R$5:$R$164,'Inhalation Exposure'!$B$5:$B$164,$B11,'Inhalation Exposure'!$D$5:$D$164,$C11))),"--")</f>
        <v>3.3897108066971085E-4</v>
      </c>
      <c r="O11" s="205" t="str">
        <f>IFERROR(K11*T11, "--")</f>
        <v>--</v>
      </c>
      <c r="P11" s="205">
        <f>IFERROR(L11*U11, "--")</f>
        <v>111.61166227981371</v>
      </c>
      <c r="Q11" s="205">
        <f>IFERROR(M11*V11, "--")</f>
        <v>114.90277539832105</v>
      </c>
      <c r="R11" s="206">
        <f>IFERROR(N11/W11, "--")</f>
        <v>6.779421613394217E-6</v>
      </c>
      <c r="T11" s="214">
        <v>10</v>
      </c>
      <c r="U11" s="215">
        <v>10</v>
      </c>
      <c r="V11" s="215">
        <v>10</v>
      </c>
      <c r="W11" s="216">
        <v>50</v>
      </c>
      <c r="AB11" s="217"/>
    </row>
    <row r="12" spans="1:28" ht="15" thickBot="1" x14ac:dyDescent="0.4">
      <c r="B12" s="203" t="s">
        <v>121</v>
      </c>
      <c r="C12" s="204" t="s">
        <v>64</v>
      </c>
      <c r="D12" s="204" t="s">
        <v>122</v>
      </c>
      <c r="E12" s="498"/>
      <c r="F12" s="498"/>
      <c r="G12" s="500"/>
      <c r="H12" s="503"/>
      <c r="I12" s="503"/>
      <c r="J12" s="511"/>
      <c r="K12" s="495"/>
      <c r="L12" s="497"/>
      <c r="M12" s="492"/>
      <c r="N12" s="492"/>
      <c r="O12" s="427" t="str">
        <f>CONCATENATE("(APF ",T11,")")</f>
        <v>(APF 10)</v>
      </c>
      <c r="P12" s="427" t="str">
        <f>CONCATENATE("(APF ",U11,")")</f>
        <v>(APF 10)</v>
      </c>
      <c r="Q12" s="427" t="str">
        <f>CONCATENATE("(APF ",V11,")")</f>
        <v>(APF 10)</v>
      </c>
      <c r="R12" s="427" t="str">
        <f>CONCATENATE("(APF ",W11,")")</f>
        <v>(APF 50)</v>
      </c>
      <c r="T12" s="218" t="s">
        <v>127</v>
      </c>
      <c r="U12" s="219" t="s">
        <v>127</v>
      </c>
      <c r="V12" s="219" t="s">
        <v>127</v>
      </c>
      <c r="W12" s="220" t="s">
        <v>127</v>
      </c>
    </row>
    <row r="13" spans="1:28" ht="15.75" customHeight="1" thickTop="1" thickBot="1" x14ac:dyDescent="0.4">
      <c r="B13" s="203" t="s">
        <v>129</v>
      </c>
      <c r="C13" s="204" t="s">
        <v>64</v>
      </c>
      <c r="D13" s="204" t="s">
        <v>122</v>
      </c>
      <c r="E13" s="498"/>
      <c r="F13" s="498"/>
      <c r="G13" s="500"/>
      <c r="H13" s="504" t="s">
        <v>130</v>
      </c>
      <c r="I13" s="504" t="s">
        <v>101</v>
      </c>
      <c r="J13" s="515" t="s">
        <v>69</v>
      </c>
      <c r="K13" s="430"/>
      <c r="L13" s="496">
        <f>IFERROR(VLOOKUP($D13,$Y$9:$AB$9,2,FALSE)/IF($D13="Inhalation",IF($J13="Central Tendency",SUMIFS('Inhalation Exposure'!$O$5:$O$164,'Inhalation Exposure'!$B$5:$B$164,$B13,'Inhalation Exposure'!$D$5:$D$164,$C13),SUMIFS('Inhalation Exposure'!$N$5:$N$164,'Inhalation Exposure'!$B$5:$B$164,$B13,'Inhalation Exposure'!$D$5:$D$164,$C13))),"--")</f>
        <v>59.594594594594589</v>
      </c>
      <c r="M13" s="491">
        <f>IFERROR(VLOOKUP($D13,$Y$9:$AB$9,3,FALSE)/IF($D13="Inhalation",IF($J13="Central Tendency",SUMIFS('Inhalation Exposure'!$Q$5:$Q$164,'Inhalation Exposure'!$B$5:$B$164,$B13,'Inhalation Exposure'!$D$5:$D$164,$C13),SUMIFS('Inhalation Exposure'!$P$5:$P$164,'Inhalation Exposure'!$B$5:$B$164,$B13,'Inhalation Exposure'!$D$5:$D$164,$C13))),"--")</f>
        <v>725.06756756756749</v>
      </c>
      <c r="N13" s="491">
        <f>IFERROR(VLOOKUP($D13,$Y$9:$AB$9,4,FALSE)*IF($D13="Inhalation",IF($J13="Central Tendency",SUMIFS('Inhalation Exposure'!$S$5:$S$164,'Inhalation Exposure'!$B$5:$B$164,$B13,'Inhalation Exposure'!$D$5:$D$164,$C13),SUMIFS('Inhalation Exposure'!$R$5:$R$164,'Inhalation Exposure'!$B$5:$B$164,$B13,'Inhalation Exposure'!$D$5:$D$164,$C13))),"--")</f>
        <v>4.1630956562463412E-6</v>
      </c>
      <c r="O13" s="205" t="str">
        <f>IFERROR(K17*T13, "--")</f>
        <v>--</v>
      </c>
      <c r="P13" s="205">
        <f>IFERROR(L17*U13, "--")</f>
        <v>2505.681818181818</v>
      </c>
      <c r="Q13" s="205">
        <f>IFERROR(M17*V13, "--")</f>
        <v>2579.5673076923072</v>
      </c>
      <c r="R13" s="206">
        <f>IFERROR(N17/W13, "--")</f>
        <v>1.1701674277016744E-6</v>
      </c>
      <c r="T13" s="207">
        <v>10</v>
      </c>
      <c r="U13" s="208">
        <v>10</v>
      </c>
      <c r="V13" s="208">
        <v>10</v>
      </c>
      <c r="W13" s="209">
        <v>10</v>
      </c>
    </row>
    <row r="14" spans="1:28" ht="15" thickBot="1" x14ac:dyDescent="0.4">
      <c r="B14" s="203" t="s">
        <v>129</v>
      </c>
      <c r="C14" s="204" t="s">
        <v>64</v>
      </c>
      <c r="D14" s="204" t="s">
        <v>122</v>
      </c>
      <c r="E14" s="498"/>
      <c r="F14" s="498"/>
      <c r="G14" s="500"/>
      <c r="H14" s="502"/>
      <c r="I14" s="502"/>
      <c r="J14" s="513"/>
      <c r="K14" s="425"/>
      <c r="L14" s="492"/>
      <c r="M14" s="492"/>
      <c r="N14" s="492"/>
      <c r="O14" s="429" t="str">
        <f>CONCATENATE("(APF ",T13,")")</f>
        <v>(APF 10)</v>
      </c>
      <c r="P14" s="429" t="str">
        <f>CONCATENATE("(APF ",U13,")")</f>
        <v>(APF 10)</v>
      </c>
      <c r="Q14" s="429" t="str">
        <f>CONCATENATE("(APF ",V13,")")</f>
        <v>(APF 10)</v>
      </c>
      <c r="R14" s="429" t="str">
        <f>CONCATENATE("(APF ",W13,")")</f>
        <v>(APF 10)</v>
      </c>
      <c r="T14" s="211" t="s">
        <v>127</v>
      </c>
      <c r="U14" s="212" t="s">
        <v>127</v>
      </c>
      <c r="V14" s="212" t="s">
        <v>127</v>
      </c>
      <c r="W14" s="213" t="s">
        <v>127</v>
      </c>
    </row>
    <row r="15" spans="1:28" ht="15" thickBot="1" x14ac:dyDescent="0.4">
      <c r="B15" s="203" t="s">
        <v>129</v>
      </c>
      <c r="C15" s="204" t="s">
        <v>64</v>
      </c>
      <c r="D15" s="204" t="s">
        <v>122</v>
      </c>
      <c r="E15" s="498"/>
      <c r="F15" s="498"/>
      <c r="G15" s="500"/>
      <c r="H15" s="502"/>
      <c r="I15" s="502"/>
      <c r="J15" s="510" t="s">
        <v>128</v>
      </c>
      <c r="K15" s="425"/>
      <c r="L15" s="491">
        <f>IFERROR(VLOOKUP($D15,$Y$9:$AB$9,2,FALSE)/IF($D15="Inhalation",IF($J15="Central Tendency",SUMIFS('Inhalation Exposure'!$O$5:$O$164,'Inhalation Exposure'!$B$5:$B$164,$B15,'Inhalation Exposure'!$D$5:$D$164,$C15),SUMIFS('Inhalation Exposure'!$N$5:$N$164,'Inhalation Exposure'!$B$5:$B$164,$B15,'Inhalation Exposure'!$D$5:$D$164,$C15))),"--")</f>
        <v>28.125</v>
      </c>
      <c r="M15" s="491">
        <f>IFERROR(VLOOKUP($D15,$Y$9:$AB$9,3,FALSE)/IF($D15="Inhalation",IF($J15="Central Tendency",SUMIFS('Inhalation Exposure'!$Q$5:$Q$164,'Inhalation Exposure'!$B$5:$B$164,$B15,'Inhalation Exposure'!$D$5:$D$164,$C15),SUMIFS('Inhalation Exposure'!$P$5:$P$164,'Inhalation Exposure'!$B$5:$B$164,$B15,'Inhalation Exposure'!$D$5:$D$164,$C15))),"--")</f>
        <v>342.18749999999994</v>
      </c>
      <c r="N15" s="491">
        <f>IFERROR(VLOOKUP($D15,$Y$9:$AB$9,4,FALSE)*IF($D15="Inhalation",IF($J15="Central Tendency",SUMIFS('Inhalation Exposure'!$S$5:$S$164,'Inhalation Exposure'!$B$5:$B$164,$B15,'Inhalation Exposure'!$D$5:$D$164,$C15),SUMIFS('Inhalation Exposure'!$R$5:$R$164,'Inhalation Exposure'!$B$5:$B$164,$B15,'Inhalation Exposure'!$D$5:$D$164,$C15))),"--")</f>
        <v>1.1382273738438123E-5</v>
      </c>
      <c r="O15" s="205" t="str">
        <f>IFERROR(K19*T15, "--")</f>
        <v>--</v>
      </c>
      <c r="P15" s="205">
        <f>IFERROR(L19*U15, "--")</f>
        <v>313.21022727272725</v>
      </c>
      <c r="Q15" s="205">
        <f>IFERROR(M19*V15, "--")</f>
        <v>322.44591346153845</v>
      </c>
      <c r="R15" s="206">
        <f>IFERROR(N19/W15, "--")</f>
        <v>2.4158295281582954E-6</v>
      </c>
      <c r="T15" s="214">
        <v>10</v>
      </c>
      <c r="U15" s="215">
        <v>10</v>
      </c>
      <c r="V15" s="215">
        <v>10</v>
      </c>
      <c r="W15" s="216">
        <v>50</v>
      </c>
    </row>
    <row r="16" spans="1:28" ht="15" thickBot="1" x14ac:dyDescent="0.4">
      <c r="B16" s="203" t="s">
        <v>129</v>
      </c>
      <c r="C16" s="204" t="s">
        <v>64</v>
      </c>
      <c r="D16" s="204" t="s">
        <v>122</v>
      </c>
      <c r="E16" s="498"/>
      <c r="F16" s="498"/>
      <c r="G16" s="500"/>
      <c r="H16" s="503"/>
      <c r="I16" s="503"/>
      <c r="J16" s="511"/>
      <c r="K16" s="426"/>
      <c r="L16" s="497"/>
      <c r="M16" s="492"/>
      <c r="N16" s="492"/>
      <c r="O16" s="427" t="str">
        <f>CONCATENATE("(APF ",T15,")")</f>
        <v>(APF 10)</v>
      </c>
      <c r="P16" s="427" t="str">
        <f>CONCATENATE("(APF ",U15,")")</f>
        <v>(APF 10)</v>
      </c>
      <c r="Q16" s="427" t="str">
        <f>CONCATENATE("(APF ",V15,")")</f>
        <v>(APF 10)</v>
      </c>
      <c r="R16" s="427" t="str">
        <f>CONCATENATE("(APF ",W15,")")</f>
        <v>(APF 50)</v>
      </c>
      <c r="T16" s="218" t="s">
        <v>127</v>
      </c>
      <c r="U16" s="219" t="s">
        <v>127</v>
      </c>
      <c r="V16" s="219" t="s">
        <v>127</v>
      </c>
      <c r="W16" s="220" t="s">
        <v>127</v>
      </c>
    </row>
    <row r="17" spans="2:28" ht="15.5" thickTop="1" thickBot="1" x14ac:dyDescent="0.4">
      <c r="B17" s="203" t="s">
        <v>131</v>
      </c>
      <c r="C17" s="204" t="s">
        <v>64</v>
      </c>
      <c r="D17" s="204" t="s">
        <v>122</v>
      </c>
      <c r="E17" s="498"/>
      <c r="F17" s="498"/>
      <c r="G17" s="500"/>
      <c r="H17" s="504" t="s">
        <v>132</v>
      </c>
      <c r="I17" s="504" t="s">
        <v>101</v>
      </c>
      <c r="J17" s="515" t="s">
        <v>69</v>
      </c>
      <c r="K17" s="516" t="str">
        <f>IFERROR(VLOOKUP($D13,$Y$9:$AB$10,2,FALSE)/IF($D13="Inhalation",IF($J17="Central Tendency",SUMIFS(#REF!,#REF!,$B13,#REF!,$C13),SUMIFS(#REF!,#REF!,$B13,#REF!,$C13))),"--")</f>
        <v>--</v>
      </c>
      <c r="L17" s="491">
        <f>IFERROR(VLOOKUP($D17,$Y$9:$AB$9,2,FALSE)/IF($D17="Inhalation",IF($J17="Central Tendency",SUMIFS('Inhalation Exposure'!$O$5:$O$164,'Inhalation Exposure'!$B$5:$B$164,$B17,'Inhalation Exposure'!$D$5:$D$164,$C17),SUMIFS('Inhalation Exposure'!$N$5:$N$164,'Inhalation Exposure'!$B$5:$B$164,$B17,'Inhalation Exposure'!$D$5:$D$164,$C17))),"--")</f>
        <v>250.56818181818181</v>
      </c>
      <c r="M17" s="491">
        <f>IFERROR(VLOOKUP($D17,$Y$9:$AB$9,3,FALSE)/IF($D17="Inhalation",IF($J17="Central Tendency",SUMIFS('Inhalation Exposure'!$Q$5:$Q$164,'Inhalation Exposure'!$B$5:$B$164,$B17,'Inhalation Exposure'!$D$5:$D$164,$C17),SUMIFS('Inhalation Exposure'!$P$5:$P$164,'Inhalation Exposure'!$B$5:$B$164,$B17,'Inhalation Exposure'!$D$5:$D$164,$C17))),"--")</f>
        <v>257.95673076923072</v>
      </c>
      <c r="N17" s="491">
        <f>IFERROR(VLOOKUP($D17,$Y$9:$AB$9,4,FALSE)*IF($D17="Inhalation",IF($J17="Central Tendency",SUMIFS('Inhalation Exposure'!$S$5:$S$164,'Inhalation Exposure'!$B$5:$B$164,$B17,'Inhalation Exposure'!$D$5:$D$164,$C17),SUMIFS('Inhalation Exposure'!$R$5:$R$164,'Inhalation Exposure'!$B$5:$B$164,$B17,'Inhalation Exposure'!$D$5:$D$164,$C17))),"--")</f>
        <v>1.1701674277016744E-5</v>
      </c>
      <c r="O17" s="205" t="str">
        <f>IFERROR(K29*T17, "--")</f>
        <v>--</v>
      </c>
      <c r="P17" s="205">
        <f>IFERROR(L29*U17, "--")</f>
        <v>2004.5454545454545</v>
      </c>
      <c r="Q17" s="205">
        <f>IFERROR(M29*V17, "--")</f>
        <v>2063.6538461538462</v>
      </c>
      <c r="R17" s="206">
        <f>IFERROR(N29/W17, "--")</f>
        <v>1.4627092846270928E-6</v>
      </c>
      <c r="T17" s="207">
        <v>10</v>
      </c>
      <c r="U17" s="208">
        <v>10</v>
      </c>
      <c r="V17" s="208">
        <v>10</v>
      </c>
      <c r="W17" s="209">
        <v>10</v>
      </c>
    </row>
    <row r="18" spans="2:28" ht="15" thickBot="1" x14ac:dyDescent="0.4">
      <c r="B18" s="203" t="s">
        <v>131</v>
      </c>
      <c r="C18" s="204" t="s">
        <v>64</v>
      </c>
      <c r="D18" s="204" t="s">
        <v>122</v>
      </c>
      <c r="E18" s="498"/>
      <c r="F18" s="498"/>
      <c r="G18" s="500"/>
      <c r="H18" s="502"/>
      <c r="I18" s="502"/>
      <c r="J18" s="513"/>
      <c r="K18" s="495"/>
      <c r="L18" s="492"/>
      <c r="M18" s="492"/>
      <c r="N18" s="492"/>
      <c r="O18" s="429" t="str">
        <f>CONCATENATE("(APF ",T17,")")</f>
        <v>(APF 10)</v>
      </c>
      <c r="P18" s="429" t="str">
        <f>CONCATENATE("(APF ",U17,")")</f>
        <v>(APF 10)</v>
      </c>
      <c r="Q18" s="429" t="str">
        <f>CONCATENATE("(APF ",V17,")")</f>
        <v>(APF 10)</v>
      </c>
      <c r="R18" s="429" t="str">
        <f>CONCATENATE("(APF ",W17,")")</f>
        <v>(APF 10)</v>
      </c>
      <c r="T18" s="211" t="s">
        <v>127</v>
      </c>
      <c r="U18" s="212" t="s">
        <v>127</v>
      </c>
      <c r="V18" s="212" t="s">
        <v>127</v>
      </c>
      <c r="W18" s="213" t="s">
        <v>127</v>
      </c>
    </row>
    <row r="19" spans="2:28" ht="15" thickBot="1" x14ac:dyDescent="0.4">
      <c r="B19" s="203" t="s">
        <v>131</v>
      </c>
      <c r="C19" s="204" t="s">
        <v>64</v>
      </c>
      <c r="D19" s="204" t="s">
        <v>122</v>
      </c>
      <c r="E19" s="498"/>
      <c r="F19" s="498"/>
      <c r="G19" s="500"/>
      <c r="H19" s="502"/>
      <c r="I19" s="502"/>
      <c r="J19" s="510" t="s">
        <v>128</v>
      </c>
      <c r="K19" s="493" t="str">
        <f>IFERROR(VLOOKUP($D15,$Y$9:$AB$10,2,FALSE)/IF($D15="Inhalation",IF($J19="Central Tendency",SUMIFS(#REF!,#REF!,$B15,#REF!,$C15),SUMIFS(#REF!,#REF!,$B15,#REF!,$C15))),"--")</f>
        <v>--</v>
      </c>
      <c r="L19" s="491">
        <f>IFERROR(VLOOKUP($D19,$Y$9:$AB$9,2,FALSE)/IF($D19="Inhalation",IF($J19="Central Tendency",SUMIFS('Inhalation Exposure'!$O$5:$O$164,'Inhalation Exposure'!$B$5:$B$164,$B19,'Inhalation Exposure'!$D$5:$D$164,$C19),SUMIFS('Inhalation Exposure'!$N$5:$N$164,'Inhalation Exposure'!$B$5:$B$164,$B19,'Inhalation Exposure'!$D$5:$D$164,$C19))),"--")</f>
        <v>31.321022727272727</v>
      </c>
      <c r="M19" s="491">
        <f>IFERROR(VLOOKUP($D19,$Y$9:$AB$9,3,FALSE)/IF($D19="Inhalation",IF($J19="Central Tendency",SUMIFS('Inhalation Exposure'!$Q$5:$Q$164,'Inhalation Exposure'!$B$5:$B$164,$B19,'Inhalation Exposure'!$D$5:$D$164,$C19),SUMIFS('Inhalation Exposure'!$P$5:$P$164,'Inhalation Exposure'!$B$5:$B$164,$B19,'Inhalation Exposure'!$D$5:$D$164,$C19))),"--")</f>
        <v>32.244591346153847</v>
      </c>
      <c r="N19" s="491">
        <f>IFERROR(VLOOKUP($D19,$Y$9:$AB$9,4,FALSE)*IF($D19="Inhalation",IF($J19="Central Tendency",SUMIFS('Inhalation Exposure'!$S$5:$S$164,'Inhalation Exposure'!$B$5:$B$164,$B19,'Inhalation Exposure'!$D$5:$D$164,$C19),SUMIFS('Inhalation Exposure'!$R$5:$R$164,'Inhalation Exposure'!$B$5:$B$164,$B19,'Inhalation Exposure'!$D$5:$D$164,$C19))),"--")</f>
        <v>1.2079147640791478E-4</v>
      </c>
      <c r="O19" s="205" t="str">
        <f>IFERROR(K31*T19, "--")</f>
        <v>--</v>
      </c>
      <c r="P19" s="205">
        <f>IFERROR(L31*U19, "--")</f>
        <v>213.2495164410058</v>
      </c>
      <c r="Q19" s="205">
        <f>IFERROR(M31*V19, "--")</f>
        <v>219.53764320785598</v>
      </c>
      <c r="R19" s="206">
        <f>IFERROR(N31/W19, "--")</f>
        <v>3.5482496194824961E-6</v>
      </c>
      <c r="T19" s="214">
        <v>10</v>
      </c>
      <c r="U19" s="215">
        <v>10</v>
      </c>
      <c r="V19" s="215">
        <v>10</v>
      </c>
      <c r="W19" s="216">
        <v>50</v>
      </c>
    </row>
    <row r="20" spans="2:28" ht="15" thickBot="1" x14ac:dyDescent="0.4">
      <c r="B20" s="203" t="s">
        <v>131</v>
      </c>
      <c r="C20" s="204" t="s">
        <v>64</v>
      </c>
      <c r="D20" s="204" t="s">
        <v>122</v>
      </c>
      <c r="E20" s="498"/>
      <c r="F20" s="498"/>
      <c r="G20" s="500"/>
      <c r="H20" s="503"/>
      <c r="I20" s="503"/>
      <c r="J20" s="511"/>
      <c r="K20" s="495"/>
      <c r="L20" s="497"/>
      <c r="M20" s="492"/>
      <c r="N20" s="492"/>
      <c r="O20" s="427" t="str">
        <f>CONCATENATE("(APF ",T19,")")</f>
        <v>(APF 10)</v>
      </c>
      <c r="P20" s="427" t="str">
        <f>CONCATENATE("(APF ",U19,")")</f>
        <v>(APF 10)</v>
      </c>
      <c r="Q20" s="427" t="str">
        <f>CONCATENATE("(APF ",V19,")")</f>
        <v>(APF 10)</v>
      </c>
      <c r="R20" s="427" t="str">
        <f>CONCATENATE("(APF ",W19,")")</f>
        <v>(APF 50)</v>
      </c>
      <c r="T20" s="218" t="s">
        <v>127</v>
      </c>
      <c r="U20" s="219" t="s">
        <v>127</v>
      </c>
      <c r="V20" s="219" t="s">
        <v>127</v>
      </c>
      <c r="W20" s="220" t="s">
        <v>127</v>
      </c>
    </row>
    <row r="21" spans="2:28" ht="15.5" thickTop="1" thickBot="1" x14ac:dyDescent="0.4">
      <c r="B21" s="203" t="s">
        <v>133</v>
      </c>
      <c r="C21" s="204" t="s">
        <v>64</v>
      </c>
      <c r="D21" s="204" t="s">
        <v>122</v>
      </c>
      <c r="E21" s="498"/>
      <c r="F21" s="498"/>
      <c r="G21" s="500"/>
      <c r="H21" s="504" t="s">
        <v>134</v>
      </c>
      <c r="I21" s="504" t="s">
        <v>101</v>
      </c>
      <c r="J21" s="515" t="s">
        <v>69</v>
      </c>
      <c r="K21" s="430"/>
      <c r="L21" s="496">
        <f>IFERROR(VLOOKUP($D21,$Y$9:$AB$9,2,FALSE)/IF($D21="Inhalation",IF($J21="Central Tendency",SUMIFS('Inhalation Exposure'!$O$5:$O$164,'Inhalation Exposure'!$B$5:$B$164,$B21,'Inhalation Exposure'!$D$5:$D$164,$C21),SUMIFS('Inhalation Exposure'!$N$5:$N$164,'Inhalation Exposure'!$B$5:$B$164,$B21,'Inhalation Exposure'!$D$5:$D$164,$C21))),"--")</f>
        <v>490.00000000000006</v>
      </c>
      <c r="M21" s="491">
        <f>IFERROR(VLOOKUP($D21,$Y$9:$AB$9,3,FALSE)/IF($D21="Inhalation",IF($J21="Central Tendency",SUMIFS('Inhalation Exposure'!$Q$5:$Q$164,'Inhalation Exposure'!$B$5:$B$164,$B21,'Inhalation Exposure'!$D$5:$D$164,$C21),SUMIFS('Inhalation Exposure'!$P$5:$P$164,'Inhalation Exposure'!$B$5:$B$164,$B21,'Inhalation Exposure'!$D$5:$D$164,$C21))),"--")</f>
        <v>2063.6538461538457</v>
      </c>
      <c r="N21" s="491">
        <f>IFERROR(VLOOKUP($D21,$Y$9:$AB$9,4,FALSE)*IF($D21="Inhalation",IF($J21="Central Tendency",SUMIFS('Inhalation Exposure'!$S$5:$S$164,'Inhalation Exposure'!$B$5:$B$164,$B21,'Inhalation Exposure'!$D$5:$D$164,$C21),SUMIFS('Inhalation Exposure'!$R$5:$R$164,'Inhalation Exposure'!$B$5:$B$164,$B21,'Inhalation Exposure'!$D$5:$D$164,$C21))),"--")</f>
        <v>1.462709284627093E-6</v>
      </c>
      <c r="O21" s="205" t="str">
        <f>IFERROR(K37*T21, "--")</f>
        <v>--</v>
      </c>
      <c r="P21" s="205">
        <f>IFERROR(L37*U21, "--")</f>
        <v>8352.2727272727261</v>
      </c>
      <c r="Q21" s="205">
        <f>IFERROR(M37*V21, "--")</f>
        <v>8598.5576923076915</v>
      </c>
      <c r="R21" s="206">
        <f>IFERROR(N37/W21, "--")</f>
        <v>3.5105022831050226E-7</v>
      </c>
      <c r="T21" s="207">
        <v>10</v>
      </c>
      <c r="U21" s="208">
        <v>10</v>
      </c>
      <c r="V21" s="208">
        <v>10</v>
      </c>
      <c r="W21" s="209">
        <v>10</v>
      </c>
    </row>
    <row r="22" spans="2:28" ht="15" thickBot="1" x14ac:dyDescent="0.4">
      <c r="B22" s="203" t="s">
        <v>133</v>
      </c>
      <c r="C22" s="204" t="s">
        <v>64</v>
      </c>
      <c r="D22" s="204" t="s">
        <v>122</v>
      </c>
      <c r="E22" s="498"/>
      <c r="F22" s="498"/>
      <c r="G22" s="500"/>
      <c r="H22" s="502"/>
      <c r="I22" s="502"/>
      <c r="J22" s="513"/>
      <c r="K22" s="425"/>
      <c r="L22" s="492"/>
      <c r="M22" s="492"/>
      <c r="N22" s="492"/>
      <c r="O22" s="429" t="str">
        <f>CONCATENATE("(APF ",T21,")")</f>
        <v>(APF 10)</v>
      </c>
      <c r="P22" s="429" t="str">
        <f>CONCATENATE("(APF ",U21,")")</f>
        <v>(APF 10)</v>
      </c>
      <c r="Q22" s="429" t="str">
        <f>CONCATENATE("(APF ",V21,")")</f>
        <v>(APF 10)</v>
      </c>
      <c r="R22" s="429" t="str">
        <f>CONCATENATE("(APF ",W21,")")</f>
        <v>(APF 10)</v>
      </c>
      <c r="T22" s="211" t="s">
        <v>127</v>
      </c>
      <c r="U22" s="212" t="s">
        <v>127</v>
      </c>
      <c r="V22" s="212" t="s">
        <v>127</v>
      </c>
      <c r="W22" s="213" t="s">
        <v>127</v>
      </c>
    </row>
    <row r="23" spans="2:28" ht="15" thickBot="1" x14ac:dyDescent="0.4">
      <c r="B23" s="203" t="s">
        <v>133</v>
      </c>
      <c r="C23" s="204" t="s">
        <v>64</v>
      </c>
      <c r="D23" s="204" t="s">
        <v>122</v>
      </c>
      <c r="E23" s="498"/>
      <c r="F23" s="498"/>
      <c r="G23" s="500"/>
      <c r="H23" s="502"/>
      <c r="I23" s="502"/>
      <c r="J23" s="510" t="s">
        <v>128</v>
      </c>
      <c r="K23" s="425"/>
      <c r="L23" s="491">
        <f>IFERROR(VLOOKUP($D23,$Y$9:$AB$9,2,FALSE)/IF($D23="Inhalation",IF($J23="Central Tendency",SUMIFS('Inhalation Exposure'!$O$5:$O$164,'Inhalation Exposure'!$B$5:$B$164,$B23,'Inhalation Exposure'!$D$5:$D$164,$C23),SUMIFS('Inhalation Exposure'!$N$5:$N$164,'Inhalation Exposure'!$B$5:$B$164,$B23,'Inhalation Exposure'!$D$5:$D$164,$C23))),"--")</f>
        <v>245.00000000000003</v>
      </c>
      <c r="M23" s="491">
        <f>IFERROR(VLOOKUP($D23,$Y$9:$AB$9,3,FALSE)/IF($D23="Inhalation",IF($J23="Central Tendency",SUMIFS('Inhalation Exposure'!$Q$5:$Q$164,'Inhalation Exposure'!$B$5:$B$164,$B23,'Inhalation Exposure'!$D$5:$D$164,$C23),SUMIFS('Inhalation Exposure'!$P$5:$P$164,'Inhalation Exposure'!$B$5:$B$164,$B23,'Inhalation Exposure'!$D$5:$D$164,$C23))),"--")</f>
        <v>1073.1000000000001</v>
      </c>
      <c r="N23" s="491">
        <f>IFERROR(VLOOKUP($D23,$Y$9:$AB$9,4,FALSE)*IF($D23="Inhalation",IF($J23="Central Tendency",SUMIFS('Inhalation Exposure'!$S$5:$S$164,'Inhalation Exposure'!$B$5:$B$164,$B23,'Inhalation Exposure'!$D$5:$D$164,$C23),SUMIFS('Inhalation Exposure'!$R$5:$R$164,'Inhalation Exposure'!$B$5:$B$164,$B23,'Inhalation Exposure'!$D$5:$D$164,$C23))),"--")</f>
        <v>3.6295515747570542E-6</v>
      </c>
      <c r="O23" s="205" t="str">
        <f>IFERROR(K39*T23, "--")</f>
        <v>--</v>
      </c>
      <c r="P23" s="205">
        <f>IFERROR(L39*U23, "--")</f>
        <v>180.91565474236955</v>
      </c>
      <c r="Q23" s="205">
        <f>IFERROR(M39*V23, "--")</f>
        <v>186.25034712579836</v>
      </c>
      <c r="R23" s="206">
        <f>IFERROR(N39/W23, "--")</f>
        <v>4.182404870624049E-6</v>
      </c>
      <c r="T23" s="214">
        <v>10</v>
      </c>
      <c r="U23" s="215">
        <v>10</v>
      </c>
      <c r="V23" s="215">
        <v>10</v>
      </c>
      <c r="W23" s="216">
        <v>50</v>
      </c>
    </row>
    <row r="24" spans="2:28" ht="15" thickBot="1" x14ac:dyDescent="0.4">
      <c r="B24" s="203" t="s">
        <v>133</v>
      </c>
      <c r="C24" s="204" t="s">
        <v>64</v>
      </c>
      <c r="D24" s="204" t="s">
        <v>122</v>
      </c>
      <c r="E24" s="498"/>
      <c r="F24" s="498"/>
      <c r="G24" s="500"/>
      <c r="H24" s="503"/>
      <c r="I24" s="503"/>
      <c r="J24" s="511"/>
      <c r="K24" s="426"/>
      <c r="L24" s="497"/>
      <c r="M24" s="492"/>
      <c r="N24" s="492"/>
      <c r="O24" s="427" t="str">
        <f>CONCATENATE("(APF ",T23,")")</f>
        <v>(APF 10)</v>
      </c>
      <c r="P24" s="427" t="str">
        <f>CONCATENATE("(APF ",U23,")")</f>
        <v>(APF 10)</v>
      </c>
      <c r="Q24" s="427" t="str">
        <f>CONCATENATE("(APF ",V23,")")</f>
        <v>(APF 10)</v>
      </c>
      <c r="R24" s="427" t="str">
        <f>CONCATENATE("(APF ",W23,")")</f>
        <v>(APF 50)</v>
      </c>
      <c r="T24" s="218" t="s">
        <v>127</v>
      </c>
      <c r="U24" s="219" t="s">
        <v>127</v>
      </c>
      <c r="V24" s="219" t="s">
        <v>127</v>
      </c>
      <c r="W24" s="220" t="s">
        <v>127</v>
      </c>
    </row>
    <row r="25" spans="2:28" ht="15.75" customHeight="1" thickTop="1" thickBot="1" x14ac:dyDescent="0.4">
      <c r="B25" s="203" t="s">
        <v>135</v>
      </c>
      <c r="C25" s="204" t="s">
        <v>64</v>
      </c>
      <c r="D25" s="204" t="s">
        <v>122</v>
      </c>
      <c r="E25" s="498"/>
      <c r="F25" s="498"/>
      <c r="G25" s="500"/>
      <c r="H25" s="504" t="s">
        <v>136</v>
      </c>
      <c r="I25" s="504" t="s">
        <v>101</v>
      </c>
      <c r="J25" s="515" t="s">
        <v>69</v>
      </c>
      <c r="K25" s="430"/>
      <c r="L25" s="491">
        <f>IFERROR(VLOOKUP($D25,$Y$9:$AB$9,2,FALSE)/IF($D25="Inhalation",IF($J25="Central Tendency",SUMIFS('Inhalation Exposure'!$O$5:$O$164,'Inhalation Exposure'!$B$5:$B$164,$B25,'Inhalation Exposure'!$D$5:$D$164,$C25),SUMIFS('Inhalation Exposure'!$N$5:$N$164,'Inhalation Exposure'!$B$5:$B$164,$B25,'Inhalation Exposure'!$D$5:$D$164,$C25))),"--")</f>
        <v>463.23529411764702</v>
      </c>
      <c r="M25" s="491">
        <f>IFERROR(VLOOKUP($D25,$Y$9:$AB$9,3,FALSE)/IF($D25="Inhalation",IF($J25="Central Tendency",SUMIFS('Inhalation Exposure'!$Q$5:$Q$164,'Inhalation Exposure'!$B$5:$B$164,$B25,'Inhalation Exposure'!$D$5:$D$164,$C25),SUMIFS('Inhalation Exposure'!$P$5:$P$164,'Inhalation Exposure'!$B$5:$B$164,$B25,'Inhalation Exposure'!$D$5:$D$164,$C25))),"--")</f>
        <v>5636.0294117647054</v>
      </c>
      <c r="N25" s="491">
        <f>IFERROR(VLOOKUP($D25,$Y$9:$AB$9,4,FALSE)*IF($D25="Inhalation",IF($J25="Central Tendency",SUMIFS('Inhalation Exposure'!$S$5:$S$164,'Inhalation Exposure'!$B$5:$B$164,$B25,'Inhalation Exposure'!$D$5:$D$164,$C25),SUMIFS('Inhalation Exposure'!$R$5:$R$164,'Inhalation Exposure'!$B$5:$B$164,$B25,'Inhalation Exposure'!$D$5:$D$164,$C25))),"--")</f>
        <v>5.3557663037115092E-7</v>
      </c>
      <c r="O25" s="205" t="str">
        <f>IFERROR(K45*T25, "--")</f>
        <v>--</v>
      </c>
      <c r="P25" s="205">
        <f>IFERROR(L45*U25, "--")</f>
        <v>329.69497607655506</v>
      </c>
      <c r="Q25" s="205">
        <f>IFERROR(M45*V25, "--")</f>
        <v>339.41675101214577</v>
      </c>
      <c r="R25" s="206">
        <f>IFERROR(N45/W25, "--")</f>
        <v>8.8932724505327234E-6</v>
      </c>
      <c r="T25" s="207">
        <v>10</v>
      </c>
      <c r="U25" s="208">
        <v>10</v>
      </c>
      <c r="V25" s="208">
        <v>10</v>
      </c>
      <c r="W25" s="209">
        <v>10</v>
      </c>
    </row>
    <row r="26" spans="2:28" ht="15" thickBot="1" x14ac:dyDescent="0.4">
      <c r="B26" s="203" t="s">
        <v>135</v>
      </c>
      <c r="C26" s="204" t="s">
        <v>64</v>
      </c>
      <c r="D26" s="204" t="s">
        <v>122</v>
      </c>
      <c r="E26" s="498"/>
      <c r="F26" s="498"/>
      <c r="G26" s="500"/>
      <c r="H26" s="502"/>
      <c r="I26" s="502"/>
      <c r="J26" s="513"/>
      <c r="K26" s="425"/>
      <c r="L26" s="492"/>
      <c r="M26" s="492"/>
      <c r="N26" s="492"/>
      <c r="O26" s="429" t="str">
        <f>CONCATENATE("(APF ",T25,")")</f>
        <v>(APF 10)</v>
      </c>
      <c r="P26" s="429" t="str">
        <f>CONCATENATE("(APF ",U25,")")</f>
        <v>(APF 10)</v>
      </c>
      <c r="Q26" s="429" t="str">
        <f>CONCATENATE("(APF ",V25,")")</f>
        <v>(APF 10)</v>
      </c>
      <c r="R26" s="429" t="str">
        <f>CONCATENATE("(APF ",W25,")")</f>
        <v>(APF 10)</v>
      </c>
      <c r="T26" s="211" t="s">
        <v>127</v>
      </c>
      <c r="U26" s="212" t="s">
        <v>127</v>
      </c>
      <c r="V26" s="212" t="s">
        <v>127</v>
      </c>
      <c r="W26" s="213" t="s">
        <v>127</v>
      </c>
    </row>
    <row r="27" spans="2:28" ht="15" thickBot="1" x14ac:dyDescent="0.4">
      <c r="B27" s="203" t="s">
        <v>135</v>
      </c>
      <c r="C27" s="204" t="s">
        <v>64</v>
      </c>
      <c r="D27" s="204" t="s">
        <v>122</v>
      </c>
      <c r="E27" s="498"/>
      <c r="F27" s="498"/>
      <c r="G27" s="500"/>
      <c r="H27" s="502"/>
      <c r="I27" s="502"/>
      <c r="J27" s="510" t="s">
        <v>128</v>
      </c>
      <c r="K27" s="425"/>
      <c r="L27" s="491">
        <f>IFERROR(VLOOKUP($D27,$Y$9:$AB$9,2,FALSE)/IF($D27="Inhalation",IF($J27="Central Tendency",SUMIFS('Inhalation Exposure'!$O$5:$O$164,'Inhalation Exposure'!$B$5:$B$164,$B27,'Inhalation Exposure'!$D$5:$D$164,$C27),SUMIFS('Inhalation Exposure'!$N$5:$N$164,'Inhalation Exposure'!$B$5:$B$164,$B27,'Inhalation Exposure'!$D$5:$D$164,$C27))),"--")</f>
        <v>56.654676258992801</v>
      </c>
      <c r="M27" s="491">
        <f>IFERROR(VLOOKUP($D27,$Y$9:$AB$9,3,FALSE)/IF($D27="Inhalation",IF($J27="Central Tendency",SUMIFS('Inhalation Exposure'!$Q$5:$Q$164,'Inhalation Exposure'!$B$5:$B$164,$B27,'Inhalation Exposure'!$D$5:$D$164,$C27),SUMIFS('Inhalation Exposure'!$P$5:$P$164,'Inhalation Exposure'!$B$5:$B$164,$B27,'Inhalation Exposure'!$D$5:$D$164,$C27))),"--")</f>
        <v>689.29856115107907</v>
      </c>
      <c r="N27" s="491">
        <f>IFERROR(VLOOKUP($D27,$Y$9:$AB$9,4,FALSE)*IF($D27="Inhalation",IF($J27="Central Tendency",SUMIFS('Inhalation Exposure'!$S$5:$S$164,'Inhalation Exposure'!$B$5:$B$164,$B27,'Inhalation Exposure'!$D$5:$D$164,$C27),SUMIFS('Inhalation Exposure'!$R$5:$R$164,'Inhalation Exposure'!$B$5:$B$164,$B27,'Inhalation Exposure'!$D$5:$D$164,$C27))),"--")</f>
        <v>5.6504858915817822E-6</v>
      </c>
      <c r="O27" s="205" t="str">
        <f>IFERROR(K47*T27, "--")</f>
        <v>--</v>
      </c>
      <c r="P27" s="205">
        <f>IFERROR(L47*U27, "--")</f>
        <v>214.16083916083915</v>
      </c>
      <c r="Q27" s="205">
        <f>IFERROR(M47*V27, "--")</f>
        <v>220.47583826429974</v>
      </c>
      <c r="R27" s="206">
        <f>IFERROR(N47/W27, "--")</f>
        <v>3.5331506849315077E-6</v>
      </c>
      <c r="T27" s="214">
        <v>10</v>
      </c>
      <c r="U27" s="215">
        <v>10</v>
      </c>
      <c r="V27" s="215">
        <v>10</v>
      </c>
      <c r="W27" s="216">
        <v>50</v>
      </c>
      <c r="AB27" s="217"/>
    </row>
    <row r="28" spans="2:28" ht="15" thickBot="1" x14ac:dyDescent="0.4">
      <c r="B28" s="203" t="s">
        <v>135</v>
      </c>
      <c r="C28" s="204" t="s">
        <v>64</v>
      </c>
      <c r="D28" s="204" t="s">
        <v>122</v>
      </c>
      <c r="E28" s="498"/>
      <c r="F28" s="498"/>
      <c r="G28" s="500"/>
      <c r="H28" s="503"/>
      <c r="I28" s="503"/>
      <c r="J28" s="511"/>
      <c r="K28" s="426"/>
      <c r="L28" s="497"/>
      <c r="M28" s="492"/>
      <c r="N28" s="492"/>
      <c r="O28" s="427" t="str">
        <f>CONCATENATE("(APF ",T27,")")</f>
        <v>(APF 10)</v>
      </c>
      <c r="P28" s="427" t="str">
        <f>CONCATENATE("(APF ",U27,")")</f>
        <v>(APF 10)</v>
      </c>
      <c r="Q28" s="427" t="str">
        <f>CONCATENATE("(APF ",V27,")")</f>
        <v>(APF 10)</v>
      </c>
      <c r="R28" s="427" t="str">
        <f>CONCATENATE("(APF ",W27,")")</f>
        <v>(APF 50)</v>
      </c>
      <c r="T28" s="218" t="s">
        <v>127</v>
      </c>
      <c r="U28" s="219" t="s">
        <v>127</v>
      </c>
      <c r="V28" s="219" t="s">
        <v>127</v>
      </c>
      <c r="W28" s="220" t="s">
        <v>127</v>
      </c>
    </row>
    <row r="29" spans="2:28" ht="15.5" thickTop="1" thickBot="1" x14ac:dyDescent="0.4">
      <c r="B29" s="203" t="s">
        <v>137</v>
      </c>
      <c r="C29" s="204" t="s">
        <v>64</v>
      </c>
      <c r="D29" s="204" t="s">
        <v>122</v>
      </c>
      <c r="E29" s="498"/>
      <c r="F29" s="498"/>
      <c r="G29" s="500"/>
      <c r="H29" s="504" t="s">
        <v>138</v>
      </c>
      <c r="I29" s="504" t="s">
        <v>101</v>
      </c>
      <c r="J29" s="515" t="s">
        <v>69</v>
      </c>
      <c r="K29" s="516" t="str">
        <f>IFERROR(VLOOKUP($D17,$Y$9:$AB$10,2,FALSE)/IF($D17="Inhalation",IF($J29="Central Tendency",SUMIFS(#REF!,#REF!,#REF!,#REF!,$C17),SUMIFS(#REF!,#REF!,#REF!,#REF!,$C17))),"--")</f>
        <v>--</v>
      </c>
      <c r="L29" s="496">
        <f>IFERROR(VLOOKUP($D29,$Y$9:$AB$9,2,FALSE)/IF($D29="Inhalation",IF($J29="Central Tendency",SUMIFS('Inhalation Exposure'!$O$5:$O$164,'Inhalation Exposure'!$B$5:$B$164,$B29,'Inhalation Exposure'!$D$5:$D$164,$C29),SUMIFS('Inhalation Exposure'!$N$5:$N$164,'Inhalation Exposure'!$B$5:$B$164,$B29,'Inhalation Exposure'!$D$5:$D$164,$C29))),"--")</f>
        <v>200.45454545454544</v>
      </c>
      <c r="M29" s="491">
        <f>IFERROR(VLOOKUP($D29,$Y$9:$AB$9,3,FALSE)/IF($D29="Inhalation",IF($J29="Central Tendency",SUMIFS('Inhalation Exposure'!$Q$5:$Q$164,'Inhalation Exposure'!$B$5:$B$164,$B29,'Inhalation Exposure'!$D$5:$D$164,$C29),SUMIFS('Inhalation Exposure'!$P$5:$P$164,'Inhalation Exposure'!$B$5:$B$164,$B29,'Inhalation Exposure'!$D$5:$D$164,$C29))),"--")</f>
        <v>206.36538461538461</v>
      </c>
      <c r="N29" s="491">
        <f>IFERROR(VLOOKUP($D29,$Y$9:$AB$9,4,FALSE)*IF($D29="Inhalation",IF($J29="Central Tendency",SUMIFS('Inhalation Exposure'!$S$5:$S$164,'Inhalation Exposure'!$B$5:$B$164,$B29,'Inhalation Exposure'!$D$5:$D$164,$C29),SUMIFS('Inhalation Exposure'!$R$5:$R$164,'Inhalation Exposure'!$B$5:$B$164,$B29,'Inhalation Exposure'!$D$5:$D$164,$C29))),"--")</f>
        <v>1.4627092846270928E-5</v>
      </c>
      <c r="O29" s="205" t="str">
        <f>IFERROR(K57*T29, "--")</f>
        <v>--</v>
      </c>
      <c r="P29" s="205">
        <f>IFERROR(L57*U29, "--")</f>
        <v>2505.681818181818</v>
      </c>
      <c r="Q29" s="205">
        <f>IFERROR(M57*V29, "--")</f>
        <v>2579.5673076923072</v>
      </c>
      <c r="R29" s="206">
        <f>IFERROR(N57/W29, "--")</f>
        <v>1.1701674277016744E-6</v>
      </c>
      <c r="T29" s="207">
        <v>10</v>
      </c>
      <c r="U29" s="208">
        <v>10</v>
      </c>
      <c r="V29" s="208">
        <v>10</v>
      </c>
      <c r="W29" s="209">
        <v>10</v>
      </c>
    </row>
    <row r="30" spans="2:28" ht="15" thickBot="1" x14ac:dyDescent="0.4">
      <c r="B30" s="203" t="s">
        <v>137</v>
      </c>
      <c r="C30" s="204" t="s">
        <v>64</v>
      </c>
      <c r="D30" s="204" t="s">
        <v>122</v>
      </c>
      <c r="E30" s="498"/>
      <c r="F30" s="498"/>
      <c r="G30" s="500"/>
      <c r="H30" s="502"/>
      <c r="I30" s="502"/>
      <c r="J30" s="513"/>
      <c r="K30" s="495"/>
      <c r="L30" s="492"/>
      <c r="M30" s="492"/>
      <c r="N30" s="492"/>
      <c r="O30" s="429" t="str">
        <f>CONCATENATE("(APF ",T29,")")</f>
        <v>(APF 10)</v>
      </c>
      <c r="P30" s="429" t="str">
        <f>CONCATENATE("(APF ",U29,")")</f>
        <v>(APF 10)</v>
      </c>
      <c r="Q30" s="429" t="str">
        <f>CONCATENATE("(APF ",V29,")")</f>
        <v>(APF 10)</v>
      </c>
      <c r="R30" s="429" t="str">
        <f>CONCATENATE("(APF ",W29,")")</f>
        <v>(APF 10)</v>
      </c>
      <c r="T30" s="211" t="s">
        <v>127</v>
      </c>
      <c r="U30" s="212" t="s">
        <v>127</v>
      </c>
      <c r="V30" s="212" t="s">
        <v>127</v>
      </c>
      <c r="W30" s="213" t="s">
        <v>127</v>
      </c>
    </row>
    <row r="31" spans="2:28" ht="15" thickBot="1" x14ac:dyDescent="0.4">
      <c r="B31" s="203" t="s">
        <v>137</v>
      </c>
      <c r="C31" s="204" t="s">
        <v>64</v>
      </c>
      <c r="D31" s="204" t="s">
        <v>122</v>
      </c>
      <c r="E31" s="498"/>
      <c r="F31" s="498"/>
      <c r="G31" s="500"/>
      <c r="H31" s="502"/>
      <c r="I31" s="502"/>
      <c r="J31" s="510" t="s">
        <v>128</v>
      </c>
      <c r="K31" s="493" t="str">
        <f>IFERROR(VLOOKUP($D19,$Y$9:$AB$10,2,FALSE)/IF($D19="Inhalation",IF($J31="Central Tendency",SUMIFS(#REF!,#REF!,#REF!,#REF!,$C19),SUMIFS(#REF!,#REF!,#REF!,#REF!,$C19))),"--")</f>
        <v>--</v>
      </c>
      <c r="L31" s="491">
        <f>IFERROR(VLOOKUP($D31,$Y$9:$AB$9,2,FALSE)/IF($D31="Inhalation",IF($J31="Central Tendency",SUMIFS('Inhalation Exposure'!$O$5:$O$164,'Inhalation Exposure'!$B$5:$B$164,$B31,'Inhalation Exposure'!$D$5:$D$164,$C31),SUMIFS('Inhalation Exposure'!$N$5:$N$164,'Inhalation Exposure'!$B$5:$B$164,$B31,'Inhalation Exposure'!$D$5:$D$164,$C31))),"--")</f>
        <v>21.32495164410058</v>
      </c>
      <c r="M31" s="491">
        <f>IFERROR(VLOOKUP($D31,$Y$9:$AB$9,3,FALSE)/IF($D31="Inhalation",IF($J31="Central Tendency",SUMIFS('Inhalation Exposure'!$Q$5:$Q$164,'Inhalation Exposure'!$B$5:$B$164,$B31,'Inhalation Exposure'!$D$5:$D$164,$C31),SUMIFS('Inhalation Exposure'!$P$5:$P$164,'Inhalation Exposure'!$B$5:$B$164,$B31,'Inhalation Exposure'!$D$5:$D$164,$C31))),"--")</f>
        <v>21.953764320785599</v>
      </c>
      <c r="N31" s="491">
        <f>IFERROR(VLOOKUP($D31,$Y$9:$AB$9,4,FALSE)*IF($D31="Inhalation",IF($J31="Central Tendency",SUMIFS('Inhalation Exposure'!$S$5:$S$164,'Inhalation Exposure'!$B$5:$B$164,$B31,'Inhalation Exposure'!$D$5:$D$164,$C31),SUMIFS('Inhalation Exposure'!$R$5:$R$164,'Inhalation Exposure'!$B$5:$B$164,$B31,'Inhalation Exposure'!$D$5:$D$164,$C31))),"--")</f>
        <v>1.7741248097412481E-4</v>
      </c>
      <c r="O31" s="205" t="str">
        <f>IFERROR(K59*T31, "--")</f>
        <v>--</v>
      </c>
      <c r="P31" s="205">
        <f>IFERROR(L59*U31, "--")</f>
        <v>250.56818181818181</v>
      </c>
      <c r="Q31" s="205">
        <f>IFERROR(M59*V31, "--")</f>
        <v>257.95673076923077</v>
      </c>
      <c r="R31" s="206">
        <f>IFERROR(N59/W31, "--")</f>
        <v>3.0197869101978686E-6</v>
      </c>
      <c r="T31" s="214">
        <v>10</v>
      </c>
      <c r="U31" s="215">
        <v>10</v>
      </c>
      <c r="V31" s="215">
        <v>10</v>
      </c>
      <c r="W31" s="216">
        <v>50</v>
      </c>
    </row>
    <row r="32" spans="2:28" ht="15" thickBot="1" x14ac:dyDescent="0.4">
      <c r="B32" s="203" t="s">
        <v>137</v>
      </c>
      <c r="C32" s="204" t="s">
        <v>64</v>
      </c>
      <c r="D32" s="204" t="s">
        <v>122</v>
      </c>
      <c r="E32" s="498"/>
      <c r="F32" s="498"/>
      <c r="G32" s="500"/>
      <c r="H32" s="503"/>
      <c r="I32" s="503"/>
      <c r="J32" s="511"/>
      <c r="K32" s="495"/>
      <c r="L32" s="497"/>
      <c r="M32" s="492"/>
      <c r="N32" s="492"/>
      <c r="O32" s="427" t="str">
        <f>CONCATENATE("(APF ",T31,")")</f>
        <v>(APF 10)</v>
      </c>
      <c r="P32" s="427" t="str">
        <f>CONCATENATE("(APF ",U31,")")</f>
        <v>(APF 10)</v>
      </c>
      <c r="Q32" s="427" t="str">
        <f>CONCATENATE("(APF ",V31,")")</f>
        <v>(APF 10)</v>
      </c>
      <c r="R32" s="427" t="str">
        <f>CONCATENATE("(APF ",W31,")")</f>
        <v>(APF 50)</v>
      </c>
      <c r="T32" s="218" t="s">
        <v>127</v>
      </c>
      <c r="U32" s="219" t="s">
        <v>127</v>
      </c>
      <c r="V32" s="219" t="s">
        <v>127</v>
      </c>
      <c r="W32" s="220" t="s">
        <v>127</v>
      </c>
    </row>
    <row r="33" spans="2:28" ht="15.5" thickTop="1" thickBot="1" x14ac:dyDescent="0.4">
      <c r="B33" s="203" t="s">
        <v>139</v>
      </c>
      <c r="C33" s="204" t="s">
        <v>64</v>
      </c>
      <c r="D33" s="204" t="s">
        <v>122</v>
      </c>
      <c r="E33" s="498"/>
      <c r="F33" s="498"/>
      <c r="G33" s="500"/>
      <c r="H33" s="504" t="s">
        <v>140</v>
      </c>
      <c r="I33" s="504" t="s">
        <v>101</v>
      </c>
      <c r="J33" s="515" t="s">
        <v>69</v>
      </c>
      <c r="K33" s="430"/>
      <c r="L33" s="491">
        <f>IFERROR(VLOOKUP($D33,$Y$9:$AB$9,2,FALSE)/IF($D33="Inhalation",IF($J33="Central Tendency",SUMIFS('Inhalation Exposure'!$O$5:$O$164,'Inhalation Exposure'!$B$5:$B$164,$B33,'Inhalation Exposure'!$D$5:$D$164,$C33),SUMIFS('Inhalation Exposure'!$N$5:$N$164,'Inhalation Exposure'!$B$5:$B$164,$B33,'Inhalation Exposure'!$D$5:$D$164,$C33))),"--")</f>
        <v>0.36731634182908546</v>
      </c>
      <c r="M33" s="491">
        <f>IFERROR(VLOOKUP($D33,$Y$9:$AB$9,3,FALSE)/IF($D33="Inhalation",IF($J33="Central Tendency",SUMIFS('Inhalation Exposure'!$Q$5:$Q$164,'Inhalation Exposure'!$B$5:$B$164,$B33,'Inhalation Exposure'!$D$5:$D$164,$C33),SUMIFS('Inhalation Exposure'!$P$5:$P$164,'Inhalation Exposure'!$B$5:$B$164,$B33,'Inhalation Exposure'!$D$5:$D$164,$C33))),"--")</f>
        <v>4.469015492253873</v>
      </c>
      <c r="N33" s="491">
        <f>IFERROR(VLOOKUP($D33,$Y$9:$AB$9,4,FALSE)*IF($D33="Inhalation",IF($J33="Central Tendency",SUMIFS('Inhalation Exposure'!$S$5:$S$164,'Inhalation Exposure'!$B$5:$B$164,$B33,'Inhalation Exposure'!$D$5:$D$164,$C33),SUMIFS('Inhalation Exposure'!$R$5:$R$164,'Inhalation Exposure'!$B$5:$B$164,$B33,'Inhalation Exposure'!$D$5:$D$164,$C33))),"--")</f>
        <v>6.7543414120126448E-4</v>
      </c>
      <c r="O33" s="205" t="str">
        <f>IFERROR(K69*T33, "--")</f>
        <v>--</v>
      </c>
      <c r="P33" s="205">
        <f>IFERROR(L69*U33, "--")</f>
        <v>1318.7799043062203</v>
      </c>
      <c r="Q33" s="205">
        <f>IFERROR(M69*V33, "--")</f>
        <v>1357.6670040485831</v>
      </c>
      <c r="R33" s="206">
        <f>IFERROR(N69/W33, "--")</f>
        <v>2.2233181126331809E-6</v>
      </c>
      <c r="T33" s="207">
        <v>10</v>
      </c>
      <c r="U33" s="208">
        <v>10</v>
      </c>
      <c r="V33" s="208">
        <v>10</v>
      </c>
      <c r="W33" s="209">
        <v>10</v>
      </c>
      <c r="AB33" s="217"/>
    </row>
    <row r="34" spans="2:28" ht="15" thickBot="1" x14ac:dyDescent="0.4">
      <c r="B34" s="203" t="s">
        <v>139</v>
      </c>
      <c r="C34" s="204" t="s">
        <v>64</v>
      </c>
      <c r="D34" s="204" t="s">
        <v>122</v>
      </c>
      <c r="E34" s="498"/>
      <c r="F34" s="498"/>
      <c r="G34" s="500"/>
      <c r="H34" s="502"/>
      <c r="I34" s="502"/>
      <c r="J34" s="513"/>
      <c r="K34" s="425"/>
      <c r="L34" s="492"/>
      <c r="M34" s="492"/>
      <c r="N34" s="492"/>
      <c r="O34" s="429" t="str">
        <f>CONCATENATE("(APF ",T33,")")</f>
        <v>(APF 10)</v>
      </c>
      <c r="P34" s="429" t="str">
        <f>CONCATENATE("(APF ",U33,")")</f>
        <v>(APF 10)</v>
      </c>
      <c r="Q34" s="429" t="str">
        <f>CONCATENATE("(APF ",V33,")")</f>
        <v>(APF 10)</v>
      </c>
      <c r="R34" s="429" t="str">
        <f>CONCATENATE("(APF ",W33,")")</f>
        <v>(APF 10)</v>
      </c>
      <c r="T34" s="211" t="s">
        <v>127</v>
      </c>
      <c r="U34" s="212" t="s">
        <v>127</v>
      </c>
      <c r="V34" s="212" t="s">
        <v>127</v>
      </c>
      <c r="W34" s="213" t="s">
        <v>127</v>
      </c>
    </row>
    <row r="35" spans="2:28" ht="15" thickBot="1" x14ac:dyDescent="0.4">
      <c r="B35" s="203" t="s">
        <v>139</v>
      </c>
      <c r="C35" s="204" t="s">
        <v>64</v>
      </c>
      <c r="D35" s="204" t="s">
        <v>122</v>
      </c>
      <c r="E35" s="498"/>
      <c r="F35" s="498"/>
      <c r="G35" s="500"/>
      <c r="H35" s="502"/>
      <c r="I35" s="502"/>
      <c r="J35" s="510" t="s">
        <v>128</v>
      </c>
      <c r="K35" s="425"/>
      <c r="L35" s="491">
        <f>IFERROR(VLOOKUP($D35,$Y$9:$AB$9,2,FALSE)/IF($D35="Inhalation",IF($J35="Central Tendency",SUMIFS('Inhalation Exposure'!$O$5:$O$164,'Inhalation Exposure'!$B$5:$B$164,$B35,'Inhalation Exposure'!$D$5:$D$164,$C35),SUMIFS('Inhalation Exposure'!$N$5:$N$164,'Inhalation Exposure'!$B$5:$B$164,$B35,'Inhalation Exposure'!$D$5:$D$164,$C35))),"--")</f>
        <v>0.36731634182908546</v>
      </c>
      <c r="M35" s="491">
        <f>IFERROR(VLOOKUP($D35,$Y$9:$AB$9,3,FALSE)/IF($D35="Inhalation",IF($J35="Central Tendency",SUMIFS('Inhalation Exposure'!$Q$5:$Q$164,'Inhalation Exposure'!$B$5:$B$164,$B35,'Inhalation Exposure'!$D$5:$D$164,$C35),SUMIFS('Inhalation Exposure'!$P$5:$P$164,'Inhalation Exposure'!$B$5:$B$164,$B35,'Inhalation Exposure'!$D$5:$D$164,$C35))),"--")</f>
        <v>4.469015492253873</v>
      </c>
      <c r="N35" s="491">
        <f>IFERROR(VLOOKUP($D35,$Y$9:$AB$9,4,FALSE)*IF($D35="Inhalation",IF($J35="Central Tendency",SUMIFS('Inhalation Exposure'!$S$5:$S$164,'Inhalation Exposure'!$B$5:$B$164,$B35,'Inhalation Exposure'!$D$5:$D$164,$C35),SUMIFS('Inhalation Exposure'!$R$5:$R$164,'Inhalation Exposure'!$B$5:$B$164,$B35,'Inhalation Exposure'!$D$5:$D$164,$C35))),"--")</f>
        <v>8.715279241306639E-4</v>
      </c>
      <c r="O35" s="205" t="str">
        <f>IFERROR(K71*T35, "--")</f>
        <v>--</v>
      </c>
      <c r="P35" s="205">
        <f>IFERROR(L71*U35, "--")</f>
        <v>137.67482517482517</v>
      </c>
      <c r="Q35" s="205">
        <f>IFERROR(M71*V35, "--")</f>
        <v>141.73446745562131</v>
      </c>
      <c r="R35" s="206">
        <f>IFERROR(N71/W35, "--")</f>
        <v>5.4960121765601205E-6</v>
      </c>
      <c r="T35" s="214">
        <v>10</v>
      </c>
      <c r="U35" s="215">
        <v>10</v>
      </c>
      <c r="V35" s="215">
        <v>10</v>
      </c>
      <c r="W35" s="216">
        <v>50</v>
      </c>
    </row>
    <row r="36" spans="2:28" ht="15" thickBot="1" x14ac:dyDescent="0.4">
      <c r="B36" s="203" t="s">
        <v>139</v>
      </c>
      <c r="C36" s="204" t="s">
        <v>64</v>
      </c>
      <c r="D36" s="204" t="s">
        <v>122</v>
      </c>
      <c r="E36" s="498"/>
      <c r="F36" s="498"/>
      <c r="G36" s="500"/>
      <c r="H36" s="503"/>
      <c r="I36" s="503"/>
      <c r="J36" s="511"/>
      <c r="K36" s="426"/>
      <c r="L36" s="497"/>
      <c r="M36" s="492"/>
      <c r="N36" s="492"/>
      <c r="O36" s="427" t="str">
        <f>CONCATENATE("(APF ",T35,")")</f>
        <v>(APF 10)</v>
      </c>
      <c r="P36" s="427" t="str">
        <f>CONCATENATE("(APF ",U35,")")</f>
        <v>(APF 10)</v>
      </c>
      <c r="Q36" s="427" t="str">
        <f>CONCATENATE("(APF ",V35,")")</f>
        <v>(APF 10)</v>
      </c>
      <c r="R36" s="427" t="str">
        <f>CONCATENATE("(APF ",W35,")")</f>
        <v>(APF 50)</v>
      </c>
      <c r="T36" s="218" t="s">
        <v>127</v>
      </c>
      <c r="U36" s="219" t="s">
        <v>127</v>
      </c>
      <c r="V36" s="219" t="s">
        <v>127</v>
      </c>
      <c r="W36" s="220" t="s">
        <v>127</v>
      </c>
    </row>
    <row r="37" spans="2:28" ht="15.5" thickTop="1" thickBot="1" x14ac:dyDescent="0.4">
      <c r="B37" s="203" t="s">
        <v>141</v>
      </c>
      <c r="C37" s="204" t="s">
        <v>64</v>
      </c>
      <c r="D37" s="204" t="s">
        <v>122</v>
      </c>
      <c r="E37" s="498"/>
      <c r="F37" s="498"/>
      <c r="G37" s="500"/>
      <c r="H37" s="504" t="s">
        <v>142</v>
      </c>
      <c r="I37" s="504" t="s">
        <v>101</v>
      </c>
      <c r="J37" s="515" t="s">
        <v>69</v>
      </c>
      <c r="K37" s="516" t="str">
        <f>IFERROR(VLOOKUP($D21,$Y$9:$AB$10,2,FALSE)/IF($D21="Inhalation",IF($J37="Central Tendency",SUMIFS(#REF!,#REF!,$B17,#REF!,$C21),SUMIFS(#REF!,#REF!,$B17,#REF!,$C21))),"--")</f>
        <v>--</v>
      </c>
      <c r="L37" s="496">
        <f>IFERROR(VLOOKUP($D37,$Y$9:$AB$9,2,FALSE)/IF($D37="Inhalation",IF($J37="Central Tendency",SUMIFS('Inhalation Exposure'!$O$5:$O$164,'Inhalation Exposure'!$B$5:$B$164,$B37,'Inhalation Exposure'!$D$5:$D$164,$C37),SUMIFS('Inhalation Exposure'!$N$5:$N$164,'Inhalation Exposure'!$B$5:$B$164,$B37,'Inhalation Exposure'!$D$5:$D$164,$C37))),"--")</f>
        <v>835.22727272727263</v>
      </c>
      <c r="M37" s="491">
        <f>IFERROR(VLOOKUP($D37,$Y$9:$AB$9,3,FALSE)/IF($D37="Inhalation",IF($J37="Central Tendency",SUMIFS('Inhalation Exposure'!$Q$5:$Q$164,'Inhalation Exposure'!$B$5:$B$164,$B37,'Inhalation Exposure'!$D$5:$D$164,$C37),SUMIFS('Inhalation Exposure'!$P$5:$P$164,'Inhalation Exposure'!$B$5:$B$164,$B37,'Inhalation Exposure'!$D$5:$D$164,$C37))),"--")</f>
        <v>859.85576923076917</v>
      </c>
      <c r="N37" s="491">
        <f>IFERROR(VLOOKUP($D37,$Y$9:$AB$9,4,FALSE)*IF($D37="Inhalation",IF($J37="Central Tendency",SUMIFS('Inhalation Exposure'!$S$5:$S$164,'Inhalation Exposure'!$B$5:$B$164,$B37,'Inhalation Exposure'!$D$5:$D$164,$C37),SUMIFS('Inhalation Exposure'!$R$5:$R$164,'Inhalation Exposure'!$B$5:$B$164,$B37,'Inhalation Exposure'!$D$5:$D$164,$C37))),"--")</f>
        <v>3.5105022831050228E-6</v>
      </c>
      <c r="O37" s="428"/>
      <c r="P37" s="428"/>
      <c r="Q37" s="428"/>
      <c r="R37" s="428"/>
      <c r="T37" s="211"/>
      <c r="U37" s="212"/>
      <c r="V37" s="212"/>
      <c r="W37" s="213"/>
    </row>
    <row r="38" spans="2:28" ht="15" thickBot="1" x14ac:dyDescent="0.4">
      <c r="B38" s="203" t="s">
        <v>141</v>
      </c>
      <c r="C38" s="204" t="s">
        <v>64</v>
      </c>
      <c r="D38" s="204" t="s">
        <v>122</v>
      </c>
      <c r="E38" s="498"/>
      <c r="F38" s="498"/>
      <c r="G38" s="500"/>
      <c r="H38" s="502"/>
      <c r="I38" s="502"/>
      <c r="J38" s="513"/>
      <c r="K38" s="495"/>
      <c r="L38" s="492"/>
      <c r="M38" s="492"/>
      <c r="N38" s="492"/>
      <c r="O38" s="428"/>
      <c r="P38" s="428"/>
      <c r="Q38" s="428"/>
      <c r="R38" s="428"/>
      <c r="T38" s="211"/>
      <c r="U38" s="212"/>
      <c r="V38" s="212"/>
      <c r="W38" s="213"/>
    </row>
    <row r="39" spans="2:28" ht="15" thickBot="1" x14ac:dyDescent="0.4">
      <c r="B39" s="203" t="s">
        <v>141</v>
      </c>
      <c r="C39" s="204" t="s">
        <v>64</v>
      </c>
      <c r="D39" s="204" t="s">
        <v>122</v>
      </c>
      <c r="E39" s="498"/>
      <c r="F39" s="498"/>
      <c r="G39" s="500"/>
      <c r="H39" s="502"/>
      <c r="I39" s="502"/>
      <c r="J39" s="510" t="s">
        <v>128</v>
      </c>
      <c r="K39" s="493" t="str">
        <f>IFERROR(VLOOKUP($D23,$Y$9:$AB$10,2,FALSE)/IF($D23="Inhalation",IF($J39="Central Tendency",SUMIFS(#REF!,#REF!,$B19,#REF!,$C23),SUMIFS(#REF!,#REF!,$B19,#REF!,$C23))),"--")</f>
        <v>--</v>
      </c>
      <c r="L39" s="491">
        <f>IFERROR(VLOOKUP($D39,$Y$9:$AB$9,2,FALSE)/IF($D39="Inhalation",IF($J39="Central Tendency",SUMIFS('Inhalation Exposure'!$O$5:$O$164,'Inhalation Exposure'!$B$5:$B$164,$B39,'Inhalation Exposure'!$D$5:$D$164,$C39),SUMIFS('Inhalation Exposure'!$N$5:$N$164,'Inhalation Exposure'!$B$5:$B$164,$B39,'Inhalation Exposure'!$D$5:$D$164,$C39))),"--")</f>
        <v>18.091565474236955</v>
      </c>
      <c r="M39" s="491">
        <f>IFERROR(VLOOKUP($D39,$Y$9:$AB$9,3,FALSE)/IF($D39="Inhalation",IF($J39="Central Tendency",SUMIFS('Inhalation Exposure'!$Q$5:$Q$164,'Inhalation Exposure'!$B$5:$B$164,$B39,'Inhalation Exposure'!$D$5:$D$164,$C39),SUMIFS('Inhalation Exposure'!$P$5:$P$164,'Inhalation Exposure'!$B$5:$B$164,$B39,'Inhalation Exposure'!$D$5:$D$164,$C39))),"--")</f>
        <v>18.625034712579836</v>
      </c>
      <c r="N39" s="491">
        <f>IFERROR(VLOOKUP($D39,$Y$9:$AB$9,4,FALSE)*IF($D39="Inhalation",IF($J39="Central Tendency",SUMIFS('Inhalation Exposure'!$S$5:$S$164,'Inhalation Exposure'!$B$5:$B$164,$B39,'Inhalation Exposure'!$D$5:$D$164,$C39),SUMIFS('Inhalation Exposure'!$R$5:$R$164,'Inhalation Exposure'!$B$5:$B$164,$B39,'Inhalation Exposure'!$D$5:$D$164,$C39))),"--")</f>
        <v>2.0912024353120245E-4</v>
      </c>
      <c r="O39" s="428"/>
      <c r="P39" s="428"/>
      <c r="Q39" s="428"/>
      <c r="R39" s="428"/>
      <c r="T39" s="211"/>
      <c r="U39" s="212"/>
      <c r="V39" s="212"/>
      <c r="W39" s="213"/>
    </row>
    <row r="40" spans="2:28" ht="15" thickBot="1" x14ac:dyDescent="0.4">
      <c r="B40" s="203" t="s">
        <v>141</v>
      </c>
      <c r="C40" s="204" t="s">
        <v>64</v>
      </c>
      <c r="D40" s="204" t="s">
        <v>122</v>
      </c>
      <c r="E40" s="498"/>
      <c r="F40" s="498"/>
      <c r="G40" s="500"/>
      <c r="H40" s="503"/>
      <c r="I40" s="503"/>
      <c r="J40" s="511"/>
      <c r="K40" s="495"/>
      <c r="L40" s="497"/>
      <c r="M40" s="492"/>
      <c r="N40" s="492"/>
      <c r="O40" s="428"/>
      <c r="P40" s="428"/>
      <c r="Q40" s="428"/>
      <c r="R40" s="428"/>
      <c r="T40" s="211"/>
      <c r="U40" s="212"/>
      <c r="V40" s="212"/>
      <c r="W40" s="213"/>
    </row>
    <row r="41" spans="2:28" ht="15.5" thickTop="1" thickBot="1" x14ac:dyDescent="0.4">
      <c r="B41" s="203" t="s">
        <v>143</v>
      </c>
      <c r="C41" s="204" t="s">
        <v>64</v>
      </c>
      <c r="D41" s="204" t="s">
        <v>122</v>
      </c>
      <c r="E41" s="498"/>
      <c r="F41" s="498"/>
      <c r="G41" s="500"/>
      <c r="H41" s="504" t="s">
        <v>144</v>
      </c>
      <c r="I41" s="504" t="s">
        <v>101</v>
      </c>
      <c r="J41" s="515" t="s">
        <v>69</v>
      </c>
      <c r="K41" s="430"/>
      <c r="L41" s="491">
        <f>IFERROR(VLOOKUP($D41,$Y$9:$AB$9,2,FALSE)/IF($D41="Inhalation",IF($J41="Central Tendency",SUMIFS('Inhalation Exposure'!$O$5:$O$164,'Inhalation Exposure'!$B$5:$B$164,$B41,'Inhalation Exposure'!$D$5:$D$164,$C41),SUMIFS('Inhalation Exposure'!$N$5:$N$164,'Inhalation Exposure'!$B$5:$B$164,$B41,'Inhalation Exposure'!$D$5:$D$164,$C41))),"--")</f>
        <v>984.375</v>
      </c>
      <c r="M41" s="491">
        <f>IFERROR(VLOOKUP($D41,$Y$9:$AB$9,3,FALSE)/IF($D41="Inhalation",IF($J41="Central Tendency",SUMIFS('Inhalation Exposure'!$Q$5:$Q$164,'Inhalation Exposure'!$B$5:$B$164,$B41,'Inhalation Exposure'!$D$5:$D$164,$C41),SUMIFS('Inhalation Exposure'!$P$5:$P$164,'Inhalation Exposure'!$B$5:$B$164,$B41,'Inhalation Exposure'!$D$5:$D$164,$C41))),"--")</f>
        <v>11976.5625</v>
      </c>
      <c r="N41" s="491">
        <f>IFERROR(VLOOKUP($D41,$Y$9:$AB$9,4,FALSE)*IF($D41="Inhalation",IF($J41="Central Tendency",SUMIFS('Inhalation Exposure'!$S$5:$S$164,'Inhalation Exposure'!$B$5:$B$164,$B41,'Inhalation Exposure'!$D$5:$D$164,$C41),SUMIFS('Inhalation Exposure'!$R$5:$R$164,'Inhalation Exposure'!$B$5:$B$164,$B41,'Inhalation Exposure'!$D$5:$D$164,$C41))),"--")</f>
        <v>2.5203606135112981E-7</v>
      </c>
      <c r="O41" s="429" t="s">
        <v>145</v>
      </c>
      <c r="P41" s="429" t="s">
        <v>145</v>
      </c>
      <c r="Q41" s="429" t="s">
        <v>145</v>
      </c>
      <c r="R41" s="429" t="s">
        <v>145</v>
      </c>
      <c r="T41" s="211" t="s">
        <v>145</v>
      </c>
      <c r="U41" s="212" t="s">
        <v>145</v>
      </c>
      <c r="V41" s="212" t="s">
        <v>145</v>
      </c>
      <c r="W41" s="213" t="s">
        <v>145</v>
      </c>
    </row>
    <row r="42" spans="2:28" ht="15" thickBot="1" x14ac:dyDescent="0.4">
      <c r="B42" s="203" t="s">
        <v>143</v>
      </c>
      <c r="C42" s="204" t="s">
        <v>64</v>
      </c>
      <c r="D42" s="204" t="s">
        <v>122</v>
      </c>
      <c r="E42" s="498"/>
      <c r="F42" s="498"/>
      <c r="G42" s="500"/>
      <c r="H42" s="502"/>
      <c r="I42" s="502"/>
      <c r="J42" s="513"/>
      <c r="K42" s="425"/>
      <c r="L42" s="492"/>
      <c r="M42" s="492"/>
      <c r="N42" s="492"/>
      <c r="O42" s="221" t="s">
        <v>145</v>
      </c>
      <c r="P42" s="221" t="s">
        <v>145</v>
      </c>
      <c r="Q42" s="221" t="s">
        <v>145</v>
      </c>
      <c r="R42" s="221" t="s">
        <v>145</v>
      </c>
      <c r="T42" s="222" t="s">
        <v>145</v>
      </c>
      <c r="U42" s="223" t="s">
        <v>145</v>
      </c>
      <c r="V42" s="223" t="s">
        <v>145</v>
      </c>
      <c r="W42" s="224" t="s">
        <v>145</v>
      </c>
    </row>
    <row r="43" spans="2:28" ht="15" thickBot="1" x14ac:dyDescent="0.4">
      <c r="B43" s="203" t="s">
        <v>143</v>
      </c>
      <c r="C43" s="204" t="s">
        <v>64</v>
      </c>
      <c r="D43" s="204" t="s">
        <v>122</v>
      </c>
      <c r="E43" s="498"/>
      <c r="F43" s="498"/>
      <c r="G43" s="500"/>
      <c r="H43" s="502"/>
      <c r="I43" s="502"/>
      <c r="J43" s="510" t="s">
        <v>128</v>
      </c>
      <c r="K43" s="425"/>
      <c r="L43" s="491">
        <f>IFERROR(VLOOKUP($D43,$Y$9:$AB$9,2,FALSE)/IF($D43="Inhalation",IF($J43="Central Tendency",SUMIFS('Inhalation Exposure'!$O$5:$O$164,'Inhalation Exposure'!$B$5:$B$164,$B43,'Inhalation Exposure'!$D$5:$D$164,$C43),SUMIFS('Inhalation Exposure'!$N$5:$N$164,'Inhalation Exposure'!$B$5:$B$164,$B43,'Inhalation Exposure'!$D$5:$D$164,$C43))),"--")</f>
        <v>656.24999999999989</v>
      </c>
      <c r="M43" s="491">
        <f>IFERROR(VLOOKUP($D43,$Y$9:$AB$9,3,FALSE)/IF($D43="Inhalation",IF($J43="Central Tendency",SUMIFS('Inhalation Exposure'!$Q$5:$Q$164,'Inhalation Exposure'!$B$5:$B$164,$B43,'Inhalation Exposure'!$D$5:$D$164,$C43),SUMIFS('Inhalation Exposure'!$P$5:$P$164,'Inhalation Exposure'!$B$5:$B$164,$B43,'Inhalation Exposure'!$D$5:$D$164,$C43))),"--")</f>
        <v>7984.3749999999982</v>
      </c>
      <c r="N43" s="491">
        <f>IFERROR(VLOOKUP($D43,$Y$9:$AB$9,4,FALSE)*IF($D43="Inhalation",IF($J43="Central Tendency",SUMIFS('Inhalation Exposure'!$S$5:$S$164,'Inhalation Exposure'!$B$5:$B$164,$B43,'Inhalation Exposure'!$D$5:$D$164,$C43),SUMIFS('Inhalation Exposure'!$R$5:$R$164,'Inhalation Exposure'!$B$5:$B$164,$B43,'Inhalation Exposure'!$D$5:$D$164,$C43))),"--")</f>
        <v>4.8781173164734811E-7</v>
      </c>
      <c r="O43" s="429" t="s">
        <v>145</v>
      </c>
      <c r="P43" s="429" t="s">
        <v>145</v>
      </c>
      <c r="Q43" s="429" t="s">
        <v>145</v>
      </c>
      <c r="R43" s="429" t="s">
        <v>145</v>
      </c>
      <c r="T43" s="211" t="s">
        <v>145</v>
      </c>
      <c r="U43" s="212" t="s">
        <v>145</v>
      </c>
      <c r="V43" s="212" t="s">
        <v>145</v>
      </c>
      <c r="W43" s="213" t="s">
        <v>145</v>
      </c>
    </row>
    <row r="44" spans="2:28" ht="25.5" customHeight="1" thickBot="1" x14ac:dyDescent="0.4">
      <c r="B44" s="203" t="s">
        <v>143</v>
      </c>
      <c r="C44" s="204" t="s">
        <v>64</v>
      </c>
      <c r="D44" s="204" t="s">
        <v>122</v>
      </c>
      <c r="E44" s="498"/>
      <c r="F44" s="498"/>
      <c r="G44" s="500"/>
      <c r="H44" s="503"/>
      <c r="I44" s="503"/>
      <c r="J44" s="511"/>
      <c r="K44" s="426"/>
      <c r="L44" s="497"/>
      <c r="M44" s="492"/>
      <c r="N44" s="492"/>
      <c r="O44" s="221" t="s">
        <v>145</v>
      </c>
      <c r="P44" s="221" t="s">
        <v>145</v>
      </c>
      <c r="Q44" s="221" t="s">
        <v>145</v>
      </c>
      <c r="R44" s="221" t="s">
        <v>145</v>
      </c>
      <c r="T44" s="222" t="s">
        <v>145</v>
      </c>
      <c r="U44" s="223" t="s">
        <v>145</v>
      </c>
      <c r="V44" s="223" t="s">
        <v>145</v>
      </c>
      <c r="W44" s="224" t="s">
        <v>145</v>
      </c>
    </row>
    <row r="45" spans="2:28" ht="15.75" customHeight="1" thickTop="1" thickBot="1" x14ac:dyDescent="0.4">
      <c r="B45" s="203" t="s">
        <v>146</v>
      </c>
      <c r="C45" s="204" t="s">
        <v>64</v>
      </c>
      <c r="D45" s="204" t="s">
        <v>122</v>
      </c>
      <c r="E45" s="498"/>
      <c r="F45" s="498"/>
      <c r="G45" s="500"/>
      <c r="H45" s="504" t="s">
        <v>147</v>
      </c>
      <c r="I45" s="504" t="s">
        <v>101</v>
      </c>
      <c r="J45" s="515" t="s">
        <v>69</v>
      </c>
      <c r="K45" s="516" t="str">
        <f>IFERROR(VLOOKUP($D25,$Y$9:$AB$10,2,FALSE)/IF($D25="Inhalation",IF($J45="Central Tendency",SUMIFS(#REF!,#REF!,$B21,#REF!,$C25),SUMIFS(#REF!,#REF!,$B21,#REF!,$C25))),"--")</f>
        <v>--</v>
      </c>
      <c r="L45" s="496">
        <f>IFERROR(VLOOKUP($D45,$Y$9:$AB$9,2,FALSE)/IF($D45="Inhalation",IF($J45="Central Tendency",SUMIFS('Inhalation Exposure'!$O$5:$O$164,'Inhalation Exposure'!$B$5:$B$164,$B45,'Inhalation Exposure'!$D$5:$D$164,$C45),SUMIFS('Inhalation Exposure'!$N$5:$N$164,'Inhalation Exposure'!$B$5:$B$164,$B45,'Inhalation Exposure'!$D$5:$D$164,$C45))),"--")</f>
        <v>32.969497607655505</v>
      </c>
      <c r="M45" s="491">
        <f>IFERROR(VLOOKUP($D45,$Y$9:$AB$9,3,FALSE)/IF($D45="Inhalation",IF($J45="Central Tendency",SUMIFS('Inhalation Exposure'!$Q$5:$Q$164,'Inhalation Exposure'!$B$5:$B$164,$B45,'Inhalation Exposure'!$D$5:$D$164,$C45),SUMIFS('Inhalation Exposure'!$P$5:$P$164,'Inhalation Exposure'!$B$5:$B$164,$B45,'Inhalation Exposure'!$D$5:$D$164,$C45))),"--")</f>
        <v>33.941675101214578</v>
      </c>
      <c r="N45" s="491">
        <f>IFERROR(VLOOKUP($D45,$Y$9:$AB$9,4,FALSE)*IF($D45="Inhalation",IF($J45="Central Tendency",SUMIFS('Inhalation Exposure'!$S$5:$S$164,'Inhalation Exposure'!$B$5:$B$164,$B45,'Inhalation Exposure'!$D$5:$D$164,$C45),SUMIFS('Inhalation Exposure'!$R$5:$R$164,'Inhalation Exposure'!$B$5:$B$164,$B45,'Inhalation Exposure'!$D$5:$D$164,$C45))),"--")</f>
        <v>8.8932724505327241E-5</v>
      </c>
      <c r="O45" s="205" t="str">
        <f>IFERROR(K145*T45, "--")</f>
        <v>--</v>
      </c>
      <c r="P45" s="205">
        <f>IFERROR(L145*U45, "--")</f>
        <v>45.557851239669418</v>
      </c>
      <c r="Q45" s="205">
        <f>IFERROR(M145*V45, "--")</f>
        <v>46.901223776223766</v>
      </c>
      <c r="R45" s="206">
        <f>IFERROR(N145/W45, "--")</f>
        <v>6.4359208523592082E-5</v>
      </c>
      <c r="T45" s="207">
        <v>10</v>
      </c>
      <c r="U45" s="208">
        <v>10</v>
      </c>
      <c r="V45" s="208">
        <v>10</v>
      </c>
      <c r="W45" s="209">
        <v>10</v>
      </c>
    </row>
    <row r="46" spans="2:28" ht="15" thickBot="1" x14ac:dyDescent="0.4">
      <c r="B46" s="203" t="s">
        <v>146</v>
      </c>
      <c r="C46" s="204" t="s">
        <v>64</v>
      </c>
      <c r="D46" s="204" t="s">
        <v>122</v>
      </c>
      <c r="E46" s="498"/>
      <c r="F46" s="498"/>
      <c r="G46" s="500"/>
      <c r="H46" s="502"/>
      <c r="I46" s="502"/>
      <c r="J46" s="513"/>
      <c r="K46" s="495"/>
      <c r="L46" s="492"/>
      <c r="M46" s="492"/>
      <c r="N46" s="492"/>
      <c r="O46" s="429" t="str">
        <f>CONCATENATE("(APF ",T45,")")</f>
        <v>(APF 10)</v>
      </c>
      <c r="P46" s="429" t="str">
        <f>CONCATENATE("(APF ",U45,")")</f>
        <v>(APF 10)</v>
      </c>
      <c r="Q46" s="429" t="str">
        <f>CONCATENATE("(APF ",V45,")")</f>
        <v>(APF 10)</v>
      </c>
      <c r="R46" s="429" t="str">
        <f>CONCATENATE("(APF ",W45,")")</f>
        <v>(APF 10)</v>
      </c>
      <c r="T46" s="211" t="s">
        <v>127</v>
      </c>
      <c r="U46" s="212" t="s">
        <v>127</v>
      </c>
      <c r="V46" s="212" t="s">
        <v>127</v>
      </c>
      <c r="W46" s="213" t="s">
        <v>127</v>
      </c>
    </row>
    <row r="47" spans="2:28" ht="27" customHeight="1" thickBot="1" x14ac:dyDescent="0.4">
      <c r="B47" s="203" t="s">
        <v>146</v>
      </c>
      <c r="C47" s="204" t="s">
        <v>64</v>
      </c>
      <c r="D47" s="204" t="s">
        <v>122</v>
      </c>
      <c r="E47" s="498"/>
      <c r="F47" s="498"/>
      <c r="G47" s="500"/>
      <c r="H47" s="502"/>
      <c r="I47" s="502"/>
      <c r="J47" s="510" t="s">
        <v>128</v>
      </c>
      <c r="K47" s="493" t="str">
        <f>IFERROR(VLOOKUP($D27,$Y$9:$AB$10,2,FALSE)/IF($D27="Inhalation",IF($J47="Central Tendency",SUMIFS(#REF!,#REF!,$B23,#REF!,$C27),SUMIFS(#REF!,#REF!,$B23,#REF!,$C27))),"--")</f>
        <v>--</v>
      </c>
      <c r="L47" s="491">
        <f>IFERROR(VLOOKUP($D47,$Y$9:$AB$9,2,FALSE)/IF($D47="Inhalation",IF($J47="Central Tendency",SUMIFS('Inhalation Exposure'!$O$5:$O$164,'Inhalation Exposure'!$B$5:$B$164,$B47,'Inhalation Exposure'!$D$5:$D$164,$C47),SUMIFS('Inhalation Exposure'!$N$5:$N$164,'Inhalation Exposure'!$B$5:$B$164,$B47,'Inhalation Exposure'!$D$5:$D$164,$C47))),"--")</f>
        <v>21.416083916083913</v>
      </c>
      <c r="M47" s="491">
        <f>IFERROR(VLOOKUP($D47,$Y$9:$AB$9,3,FALSE)/IF($D47="Inhalation",IF($J47="Central Tendency",SUMIFS('Inhalation Exposure'!$Q$5:$Q$164,'Inhalation Exposure'!$B$5:$B$164,$B47,'Inhalation Exposure'!$D$5:$D$164,$C47),SUMIFS('Inhalation Exposure'!$P$5:$P$164,'Inhalation Exposure'!$B$5:$B$164,$B47,'Inhalation Exposure'!$D$5:$D$164,$C47))),"--")</f>
        <v>22.047583826429975</v>
      </c>
      <c r="N47" s="491">
        <f>IFERROR(VLOOKUP($D47,$Y$9:$AB$9,4,FALSE)*IF($D47="Inhalation",IF($J47="Central Tendency",SUMIFS('Inhalation Exposure'!$S$5:$S$164,'Inhalation Exposure'!$B$5:$B$164,$B47,'Inhalation Exposure'!$D$5:$D$164,$C47),SUMIFS('Inhalation Exposure'!$R$5:$R$164,'Inhalation Exposure'!$B$5:$B$164,$B47,'Inhalation Exposure'!$D$5:$D$164,$C47))),"--")</f>
        <v>1.7665753424657538E-4</v>
      </c>
      <c r="O47" s="205" t="str">
        <f>IFERROR(K147*T47, "--")</f>
        <v>--</v>
      </c>
      <c r="P47" s="205">
        <f>IFERROR(L147*U47, "--")</f>
        <v>3.3409090909090908</v>
      </c>
      <c r="Q47" s="205">
        <f>IFERROR(M147*V47, "--")</f>
        <v>3.4394230769230765</v>
      </c>
      <c r="R47" s="206">
        <f>IFERROR(N147/W47, "--")</f>
        <v>2.2648401826484016E-4</v>
      </c>
      <c r="T47" s="214">
        <v>10</v>
      </c>
      <c r="U47" s="215">
        <v>10</v>
      </c>
      <c r="V47" s="215">
        <v>10</v>
      </c>
      <c r="W47" s="216">
        <v>50</v>
      </c>
    </row>
    <row r="48" spans="2:28" ht="15" thickBot="1" x14ac:dyDescent="0.4">
      <c r="B48" s="203" t="s">
        <v>146</v>
      </c>
      <c r="C48" s="204" t="s">
        <v>64</v>
      </c>
      <c r="D48" s="204" t="s">
        <v>122</v>
      </c>
      <c r="E48" s="498"/>
      <c r="F48" s="498"/>
      <c r="G48" s="500"/>
      <c r="H48" s="503"/>
      <c r="I48" s="503"/>
      <c r="J48" s="511"/>
      <c r="K48" s="495"/>
      <c r="L48" s="497"/>
      <c r="M48" s="492"/>
      <c r="N48" s="492"/>
      <c r="O48" s="427" t="str">
        <f>CONCATENATE("(APF ",T47,")")</f>
        <v>(APF 10)</v>
      </c>
      <c r="P48" s="427" t="str">
        <f>CONCATENATE("(APF ",U47,")")</f>
        <v>(APF 10)</v>
      </c>
      <c r="Q48" s="427" t="str">
        <f>CONCATENATE("(APF ",V47,")")</f>
        <v>(APF 10)</v>
      </c>
      <c r="R48" s="427" t="str">
        <f>CONCATENATE("(APF ",W47,")")</f>
        <v>(APF 50)</v>
      </c>
      <c r="T48" s="218" t="s">
        <v>127</v>
      </c>
      <c r="U48" s="219" t="s">
        <v>127</v>
      </c>
      <c r="V48" s="219" t="s">
        <v>127</v>
      </c>
      <c r="W48" s="220" t="s">
        <v>127</v>
      </c>
    </row>
    <row r="49" spans="2:23" ht="24.75" customHeight="1" thickTop="1" thickBot="1" x14ac:dyDescent="0.4">
      <c r="B49" s="203" t="s">
        <v>148</v>
      </c>
      <c r="C49" s="204" t="s">
        <v>64</v>
      </c>
      <c r="D49" s="204" t="s">
        <v>122</v>
      </c>
      <c r="E49" s="498"/>
      <c r="F49" s="498"/>
      <c r="G49" s="500"/>
      <c r="H49" s="504" t="s">
        <v>149</v>
      </c>
      <c r="I49" s="504" t="s">
        <v>101</v>
      </c>
      <c r="J49" s="515" t="s">
        <v>69</v>
      </c>
      <c r="K49" s="430"/>
      <c r="L49" s="491">
        <f>IFERROR(VLOOKUP($D49,$Y$9:$AB$9,2,FALSE)/IF($D49="Inhalation",IF($J49="Central Tendency",SUMIFS('Inhalation Exposure'!$O$5:$O$164,'Inhalation Exposure'!$B$5:$B$164,$B49,'Inhalation Exposure'!$D$5:$D$164,$C49),SUMIFS('Inhalation Exposure'!$N$5:$N$164,'Inhalation Exposure'!$B$5:$B$164,$B49,'Inhalation Exposure'!$D$5:$D$164,$C49))),"--")</f>
        <v>64.662756598240463</v>
      </c>
      <c r="M49" s="491">
        <f>IFERROR(VLOOKUP($D49,$Y$9:$AB$9,3,FALSE)/IF($D49="Inhalation",IF($J49="Central Tendency",SUMIFS('Inhalation Exposure'!$Q$5:$Q$164,'Inhalation Exposure'!$B$5:$B$164,$B49,'Inhalation Exposure'!$D$5:$D$164,$C49),SUMIFS('Inhalation Exposure'!$P$5:$P$164,'Inhalation Exposure'!$B$5:$B$164,$B49,'Inhalation Exposure'!$D$5:$D$164,$C49))),"--")</f>
        <v>786.73020527859228</v>
      </c>
      <c r="N49" s="491">
        <f>IFERROR(VLOOKUP($D49,$Y$9:$AB$9,4,FALSE)*IF($D49="Inhalation",IF($J49="Central Tendency",SUMIFS('Inhalation Exposure'!$S$5:$S$164,'Inhalation Exposure'!$B$5:$B$164,$B49,'Inhalation Exposure'!$D$5:$D$164,$C49),SUMIFS('Inhalation Exposure'!$R$5:$R$164,'Inhalation Exposure'!$B$5:$B$164,$B49,'Inhalation Exposure'!$D$5:$D$164,$C49))),"--")</f>
        <v>3.8367989696756826E-6</v>
      </c>
      <c r="O49" s="429" t="s">
        <v>145</v>
      </c>
      <c r="P49" s="429" t="s">
        <v>145</v>
      </c>
      <c r="Q49" s="429" t="s">
        <v>145</v>
      </c>
      <c r="R49" s="429" t="s">
        <v>145</v>
      </c>
      <c r="T49" s="211" t="s">
        <v>145</v>
      </c>
      <c r="U49" s="212" t="s">
        <v>145</v>
      </c>
      <c r="V49" s="212" t="s">
        <v>145</v>
      </c>
      <c r="W49" s="213" t="s">
        <v>145</v>
      </c>
    </row>
    <row r="50" spans="2:23" ht="28.5" customHeight="1" thickBot="1" x14ac:dyDescent="0.4">
      <c r="B50" s="203" t="s">
        <v>148</v>
      </c>
      <c r="C50" s="204" t="s">
        <v>64</v>
      </c>
      <c r="D50" s="204" t="s">
        <v>122</v>
      </c>
      <c r="E50" s="498"/>
      <c r="F50" s="498"/>
      <c r="G50" s="500"/>
      <c r="H50" s="502"/>
      <c r="I50" s="502"/>
      <c r="J50" s="513"/>
      <c r="K50" s="425"/>
      <c r="L50" s="492"/>
      <c r="M50" s="492"/>
      <c r="N50" s="492"/>
      <c r="O50" s="221" t="s">
        <v>145</v>
      </c>
      <c r="P50" s="221" t="s">
        <v>145</v>
      </c>
      <c r="Q50" s="221" t="s">
        <v>145</v>
      </c>
      <c r="R50" s="221" t="s">
        <v>145</v>
      </c>
      <c r="T50" s="222" t="s">
        <v>145</v>
      </c>
      <c r="U50" s="223" t="s">
        <v>145</v>
      </c>
      <c r="V50" s="223" t="s">
        <v>145</v>
      </c>
      <c r="W50" s="224" t="s">
        <v>145</v>
      </c>
    </row>
    <row r="51" spans="2:23" ht="15" thickBot="1" x14ac:dyDescent="0.4">
      <c r="B51" s="203" t="s">
        <v>148</v>
      </c>
      <c r="C51" s="204" t="s">
        <v>64</v>
      </c>
      <c r="D51" s="204" t="s">
        <v>122</v>
      </c>
      <c r="E51" s="498"/>
      <c r="F51" s="498"/>
      <c r="G51" s="500"/>
      <c r="H51" s="502"/>
      <c r="I51" s="502"/>
      <c r="J51" s="510" t="s">
        <v>128</v>
      </c>
      <c r="K51" s="425"/>
      <c r="L51" s="491">
        <f>IFERROR(VLOOKUP($D51,$Y$9:$AB$9,2,FALSE)/IF($D51="Inhalation",IF($J51="Central Tendency",SUMIFS('Inhalation Exposure'!$O$5:$O$164,'Inhalation Exposure'!$B$5:$B$164,$B51,'Inhalation Exposure'!$D$5:$D$164,$C51),SUMIFS('Inhalation Exposure'!$N$5:$N$164,'Inhalation Exposure'!$B$5:$B$164,$B51,'Inhalation Exposure'!$D$5:$D$164,$C51))),"--")</f>
        <v>35.621970920840063</v>
      </c>
      <c r="M51" s="491">
        <f>IFERROR(VLOOKUP($D51,$Y$9:$AB$9,3,FALSE)/IF($D51="Inhalation",IF($J51="Central Tendency",SUMIFS('Inhalation Exposure'!$Q$5:$Q$164,'Inhalation Exposure'!$B$5:$B$164,$B51,'Inhalation Exposure'!$D$5:$D$164,$C51),SUMIFS('Inhalation Exposure'!$P$5:$P$164,'Inhalation Exposure'!$B$5:$B$164,$B51,'Inhalation Exposure'!$D$5:$D$164,$C51))),"--")</f>
        <v>433.40064620355417</v>
      </c>
      <c r="N51" s="491">
        <f>IFERROR(VLOOKUP($D51,$Y$9:$AB$9,4,FALSE)*IF($D51="Inhalation",IF($J51="Central Tendency",SUMIFS('Inhalation Exposure'!$S$5:$S$164,'Inhalation Exposure'!$B$5:$B$164,$B51,'Inhalation Exposure'!$D$5:$D$164,$C51),SUMIFS('Inhalation Exposure'!$R$5:$R$164,'Inhalation Exposure'!$B$5:$B$164,$B51,'Inhalation Exposure'!$D$5:$D$164,$C51))),"--")</f>
        <v>8.9867696990984637E-6</v>
      </c>
      <c r="O51" s="205" t="str">
        <f>IFERROR(#REF!*T51, "--")</f>
        <v>--</v>
      </c>
      <c r="P51" s="205" t="str">
        <f>IFERROR(#REF!*U51, "--")</f>
        <v>--</v>
      </c>
      <c r="Q51" s="205" t="str">
        <f>IFERROR(#REF!*V51, "--")</f>
        <v>--</v>
      </c>
      <c r="R51" s="206" t="str">
        <f>IFERROR(#REF!/W51, "--")</f>
        <v>--</v>
      </c>
      <c r="T51" s="207">
        <v>10</v>
      </c>
      <c r="U51" s="208">
        <v>10</v>
      </c>
      <c r="V51" s="208">
        <v>10</v>
      </c>
      <c r="W51" s="209">
        <v>10</v>
      </c>
    </row>
    <row r="52" spans="2:23" ht="15" thickBot="1" x14ac:dyDescent="0.4">
      <c r="B52" s="203" t="s">
        <v>148</v>
      </c>
      <c r="C52" s="204" t="s">
        <v>64</v>
      </c>
      <c r="D52" s="204" t="s">
        <v>122</v>
      </c>
      <c r="E52" s="498"/>
      <c r="F52" s="498"/>
      <c r="G52" s="500"/>
      <c r="H52" s="503"/>
      <c r="I52" s="503"/>
      <c r="J52" s="511"/>
      <c r="K52" s="426"/>
      <c r="L52" s="497"/>
      <c r="M52" s="492"/>
      <c r="N52" s="492"/>
      <c r="O52" s="429" t="str">
        <f>CONCATENATE("(APF ",T51,")")</f>
        <v>(APF 10)</v>
      </c>
      <c r="P52" s="429" t="str">
        <f>CONCATENATE("(APF ",U51,")")</f>
        <v>(APF 10)</v>
      </c>
      <c r="Q52" s="429" t="str">
        <f>CONCATENATE("(APF ",V51,")")</f>
        <v>(APF 10)</v>
      </c>
      <c r="R52" s="429" t="str">
        <f>CONCATENATE("(APF ",W51,")")</f>
        <v>(APF 10)</v>
      </c>
      <c r="T52" s="211" t="s">
        <v>127</v>
      </c>
      <c r="U52" s="212" t="s">
        <v>127</v>
      </c>
      <c r="V52" s="212" t="s">
        <v>127</v>
      </c>
      <c r="W52" s="213" t="s">
        <v>127</v>
      </c>
    </row>
    <row r="53" spans="2:23" ht="15.5" thickTop="1" thickBot="1" x14ac:dyDescent="0.4">
      <c r="B53" s="203" t="s">
        <v>150</v>
      </c>
      <c r="C53" s="204" t="s">
        <v>64</v>
      </c>
      <c r="D53" s="204" t="s">
        <v>122</v>
      </c>
      <c r="E53" s="498"/>
      <c r="F53" s="498"/>
      <c r="G53" s="500"/>
      <c r="H53" s="504" t="s">
        <v>151</v>
      </c>
      <c r="I53" s="504" t="s">
        <v>101</v>
      </c>
      <c r="J53" s="515" t="s">
        <v>69</v>
      </c>
      <c r="K53" s="430"/>
      <c r="L53" s="496">
        <f>IFERROR(VLOOKUP($D53,$Y$9:$AB$9,2,FALSE)/IF($D53="Inhalation",IF($J53="Central Tendency",SUMIFS('Inhalation Exposure'!$O$5:$O$164,'Inhalation Exposure'!$B$5:$B$164,$B53,'Inhalation Exposure'!$D$5:$D$164,$C53),SUMIFS('Inhalation Exposure'!$N$5:$N$164,'Inhalation Exposure'!$B$5:$B$164,$B53,'Inhalation Exposure'!$D$5:$D$164,$C53))),"--")</f>
        <v>271.55172413793099</v>
      </c>
      <c r="M53" s="491">
        <f>IFERROR(VLOOKUP($D53,$Y$9:$AB$9,3,FALSE)/IF($D53="Inhalation",IF($J53="Central Tendency",SUMIFS('Inhalation Exposure'!$Q$5:$Q$164,'Inhalation Exposure'!$B$5:$B$164,$B53,'Inhalation Exposure'!$D$5:$D$164,$C53),SUMIFS('Inhalation Exposure'!$P$5:$P$164,'Inhalation Exposure'!$B$5:$B$164,$B53,'Inhalation Exposure'!$D$5:$D$164,$C53))),"--")</f>
        <v>3303.8793103448279</v>
      </c>
      <c r="N53" s="491">
        <f>IFERROR(VLOOKUP($D53,$Y$9:$AB$9,4,FALSE)*IF($D53="Inhalation",IF($J53="Central Tendency",SUMIFS('Inhalation Exposure'!$S$5:$S$164,'Inhalation Exposure'!$B$5:$B$164,$B53,'Inhalation Exposure'!$D$5:$D$164,$C53),SUMIFS('Inhalation Exposure'!$R$5:$R$164,'Inhalation Exposure'!$B$5:$B$164,$B53,'Inhalation Exposure'!$D$5:$D$164,$C53))),"--")</f>
        <v>9.1363072239784564E-7</v>
      </c>
      <c r="O53" s="205" t="str">
        <f>IFERROR(#REF!*T53, "--")</f>
        <v>--</v>
      </c>
      <c r="P53" s="205" t="str">
        <f>IFERROR(#REF!*U53, "--")</f>
        <v>--</v>
      </c>
      <c r="Q53" s="205" t="str">
        <f>IFERROR(#REF!*V53, "--")</f>
        <v>--</v>
      </c>
      <c r="R53" s="206" t="str">
        <f>IFERROR(#REF!/W53, "--")</f>
        <v>--</v>
      </c>
      <c r="T53" s="214">
        <v>10</v>
      </c>
      <c r="U53" s="215">
        <v>10</v>
      </c>
      <c r="V53" s="215">
        <v>10</v>
      </c>
      <c r="W53" s="216">
        <v>50</v>
      </c>
    </row>
    <row r="54" spans="2:23" ht="15" thickBot="1" x14ac:dyDescent="0.4">
      <c r="B54" s="203" t="s">
        <v>150</v>
      </c>
      <c r="C54" s="204" t="s">
        <v>64</v>
      </c>
      <c r="D54" s="204" t="s">
        <v>122</v>
      </c>
      <c r="E54" s="498"/>
      <c r="F54" s="498"/>
      <c r="G54" s="500"/>
      <c r="H54" s="502"/>
      <c r="I54" s="502"/>
      <c r="J54" s="513"/>
      <c r="K54" s="425"/>
      <c r="L54" s="492"/>
      <c r="M54" s="492"/>
      <c r="N54" s="492"/>
      <c r="O54" s="427" t="str">
        <f>CONCATENATE("(APF ",T53,")")</f>
        <v>(APF 10)</v>
      </c>
      <c r="P54" s="427" t="str">
        <f>CONCATENATE("(APF ",U53,")")</f>
        <v>(APF 10)</v>
      </c>
      <c r="Q54" s="427" t="str">
        <f>CONCATENATE("(APF ",V53,")")</f>
        <v>(APF 10)</v>
      </c>
      <c r="R54" s="427" t="str">
        <f>CONCATENATE("(APF ",W53,")")</f>
        <v>(APF 50)</v>
      </c>
      <c r="T54" s="218" t="s">
        <v>127</v>
      </c>
      <c r="U54" s="219" t="s">
        <v>127</v>
      </c>
      <c r="V54" s="219" t="s">
        <v>127</v>
      </c>
      <c r="W54" s="220" t="s">
        <v>127</v>
      </c>
    </row>
    <row r="55" spans="2:23" ht="27.75" customHeight="1" thickBot="1" x14ac:dyDescent="0.4">
      <c r="B55" s="203" t="s">
        <v>150</v>
      </c>
      <c r="C55" s="204" t="s">
        <v>64</v>
      </c>
      <c r="D55" s="204" t="s">
        <v>122</v>
      </c>
      <c r="E55" s="498"/>
      <c r="F55" s="498"/>
      <c r="G55" s="500"/>
      <c r="H55" s="502"/>
      <c r="I55" s="502"/>
      <c r="J55" s="510" t="s">
        <v>128</v>
      </c>
      <c r="K55" s="425"/>
      <c r="L55" s="491">
        <f>IFERROR(VLOOKUP($D55,$Y$9:$AB$9,2,FALSE)/IF($D55="Inhalation",IF($J55="Central Tendency",SUMIFS('Inhalation Exposure'!$O$5:$O$164,'Inhalation Exposure'!$B$5:$B$164,$B55,'Inhalation Exposure'!$D$5:$D$164,$C55),SUMIFS('Inhalation Exposure'!$N$5:$N$164,'Inhalation Exposure'!$B$5:$B$164,$B55,'Inhalation Exposure'!$D$5:$D$164,$C55))),"--")</f>
        <v>1.6009351494206139</v>
      </c>
      <c r="M55" s="491">
        <f>IFERROR(VLOOKUP($D55,$Y$9:$AB$9,3,FALSE)/IF($D55="Inhalation",IF($J55="Central Tendency",SUMIFS('Inhalation Exposure'!$Q$5:$Q$164,'Inhalation Exposure'!$B$5:$B$164,$B55,'Inhalation Exposure'!$D$5:$D$164,$C55),SUMIFS('Inhalation Exposure'!$P$5:$P$164,'Inhalation Exposure'!$B$5:$B$164,$B55,'Inhalation Exposure'!$D$5:$D$164,$C55))),"--")</f>
        <v>19.4780443179508</v>
      </c>
      <c r="N55" s="491">
        <f>IFERROR(VLOOKUP($D55,$Y$9:$AB$9,4,FALSE)*IF($D55="Inhalation",IF($J55="Central Tendency",SUMIFS('Inhalation Exposure'!$S$5:$S$164,'Inhalation Exposure'!$B$5:$B$164,$B55,'Inhalation Exposure'!$D$5:$D$164,$C55),SUMIFS('Inhalation Exposure'!$R$5:$R$164,'Inhalation Exposure'!$B$5:$B$164,$B55,'Inhalation Exposure'!$D$5:$D$164,$C55))),"--")</f>
        <v>1.9996215899777543E-4</v>
      </c>
      <c r="O55" s="429" t="s">
        <v>145</v>
      </c>
      <c r="P55" s="429" t="s">
        <v>145</v>
      </c>
      <c r="Q55" s="429" t="s">
        <v>145</v>
      </c>
      <c r="R55" s="429" t="s">
        <v>145</v>
      </c>
      <c r="T55" s="211" t="s">
        <v>145</v>
      </c>
      <c r="U55" s="212" t="s">
        <v>145</v>
      </c>
      <c r="V55" s="212" t="s">
        <v>145</v>
      </c>
      <c r="W55" s="213" t="s">
        <v>145</v>
      </c>
    </row>
    <row r="56" spans="2:23" ht="15" thickBot="1" x14ac:dyDescent="0.4">
      <c r="B56" s="203" t="s">
        <v>150</v>
      </c>
      <c r="C56" s="204" t="s">
        <v>64</v>
      </c>
      <c r="D56" s="204" t="s">
        <v>122</v>
      </c>
      <c r="E56" s="498"/>
      <c r="F56" s="498"/>
      <c r="G56" s="500"/>
      <c r="H56" s="503"/>
      <c r="I56" s="503"/>
      <c r="J56" s="511"/>
      <c r="K56" s="426"/>
      <c r="L56" s="497"/>
      <c r="M56" s="492"/>
      <c r="N56" s="492"/>
      <c r="O56" s="221" t="s">
        <v>145</v>
      </c>
      <c r="P56" s="221" t="s">
        <v>145</v>
      </c>
      <c r="Q56" s="221" t="s">
        <v>145</v>
      </c>
      <c r="R56" s="221" t="s">
        <v>145</v>
      </c>
      <c r="T56" s="222" t="s">
        <v>145</v>
      </c>
      <c r="U56" s="223" t="s">
        <v>145</v>
      </c>
      <c r="V56" s="223" t="s">
        <v>145</v>
      </c>
      <c r="W56" s="224" t="s">
        <v>145</v>
      </c>
    </row>
    <row r="57" spans="2:23" ht="15.5" thickTop="1" thickBot="1" x14ac:dyDescent="0.4">
      <c r="B57" s="203" t="s">
        <v>152</v>
      </c>
      <c r="C57" s="299" t="s">
        <v>64</v>
      </c>
      <c r="D57" s="204" t="s">
        <v>122</v>
      </c>
      <c r="E57" s="498"/>
      <c r="F57" s="498"/>
      <c r="G57" s="500"/>
      <c r="H57" s="504" t="s">
        <v>153</v>
      </c>
      <c r="I57" s="504" t="s">
        <v>101</v>
      </c>
      <c r="J57" s="515" t="s">
        <v>69</v>
      </c>
      <c r="K57" s="516" t="str">
        <f>IFERROR(VLOOKUP($D29,$Y$9:$AB$10,2,FALSE)/IF($D29="Inhalation",IF($J57="Central Tendency",SUMIFS(#REF!,#REF!,$B25,#REF!,$C29),SUMIFS(#REF!,#REF!,$B25,#REF!,$C29))),"--")</f>
        <v>--</v>
      </c>
      <c r="L57" s="491">
        <f>IFERROR(VLOOKUP($D57,$Y$9:$AB$9,2,FALSE)/IF($D57="Inhalation",IF($J57="Central Tendency",SUMIFS('Inhalation Exposure'!$O$5:$O$164,'Inhalation Exposure'!$B$5:$B$164,$B57,'Inhalation Exposure'!$D$5:$D$164,$C57),SUMIFS('Inhalation Exposure'!$N$5:$N$164,'Inhalation Exposure'!$B$5:$B$164,$B57,'Inhalation Exposure'!$D$5:$D$164,$C57))),"--")</f>
        <v>250.56818181818181</v>
      </c>
      <c r="M57" s="491">
        <f>IFERROR(VLOOKUP($D57,$Y$9:$AB$9,3,FALSE)/IF($D57="Inhalation",IF($J57="Central Tendency",SUMIFS('Inhalation Exposure'!$Q$5:$Q$164,'Inhalation Exposure'!$B$5:$B$164,$B57,'Inhalation Exposure'!$D$5:$D$164,$C57),SUMIFS('Inhalation Exposure'!$P$5:$P$164,'Inhalation Exposure'!$B$5:$B$164,$B57,'Inhalation Exposure'!$D$5:$D$164,$C57))),"--")</f>
        <v>257.95673076923072</v>
      </c>
      <c r="N57" s="491">
        <f>IFERROR(VLOOKUP($D57,$Y$9:$AB$9,4,FALSE)*IF($D57="Inhalation",IF($J57="Central Tendency",SUMIFS('Inhalation Exposure'!$S$5:$S$164,'Inhalation Exposure'!$B$5:$B$164,$B57,'Inhalation Exposure'!$D$5:$D$164,$C57),SUMIFS('Inhalation Exposure'!$R$5:$R$164,'Inhalation Exposure'!$B$5:$B$164,$B57,'Inhalation Exposure'!$D$5:$D$164,$C57))),"--")</f>
        <v>1.1701674277016744E-5</v>
      </c>
      <c r="O57" s="205" t="str">
        <f>IFERROR(K425*T57, "--")</f>
        <v>--</v>
      </c>
      <c r="P57" s="205">
        <f>IFERROR(L425*U57, "--")</f>
        <v>1728.5703464704409</v>
      </c>
      <c r="Q57" s="205">
        <f>IFERROR(M425*V57, "--")</f>
        <v>1779.5410105330304</v>
      </c>
      <c r="R57" s="206">
        <f>IFERROR(N425/W57, "--")</f>
        <v>1.6962383126655193E-6</v>
      </c>
      <c r="T57" s="207">
        <v>10</v>
      </c>
      <c r="U57" s="208">
        <v>10</v>
      </c>
      <c r="V57" s="208">
        <v>10</v>
      </c>
      <c r="W57" s="209">
        <v>10</v>
      </c>
    </row>
    <row r="58" spans="2:23" ht="15" thickBot="1" x14ac:dyDescent="0.4">
      <c r="B58" s="203" t="s">
        <v>152</v>
      </c>
      <c r="C58" s="299" t="s">
        <v>64</v>
      </c>
      <c r="D58" s="204" t="s">
        <v>122</v>
      </c>
      <c r="E58" s="498"/>
      <c r="F58" s="498"/>
      <c r="G58" s="500"/>
      <c r="H58" s="502"/>
      <c r="I58" s="502"/>
      <c r="J58" s="513"/>
      <c r="K58" s="495"/>
      <c r="L58" s="492"/>
      <c r="M58" s="492"/>
      <c r="N58" s="492"/>
      <c r="O58" s="429" t="str">
        <f>CONCATENATE("(APF ",T57,")")</f>
        <v>(APF 10)</v>
      </c>
      <c r="P58" s="429" t="str">
        <f>CONCATENATE("(APF ",U57,")")</f>
        <v>(APF 10)</v>
      </c>
      <c r="Q58" s="429" t="str">
        <f>CONCATENATE("(APF ",V57,")")</f>
        <v>(APF 10)</v>
      </c>
      <c r="R58" s="429" t="str">
        <f>CONCATENATE("(APF ",W57,")")</f>
        <v>(APF 10)</v>
      </c>
      <c r="T58" s="211" t="s">
        <v>127</v>
      </c>
      <c r="U58" s="212" t="s">
        <v>127</v>
      </c>
      <c r="V58" s="212" t="s">
        <v>127</v>
      </c>
      <c r="W58" s="213" t="s">
        <v>127</v>
      </c>
    </row>
    <row r="59" spans="2:23" ht="15" thickBot="1" x14ac:dyDescent="0.4">
      <c r="B59" s="203" t="s">
        <v>152</v>
      </c>
      <c r="C59" s="299" t="s">
        <v>64</v>
      </c>
      <c r="D59" s="204" t="s">
        <v>122</v>
      </c>
      <c r="E59" s="498"/>
      <c r="F59" s="498"/>
      <c r="G59" s="500"/>
      <c r="H59" s="502"/>
      <c r="I59" s="502"/>
      <c r="J59" s="510" t="s">
        <v>128</v>
      </c>
      <c r="K59" s="493" t="str">
        <f>IFERROR(VLOOKUP($D31,$Y$9:$AB$10,2,FALSE)/IF($D31="Inhalation",IF($J59="Central Tendency",SUMIFS(#REF!,#REF!,$B27,#REF!,$C31),SUMIFS(#REF!,#REF!,$B27,#REF!,$C31))),"--")</f>
        <v>--</v>
      </c>
      <c r="L59" s="491">
        <f>IFERROR(VLOOKUP($D59,$Y$9:$AB$9,2,FALSE)/IF($D59="Inhalation",IF($J59="Central Tendency",SUMIFS('Inhalation Exposure'!$O$5:$O$164,'Inhalation Exposure'!$B$5:$B$164,$B59,'Inhalation Exposure'!$D$5:$D$164,$C59),SUMIFS('Inhalation Exposure'!$N$5:$N$164,'Inhalation Exposure'!$B$5:$B$164,$B59,'Inhalation Exposure'!$D$5:$D$164,$C59))),"--")</f>
        <v>25.05681818181818</v>
      </c>
      <c r="M59" s="491">
        <f>IFERROR(VLOOKUP($D59,$Y$9:$AB$9,3,FALSE)/IF($D59="Inhalation",IF($J59="Central Tendency",SUMIFS('Inhalation Exposure'!$Q$5:$Q$164,'Inhalation Exposure'!$B$5:$B$164,$B59,'Inhalation Exposure'!$D$5:$D$164,$C59),SUMIFS('Inhalation Exposure'!$P$5:$P$164,'Inhalation Exposure'!$B$5:$B$164,$B59,'Inhalation Exposure'!$D$5:$D$164,$C59))),"--")</f>
        <v>25.795673076923077</v>
      </c>
      <c r="N59" s="491">
        <f>IFERROR(VLOOKUP($D59,$Y$9:$AB$9,4,FALSE)*IF($D59="Inhalation",IF($J59="Central Tendency",SUMIFS('Inhalation Exposure'!$S$5:$S$164,'Inhalation Exposure'!$B$5:$B$164,$B59,'Inhalation Exposure'!$D$5:$D$164,$C59),SUMIFS('Inhalation Exposure'!$R$5:$R$164,'Inhalation Exposure'!$B$5:$B$164,$B59,'Inhalation Exposure'!$D$5:$D$164,$C59))),"--")</f>
        <v>1.5098934550989343E-4</v>
      </c>
      <c r="O59" s="205" t="str">
        <f>IFERROR(K427*T59, "--")</f>
        <v>--</v>
      </c>
      <c r="P59" s="205">
        <f>IFERROR(L427*U59, "--")</f>
        <v>184.75073313782997</v>
      </c>
      <c r="Q59" s="205">
        <f>IFERROR(M427*V59, "--")</f>
        <v>190.19851116625316</v>
      </c>
      <c r="R59" s="206">
        <f>IFERROR(N427/W59, "--")</f>
        <v>4.0955859969558587E-6</v>
      </c>
      <c r="T59" s="214">
        <v>10</v>
      </c>
      <c r="U59" s="215">
        <v>10</v>
      </c>
      <c r="V59" s="215">
        <v>10</v>
      </c>
      <c r="W59" s="216">
        <v>50</v>
      </c>
    </row>
    <row r="60" spans="2:23" ht="15" thickBot="1" x14ac:dyDescent="0.4">
      <c r="B60" s="203" t="s">
        <v>152</v>
      </c>
      <c r="C60" s="299" t="s">
        <v>64</v>
      </c>
      <c r="D60" s="204" t="s">
        <v>122</v>
      </c>
      <c r="E60" s="498"/>
      <c r="F60" s="498"/>
      <c r="G60" s="500"/>
      <c r="H60" s="503"/>
      <c r="I60" s="503"/>
      <c r="J60" s="511"/>
      <c r="K60" s="495"/>
      <c r="L60" s="497"/>
      <c r="M60" s="492"/>
      <c r="N60" s="492"/>
      <c r="O60" s="427" t="str">
        <f>CONCATENATE("(APF ",T59,")")</f>
        <v>(APF 10)</v>
      </c>
      <c r="P60" s="427" t="str">
        <f>CONCATENATE("(APF ",U59,")")</f>
        <v>(APF 10)</v>
      </c>
      <c r="Q60" s="427" t="str">
        <f>CONCATENATE("(APF ",V59,")")</f>
        <v>(APF 10)</v>
      </c>
      <c r="R60" s="427" t="str">
        <f>CONCATENATE("(APF ",W59,")")</f>
        <v>(APF 50)</v>
      </c>
      <c r="T60" s="218" t="s">
        <v>127</v>
      </c>
      <c r="U60" s="219" t="s">
        <v>127</v>
      </c>
      <c r="V60" s="219" t="s">
        <v>127</v>
      </c>
      <c r="W60" s="220" t="s">
        <v>127</v>
      </c>
    </row>
    <row r="61" spans="2:23" ht="15.5" thickTop="1" thickBot="1" x14ac:dyDescent="0.4">
      <c r="B61" s="203" t="s">
        <v>154</v>
      </c>
      <c r="C61" s="299" t="s">
        <v>64</v>
      </c>
      <c r="D61" s="204" t="s">
        <v>122</v>
      </c>
      <c r="E61" s="498"/>
      <c r="F61" s="498"/>
      <c r="G61" s="500"/>
      <c r="H61" s="504" t="s">
        <v>155</v>
      </c>
      <c r="I61" s="504" t="s">
        <v>101</v>
      </c>
      <c r="J61" s="515" t="s">
        <v>69</v>
      </c>
      <c r="K61" s="430"/>
      <c r="L61" s="496">
        <f>IFERROR(VLOOKUP($D61,$Y$9:$AB$9,2,FALSE)/IF($D61="Inhalation",IF($J61="Central Tendency",SUMIFS('Inhalation Exposure'!$O$5:$O$164,'Inhalation Exposure'!$B$5:$B$164,$B61,'Inhalation Exposure'!$D$5:$D$164,$C61),SUMIFS('Inhalation Exposure'!$N$5:$N$164,'Inhalation Exposure'!$B$5:$B$164,$B61,'Inhalation Exposure'!$D$5:$D$164,$C61))),"--")</f>
        <v>689.0625</v>
      </c>
      <c r="M61" s="491">
        <f>IFERROR(VLOOKUP($D61,$Y$9:$AB$9,3,FALSE)/IF($D61="Inhalation",IF($J61="Central Tendency",SUMIFS('Inhalation Exposure'!$Q$5:$Q$164,'Inhalation Exposure'!$B$5:$B$164,$B61,'Inhalation Exposure'!$D$5:$D$164,$C61),SUMIFS('Inhalation Exposure'!$P$5:$P$164,'Inhalation Exposure'!$B$5:$B$164,$B61,'Inhalation Exposure'!$D$5:$D$164,$C61))),"--")</f>
        <v>8383.59375</v>
      </c>
      <c r="N61" s="491">
        <f>IFERROR(VLOOKUP($D61,$Y$9:$AB$9,4,FALSE)*IF($D61="Inhalation",IF($J61="Central Tendency",SUMIFS('Inhalation Exposure'!$S$5:$S$164,'Inhalation Exposure'!$B$5:$B$164,$B61,'Inhalation Exposure'!$D$5:$D$164,$C61),SUMIFS('Inhalation Exposure'!$R$5:$R$164,'Inhalation Exposure'!$B$5:$B$164,$B61,'Inhalation Exposure'!$D$5:$D$164,$C61))),"--")</f>
        <v>3.6005151621589974E-7</v>
      </c>
      <c r="O61" s="429" t="s">
        <v>145</v>
      </c>
      <c r="P61" s="429" t="s">
        <v>145</v>
      </c>
      <c r="Q61" s="429" t="s">
        <v>145</v>
      </c>
      <c r="R61" s="429" t="s">
        <v>145</v>
      </c>
      <c r="T61" s="211" t="s">
        <v>145</v>
      </c>
      <c r="U61" s="212" t="s">
        <v>145</v>
      </c>
      <c r="V61" s="212" t="s">
        <v>145</v>
      </c>
      <c r="W61" s="213" t="s">
        <v>145</v>
      </c>
    </row>
    <row r="62" spans="2:23" ht="15" thickBot="1" x14ac:dyDescent="0.4">
      <c r="B62" s="203" t="s">
        <v>154</v>
      </c>
      <c r="C62" s="299" t="s">
        <v>64</v>
      </c>
      <c r="D62" s="204" t="s">
        <v>122</v>
      </c>
      <c r="E62" s="498"/>
      <c r="F62" s="498"/>
      <c r="G62" s="500"/>
      <c r="H62" s="502"/>
      <c r="I62" s="502"/>
      <c r="J62" s="513"/>
      <c r="K62" s="425"/>
      <c r="L62" s="492"/>
      <c r="M62" s="492"/>
      <c r="N62" s="492"/>
      <c r="O62" s="221" t="s">
        <v>145</v>
      </c>
      <c r="P62" s="221" t="s">
        <v>145</v>
      </c>
      <c r="Q62" s="221" t="s">
        <v>145</v>
      </c>
      <c r="R62" s="221" t="s">
        <v>145</v>
      </c>
      <c r="T62" s="222" t="s">
        <v>145</v>
      </c>
      <c r="U62" s="223" t="s">
        <v>145</v>
      </c>
      <c r="V62" s="223" t="s">
        <v>145</v>
      </c>
      <c r="W62" s="224" t="s">
        <v>145</v>
      </c>
    </row>
    <row r="63" spans="2:23" ht="15" thickBot="1" x14ac:dyDescent="0.4">
      <c r="B63" s="203" t="s">
        <v>154</v>
      </c>
      <c r="C63" s="299" t="s">
        <v>64</v>
      </c>
      <c r="D63" s="204" t="s">
        <v>122</v>
      </c>
      <c r="E63" s="498"/>
      <c r="F63" s="498"/>
      <c r="G63" s="500"/>
      <c r="H63" s="502"/>
      <c r="I63" s="502"/>
      <c r="J63" s="510" t="s">
        <v>128</v>
      </c>
      <c r="K63" s="425"/>
      <c r="L63" s="491">
        <f>IFERROR(VLOOKUP($D63,$Y$9:$AB$9,2,FALSE)/IF($D63="Inhalation",IF($J63="Central Tendency",SUMIFS('Inhalation Exposure'!$O$5:$O$164,'Inhalation Exposure'!$B$5:$B$164,$B63,'Inhalation Exposure'!$D$5:$D$164,$C63),SUMIFS('Inhalation Exposure'!$N$5:$N$164,'Inhalation Exposure'!$B$5:$B$164,$B63,'Inhalation Exposure'!$D$5:$D$164,$C63))),"--")</f>
        <v>164.55223880597015</v>
      </c>
      <c r="M63" s="491">
        <f>IFERROR(VLOOKUP($D63,$Y$9:$AB$9,3,FALSE)/IF($D63="Inhalation",IF($J63="Central Tendency",SUMIFS('Inhalation Exposure'!$Q$5:$Q$164,'Inhalation Exposure'!$B$5:$B$164,$B63,'Inhalation Exposure'!$D$5:$D$164,$C63),SUMIFS('Inhalation Exposure'!$P$5:$P$164,'Inhalation Exposure'!$B$5:$B$164,$B63,'Inhalation Exposure'!$D$5:$D$164,$C63))),"--")</f>
        <v>2002.0522388059703</v>
      </c>
      <c r="N63" s="491">
        <f>IFERROR(VLOOKUP($D63,$Y$9:$AB$9,4,FALSE)*IF($D63="Inhalation",IF($J63="Central Tendency",SUMIFS('Inhalation Exposure'!$S$5:$S$164,'Inhalation Exposure'!$B$5:$B$164,$B63,'Inhalation Exposure'!$D$5:$D$164,$C63),SUMIFS('Inhalation Exposure'!$R$5:$R$164,'Inhalation Exposure'!$B$5:$B$164,$B63,'Inhalation Exposure'!$D$5:$D$164,$C63))),"--")</f>
        <v>1.945439644069781E-6</v>
      </c>
      <c r="O63" s="205" t="str">
        <f>IFERROR(K457*T63, "--")</f>
        <v>--</v>
      </c>
      <c r="P63" s="205">
        <f>IFERROR(L457*U63, "--")</f>
        <v>2004.5454545454545</v>
      </c>
      <c r="Q63" s="205">
        <f>IFERROR(M457*V63, "--")</f>
        <v>2063.6538461538462</v>
      </c>
      <c r="R63" s="206">
        <f>IFERROR(N457/W63, "--")</f>
        <v>1.4627092846270928E-6</v>
      </c>
      <c r="T63" s="207">
        <v>10</v>
      </c>
      <c r="U63" s="208">
        <v>10</v>
      </c>
      <c r="V63" s="208">
        <v>10</v>
      </c>
      <c r="W63" s="209">
        <v>10</v>
      </c>
    </row>
    <row r="64" spans="2:23" ht="15" thickBot="1" x14ac:dyDescent="0.4">
      <c r="B64" s="203" t="s">
        <v>154</v>
      </c>
      <c r="C64" s="299" t="s">
        <v>64</v>
      </c>
      <c r="D64" s="204" t="s">
        <v>122</v>
      </c>
      <c r="E64" s="498"/>
      <c r="F64" s="498"/>
      <c r="G64" s="500"/>
      <c r="H64" s="503"/>
      <c r="I64" s="503"/>
      <c r="J64" s="511"/>
      <c r="K64" s="426"/>
      <c r="L64" s="497"/>
      <c r="M64" s="492"/>
      <c r="N64" s="492"/>
      <c r="O64" s="429" t="str">
        <f>CONCATENATE("(APF ",T63,")")</f>
        <v>(APF 10)</v>
      </c>
      <c r="P64" s="429" t="str">
        <f>CONCATENATE("(APF ",U63,")")</f>
        <v>(APF 10)</v>
      </c>
      <c r="Q64" s="429" t="str">
        <f>CONCATENATE("(APF ",V63,")")</f>
        <v>(APF 10)</v>
      </c>
      <c r="R64" s="429" t="str">
        <f>CONCATENATE("(APF ",W63,")")</f>
        <v>(APF 10)</v>
      </c>
      <c r="T64" s="211" t="s">
        <v>127</v>
      </c>
      <c r="U64" s="212" t="s">
        <v>127</v>
      </c>
      <c r="V64" s="212" t="s">
        <v>127</v>
      </c>
      <c r="W64" s="213" t="s">
        <v>127</v>
      </c>
    </row>
    <row r="65" spans="2:23" ht="15.5" thickTop="1" thickBot="1" x14ac:dyDescent="0.4">
      <c r="B65" s="203" t="s">
        <v>156</v>
      </c>
      <c r="C65" s="299" t="s">
        <v>64</v>
      </c>
      <c r="D65" s="204" t="s">
        <v>122</v>
      </c>
      <c r="E65" s="498"/>
      <c r="F65" s="498"/>
      <c r="G65" s="500"/>
      <c r="H65" s="504" t="s">
        <v>157</v>
      </c>
      <c r="I65" s="504" t="s">
        <v>101</v>
      </c>
      <c r="J65" s="515" t="s">
        <v>69</v>
      </c>
      <c r="K65" s="430"/>
      <c r="L65" s="491">
        <f>IFERROR(VLOOKUP($D65,$Y$9:$AB$9,2,FALSE)/IF($D65="Inhalation",IF($J65="Central Tendency",SUMIFS('Inhalation Exposure'!$O$5:$O$164,'Inhalation Exposure'!$B$5:$B$164,$B65,'Inhalation Exposure'!$D$5:$D$164,$C65),SUMIFS('Inhalation Exposure'!$N$5:$N$164,'Inhalation Exposure'!$B$5:$B$164,$B65,'Inhalation Exposure'!$D$5:$D$164,$C65))),"--")</f>
        <v>281.24999999999994</v>
      </c>
      <c r="M65" s="491">
        <f>IFERROR(VLOOKUP($D65,$Y$9:$AB$9,3,FALSE)/IF($D65="Inhalation",IF($J65="Central Tendency",SUMIFS('Inhalation Exposure'!$Q$5:$Q$164,'Inhalation Exposure'!$B$5:$B$164,$B65,'Inhalation Exposure'!$D$5:$D$164,$C65),SUMIFS('Inhalation Exposure'!$P$5:$P$164,'Inhalation Exposure'!$B$5:$B$164,$B65,'Inhalation Exposure'!$D$5:$D$164,$C65))),"--")</f>
        <v>3421.8749999999995</v>
      </c>
      <c r="N65" s="491">
        <f>IFERROR(VLOOKUP($D65,$Y$9:$AB$9,4,FALSE)*IF($D65="Inhalation",IF($J65="Central Tendency",SUMIFS('Inhalation Exposure'!$S$5:$S$164,'Inhalation Exposure'!$B$5:$B$164,$B65,'Inhalation Exposure'!$D$5:$D$164,$C65),SUMIFS('Inhalation Exposure'!$R$5:$R$164,'Inhalation Exposure'!$B$5:$B$164,$B65,'Inhalation Exposure'!$D$5:$D$164,$C65))),"--")</f>
        <v>8.8212621472895455E-7</v>
      </c>
      <c r="O65" s="205" t="str">
        <f>IFERROR(K459*T65, "--")</f>
        <v>--</v>
      </c>
      <c r="P65" s="205">
        <f>IFERROR(L459*U65, "--")</f>
        <v>213.2495164410058</v>
      </c>
      <c r="Q65" s="205">
        <f>IFERROR(M459*V65, "--")</f>
        <v>219.53764320785598</v>
      </c>
      <c r="R65" s="206">
        <f>IFERROR(N459/W65, "--")</f>
        <v>3.5482496194824961E-6</v>
      </c>
      <c r="T65" s="214">
        <v>10</v>
      </c>
      <c r="U65" s="215">
        <v>10</v>
      </c>
      <c r="V65" s="215">
        <v>10</v>
      </c>
      <c r="W65" s="216">
        <v>50</v>
      </c>
    </row>
    <row r="66" spans="2:23" ht="15" thickBot="1" x14ac:dyDescent="0.4">
      <c r="B66" s="203" t="s">
        <v>156</v>
      </c>
      <c r="C66" s="299" t="s">
        <v>64</v>
      </c>
      <c r="D66" s="204" t="s">
        <v>122</v>
      </c>
      <c r="E66" s="498"/>
      <c r="F66" s="498"/>
      <c r="G66" s="500"/>
      <c r="H66" s="502"/>
      <c r="I66" s="502"/>
      <c r="J66" s="513"/>
      <c r="K66" s="425"/>
      <c r="L66" s="492"/>
      <c r="M66" s="492"/>
      <c r="N66" s="492"/>
      <c r="O66" s="427" t="str">
        <f>CONCATENATE("(APF ",T65,")")</f>
        <v>(APF 10)</v>
      </c>
      <c r="P66" s="427" t="str">
        <f>CONCATENATE("(APF ",U65,")")</f>
        <v>(APF 10)</v>
      </c>
      <c r="Q66" s="427" t="str">
        <f>CONCATENATE("(APF ",V65,")")</f>
        <v>(APF 10)</v>
      </c>
      <c r="R66" s="427" t="str">
        <f>CONCATENATE("(APF ",W65,")")</f>
        <v>(APF 50)</v>
      </c>
      <c r="T66" s="218" t="s">
        <v>127</v>
      </c>
      <c r="U66" s="219" t="s">
        <v>127</v>
      </c>
      <c r="V66" s="219" t="s">
        <v>127</v>
      </c>
      <c r="W66" s="220" t="s">
        <v>127</v>
      </c>
    </row>
    <row r="67" spans="2:23" ht="15.75" customHeight="1" thickBot="1" x14ac:dyDescent="0.4">
      <c r="B67" s="203" t="s">
        <v>156</v>
      </c>
      <c r="C67" s="299" t="s">
        <v>64</v>
      </c>
      <c r="D67" s="204" t="s">
        <v>122</v>
      </c>
      <c r="E67" s="498"/>
      <c r="F67" s="498"/>
      <c r="G67" s="500"/>
      <c r="H67" s="502"/>
      <c r="I67" s="502"/>
      <c r="J67" s="510" t="s">
        <v>128</v>
      </c>
      <c r="K67" s="425"/>
      <c r="L67" s="491">
        <f>IFERROR(VLOOKUP($D67,$Y$9:$AB$9,2,FALSE)/IF($D67="Inhalation",IF($J67="Central Tendency",SUMIFS('Inhalation Exposure'!$O$5:$O$164,'Inhalation Exposure'!$B$5:$B$164,$B67,'Inhalation Exposure'!$D$5:$D$164,$C67),SUMIFS('Inhalation Exposure'!$N$5:$N$164,'Inhalation Exposure'!$B$5:$B$164,$B67,'Inhalation Exposure'!$D$5:$D$164,$C67))),"--")</f>
        <v>131.25</v>
      </c>
      <c r="M67" s="491">
        <f>IFERROR(VLOOKUP($D67,$Y$9:$AB$9,3,FALSE)/IF($D67="Inhalation",IF($J67="Central Tendency",SUMIFS('Inhalation Exposure'!$Q$5:$Q$164,'Inhalation Exposure'!$B$5:$B$164,$B67,'Inhalation Exposure'!$D$5:$D$164,$C67),SUMIFS('Inhalation Exposure'!$P$5:$P$164,'Inhalation Exposure'!$B$5:$B$164,$B67,'Inhalation Exposure'!$D$5:$D$164,$C67))),"--")</f>
        <v>1596.8749999999998</v>
      </c>
      <c r="N67" s="491">
        <f>IFERROR(VLOOKUP($D67,$Y$9:$AB$9,4,FALSE)*IF($D67="Inhalation",IF($J67="Central Tendency",SUMIFS('Inhalation Exposure'!$S$5:$S$164,'Inhalation Exposure'!$B$5:$B$164,$B67,'Inhalation Exposure'!$D$5:$D$164,$C67),SUMIFS('Inhalation Exposure'!$R$5:$R$164,'Inhalation Exposure'!$B$5:$B$164,$B67,'Inhalation Exposure'!$D$5:$D$164,$C67))),"--")</f>
        <v>2.4390586582367404E-6</v>
      </c>
      <c r="O67" s="429" t="s">
        <v>145</v>
      </c>
      <c r="P67" s="429" t="s">
        <v>145</v>
      </c>
      <c r="Q67" s="429" t="s">
        <v>145</v>
      </c>
      <c r="R67" s="429" t="s">
        <v>145</v>
      </c>
      <c r="T67" s="211" t="s">
        <v>145</v>
      </c>
      <c r="U67" s="212" t="s">
        <v>145</v>
      </c>
      <c r="V67" s="212" t="s">
        <v>145</v>
      </c>
      <c r="W67" s="213" t="s">
        <v>145</v>
      </c>
    </row>
    <row r="68" spans="2:23" ht="15" thickBot="1" x14ac:dyDescent="0.4">
      <c r="B68" s="203" t="s">
        <v>156</v>
      </c>
      <c r="C68" s="299" t="s">
        <v>64</v>
      </c>
      <c r="D68" s="204" t="s">
        <v>122</v>
      </c>
      <c r="E68" s="498"/>
      <c r="F68" s="498"/>
      <c r="G68" s="500"/>
      <c r="H68" s="503"/>
      <c r="I68" s="503"/>
      <c r="J68" s="511"/>
      <c r="K68" s="426"/>
      <c r="L68" s="497"/>
      <c r="M68" s="492"/>
      <c r="N68" s="492"/>
      <c r="O68" s="221" t="s">
        <v>145</v>
      </c>
      <c r="P68" s="221" t="s">
        <v>145</v>
      </c>
      <c r="Q68" s="221" t="s">
        <v>145</v>
      </c>
      <c r="R68" s="221" t="s">
        <v>145</v>
      </c>
      <c r="T68" s="222" t="s">
        <v>145</v>
      </c>
      <c r="U68" s="223" t="s">
        <v>145</v>
      </c>
      <c r="V68" s="223" t="s">
        <v>145</v>
      </c>
      <c r="W68" s="224" t="s">
        <v>145</v>
      </c>
    </row>
    <row r="69" spans="2:23" ht="15.5" thickTop="1" thickBot="1" x14ac:dyDescent="0.4">
      <c r="B69" s="203" t="s">
        <v>158</v>
      </c>
      <c r="C69" s="299" t="s">
        <v>64</v>
      </c>
      <c r="D69" s="204" t="s">
        <v>122</v>
      </c>
      <c r="E69" s="498"/>
      <c r="F69" s="498"/>
      <c r="G69" s="500"/>
      <c r="H69" s="504" t="s">
        <v>159</v>
      </c>
      <c r="I69" s="504" t="s">
        <v>101</v>
      </c>
      <c r="J69" s="515" t="s">
        <v>69</v>
      </c>
      <c r="K69" s="516" t="str">
        <f>IFERROR(VLOOKUP($D33,$Y$9:$AB$10,2,FALSE)/IF($D33="Inhalation",IF($J69="Central Tendency",SUMIFS(#REF!,#REF!,$B29,#REF!,$C33),SUMIFS(#REF!,#REF!,$B29,#REF!,$C33))),"--")</f>
        <v>--</v>
      </c>
      <c r="L69" s="496">
        <f>IFERROR(VLOOKUP($D69,$Y$9:$AB$9,2,FALSE)/IF($D69="Inhalation",IF($J69="Central Tendency",SUMIFS('Inhalation Exposure'!$O$5:$O$164,'Inhalation Exposure'!$B$5:$B$164,$B69,'Inhalation Exposure'!$D$5:$D$164,$C69),SUMIFS('Inhalation Exposure'!$N$5:$N$164,'Inhalation Exposure'!$B$5:$B$164,$B69,'Inhalation Exposure'!$D$5:$D$164,$C69))),"--")</f>
        <v>131.87799043062202</v>
      </c>
      <c r="M69" s="491">
        <f>IFERROR(VLOOKUP($D69,$Y$9:$AB$9,3,FALSE)/IF($D69="Inhalation",IF($J69="Central Tendency",SUMIFS('Inhalation Exposure'!$Q$5:$Q$164,'Inhalation Exposure'!$B$5:$B$164,$B69,'Inhalation Exposure'!$D$5:$D$164,$C69),SUMIFS('Inhalation Exposure'!$P$5:$P$164,'Inhalation Exposure'!$B$5:$B$164,$B69,'Inhalation Exposure'!$D$5:$D$164,$C69))),"--")</f>
        <v>135.76670040485831</v>
      </c>
      <c r="N69" s="491">
        <f>IFERROR(VLOOKUP($D69,$Y$9:$AB$9,4,FALSE)*IF($D69="Inhalation",IF($J69="Central Tendency",SUMIFS('Inhalation Exposure'!$S$5:$S$164,'Inhalation Exposure'!$B$5:$B$164,$B69,'Inhalation Exposure'!$D$5:$D$164,$C69),SUMIFS('Inhalation Exposure'!$R$5:$R$164,'Inhalation Exposure'!$B$5:$B$164,$B69,'Inhalation Exposure'!$D$5:$D$164,$C69))),"--")</f>
        <v>2.223318112633181E-5</v>
      </c>
      <c r="O69" s="205" t="str">
        <f>IFERROR(K481*T69, "--")</f>
        <v>--</v>
      </c>
      <c r="P69" s="205">
        <f>IFERROR(L481*U69, "--")</f>
        <v>1108.681706636921</v>
      </c>
      <c r="Q69" s="205">
        <f>IFERROR(M481*V69, "--")</f>
        <v>1141.3736031146768</v>
      </c>
      <c r="R69" s="206">
        <f>IFERROR(N481/W69, "--")</f>
        <v>2.6446429396898902E-6</v>
      </c>
      <c r="T69" s="207">
        <v>10</v>
      </c>
      <c r="U69" s="208">
        <v>10</v>
      </c>
      <c r="V69" s="208">
        <v>10</v>
      </c>
      <c r="W69" s="209">
        <v>10</v>
      </c>
    </row>
    <row r="70" spans="2:23" ht="15" thickBot="1" x14ac:dyDescent="0.4">
      <c r="B70" s="203" t="s">
        <v>158</v>
      </c>
      <c r="C70" s="299" t="s">
        <v>64</v>
      </c>
      <c r="D70" s="204" t="s">
        <v>122</v>
      </c>
      <c r="E70" s="498"/>
      <c r="F70" s="498"/>
      <c r="G70" s="500"/>
      <c r="H70" s="502"/>
      <c r="I70" s="502"/>
      <c r="J70" s="513"/>
      <c r="K70" s="495"/>
      <c r="L70" s="492"/>
      <c r="M70" s="492"/>
      <c r="N70" s="492"/>
      <c r="O70" s="429" t="str">
        <f>CONCATENATE("(APF ",T69,")")</f>
        <v>(APF 10)</v>
      </c>
      <c r="P70" s="429" t="str">
        <f>CONCATENATE("(APF ",U69,")")</f>
        <v>(APF 10)</v>
      </c>
      <c r="Q70" s="429" t="str">
        <f>CONCATENATE("(APF ",V69,")")</f>
        <v>(APF 10)</v>
      </c>
      <c r="R70" s="429" t="str">
        <f>CONCATENATE("(APF ",W69,")")</f>
        <v>(APF 10)</v>
      </c>
      <c r="T70" s="211" t="s">
        <v>127</v>
      </c>
      <c r="U70" s="212" t="s">
        <v>127</v>
      </c>
      <c r="V70" s="212" t="s">
        <v>127</v>
      </c>
      <c r="W70" s="213" t="s">
        <v>127</v>
      </c>
    </row>
    <row r="71" spans="2:23" ht="15" thickBot="1" x14ac:dyDescent="0.4">
      <c r="B71" s="203" t="s">
        <v>158</v>
      </c>
      <c r="C71" s="299" t="s">
        <v>64</v>
      </c>
      <c r="D71" s="204" t="s">
        <v>122</v>
      </c>
      <c r="E71" s="498"/>
      <c r="F71" s="498"/>
      <c r="G71" s="500"/>
      <c r="H71" s="502"/>
      <c r="I71" s="502"/>
      <c r="J71" s="510" t="s">
        <v>128</v>
      </c>
      <c r="K71" s="493" t="str">
        <f>IFERROR(VLOOKUP($D35,$Y$9:$AB$10,2,FALSE)/IF($D35="Inhalation",IF($J71="Central Tendency",SUMIFS(#REF!,#REF!,$B31,#REF!,$C35),SUMIFS(#REF!,#REF!,$B31,#REF!,$C35))),"--")</f>
        <v>--</v>
      </c>
      <c r="L71" s="491">
        <f>IFERROR(VLOOKUP($D71,$Y$9:$AB$9,2,FALSE)/IF($D71="Inhalation",IF($J71="Central Tendency",SUMIFS('Inhalation Exposure'!$O$5:$O$164,'Inhalation Exposure'!$B$5:$B$164,$B71,'Inhalation Exposure'!$D$5:$D$164,$C71),SUMIFS('Inhalation Exposure'!$N$5:$N$164,'Inhalation Exposure'!$B$5:$B$164,$B71,'Inhalation Exposure'!$D$5:$D$164,$C71))),"--")</f>
        <v>13.767482517482518</v>
      </c>
      <c r="M71" s="491">
        <f>IFERROR(VLOOKUP($D71,$Y$9:$AB$9,3,FALSE)/IF($D71="Inhalation",IF($J71="Central Tendency",SUMIFS('Inhalation Exposure'!$Q$5:$Q$164,'Inhalation Exposure'!$B$5:$B$164,$B71,'Inhalation Exposure'!$D$5:$D$164,$C71),SUMIFS('Inhalation Exposure'!$P$5:$P$164,'Inhalation Exposure'!$B$5:$B$164,$B71,'Inhalation Exposure'!$D$5:$D$164,$C71))),"--")</f>
        <v>14.173446745562131</v>
      </c>
      <c r="N71" s="491">
        <f>IFERROR(VLOOKUP($D71,$Y$9:$AB$9,4,FALSE)*IF($D71="Inhalation",IF($J71="Central Tendency",SUMIFS('Inhalation Exposure'!$S$5:$S$164,'Inhalation Exposure'!$B$5:$B$164,$B71,'Inhalation Exposure'!$D$5:$D$164,$C71),SUMIFS('Inhalation Exposure'!$R$5:$R$164,'Inhalation Exposure'!$B$5:$B$164,$B71,'Inhalation Exposure'!$D$5:$D$164,$C71))),"--")</f>
        <v>2.7480060882800603E-4</v>
      </c>
      <c r="O71" s="205" t="str">
        <f>IFERROR(K483*T71, "--")</f>
        <v>--</v>
      </c>
      <c r="P71" s="205">
        <f>IFERROR(L483*U71, "--")</f>
        <v>554.34085331846052</v>
      </c>
      <c r="Q71" s="205">
        <f>IFERROR(M483*V71, "--")</f>
        <v>570.68680155733841</v>
      </c>
      <c r="R71" s="206">
        <f>IFERROR(N483/W71, "--")</f>
        <v>1.364977001130266E-6</v>
      </c>
      <c r="T71" s="214">
        <v>10</v>
      </c>
      <c r="U71" s="215">
        <v>10</v>
      </c>
      <c r="V71" s="215">
        <v>10</v>
      </c>
      <c r="W71" s="216">
        <v>50</v>
      </c>
    </row>
    <row r="72" spans="2:23" ht="15" thickBot="1" x14ac:dyDescent="0.4">
      <c r="B72" s="203" t="s">
        <v>158</v>
      </c>
      <c r="C72" s="299" t="s">
        <v>64</v>
      </c>
      <c r="D72" s="204" t="s">
        <v>122</v>
      </c>
      <c r="E72" s="498"/>
      <c r="F72" s="498"/>
      <c r="G72" s="500"/>
      <c r="H72" s="503"/>
      <c r="I72" s="503"/>
      <c r="J72" s="511"/>
      <c r="K72" s="495"/>
      <c r="L72" s="497"/>
      <c r="M72" s="492"/>
      <c r="N72" s="492"/>
      <c r="O72" s="427" t="str">
        <f>CONCATENATE("(APF ",T71,")")</f>
        <v>(APF 10)</v>
      </c>
      <c r="P72" s="427" t="str">
        <f>CONCATENATE("(APF ",U71,")")</f>
        <v>(APF 10)</v>
      </c>
      <c r="Q72" s="427" t="str">
        <f>CONCATENATE("(APF ",V71,")")</f>
        <v>(APF 10)</v>
      </c>
      <c r="R72" s="427" t="str">
        <f>CONCATENATE("(APF ",W71,")")</f>
        <v>(APF 50)</v>
      </c>
      <c r="T72" s="218" t="s">
        <v>127</v>
      </c>
      <c r="U72" s="219" t="s">
        <v>127</v>
      </c>
      <c r="V72" s="219" t="s">
        <v>127</v>
      </c>
      <c r="W72" s="220" t="s">
        <v>127</v>
      </c>
    </row>
    <row r="73" spans="2:23" ht="15.5" thickTop="1" thickBot="1" x14ac:dyDescent="0.4">
      <c r="B73" s="203" t="s">
        <v>160</v>
      </c>
      <c r="C73" s="299" t="s">
        <v>68</v>
      </c>
      <c r="D73" s="204" t="s">
        <v>122</v>
      </c>
      <c r="E73" s="498"/>
      <c r="F73" s="498"/>
      <c r="G73" s="500"/>
      <c r="H73" s="504" t="s">
        <v>68</v>
      </c>
      <c r="I73" s="504" t="s">
        <v>101</v>
      </c>
      <c r="J73" s="515" t="s">
        <v>69</v>
      </c>
      <c r="K73" s="516" t="str">
        <f>IFERROR(VLOOKUP($D37,$Y$9:$AB$10,2,FALSE)/IF($D37="Inhalation",IF($J73="Central Tendency",SUMIFS(#REF!,#REF!,$B33,#REF!,$C37),SUMIFS(#REF!,#REF!,$B33,#REF!,$C37))),"--")</f>
        <v>--</v>
      </c>
      <c r="L73" s="491">
        <f>IFERROR(VLOOKUP($D73,$Y$9:$AB$9,2,FALSE)/IF($D73="Inhalation",IF($J73="Central Tendency",SUMIFS('Inhalation Exposure'!$O$5:$O$164,'Inhalation Exposure'!$B$5:$B$164,$B73,'Inhalation Exposure'!$D$5:$D$164,$C73),SUMIFS('Inhalation Exposure'!$N$5:$N$164,'Inhalation Exposure'!$B$5:$B$164,$B73,'Inhalation Exposure'!$D$5:$D$164,$C73))),"--")</f>
        <v>626.4204545454545</v>
      </c>
      <c r="M73" s="491">
        <f>IFERROR(VLOOKUP($D73,$Y$9:$AB$9,3,FALSE)/IF($D73="Inhalation",IF($J73="Central Tendency",SUMIFS('Inhalation Exposure'!$Q$5:$Q$164,'Inhalation Exposure'!$B$5:$B$164,$B73,'Inhalation Exposure'!$D$5:$D$164,$C73),SUMIFS('Inhalation Exposure'!$P$5:$P$164,'Inhalation Exposure'!$B$5:$B$164,$B73,'Inhalation Exposure'!$D$5:$D$164,$C73))),"--")</f>
        <v>644.89182692307691</v>
      </c>
      <c r="N73" s="491">
        <f>IFERROR(VLOOKUP($D73,$Y$9:$AB$9,4,FALSE)*IF($D73="Inhalation",IF($J73="Central Tendency",SUMIFS('Inhalation Exposure'!$S$5:$S$164,'Inhalation Exposure'!$B$5:$B$164,$B73,'Inhalation Exposure'!$D$5:$D$164,$C73),SUMIFS('Inhalation Exposure'!$R$5:$R$164,'Inhalation Exposure'!$B$5:$B$164,$B73,'Inhalation Exposure'!$D$5:$D$164,$C73))),"--")</f>
        <v>4.6806697108066976E-6</v>
      </c>
      <c r="O73" s="429" t="s">
        <v>145</v>
      </c>
      <c r="P73" s="429" t="s">
        <v>145</v>
      </c>
      <c r="Q73" s="429" t="s">
        <v>145</v>
      </c>
      <c r="R73" s="429" t="s">
        <v>145</v>
      </c>
      <c r="T73" s="211" t="s">
        <v>145</v>
      </c>
      <c r="U73" s="212" t="s">
        <v>145</v>
      </c>
      <c r="V73" s="212" t="s">
        <v>145</v>
      </c>
      <c r="W73" s="213" t="s">
        <v>145</v>
      </c>
    </row>
    <row r="74" spans="2:23" ht="15" thickBot="1" x14ac:dyDescent="0.4">
      <c r="B74" s="203" t="s">
        <v>160</v>
      </c>
      <c r="C74" s="299" t="s">
        <v>68</v>
      </c>
      <c r="D74" s="204" t="s">
        <v>122</v>
      </c>
      <c r="E74" s="498"/>
      <c r="F74" s="498"/>
      <c r="G74" s="500"/>
      <c r="H74" s="502"/>
      <c r="I74" s="502"/>
      <c r="J74" s="513"/>
      <c r="K74" s="495"/>
      <c r="L74" s="492"/>
      <c r="M74" s="492"/>
      <c r="N74" s="492"/>
      <c r="O74" s="221" t="s">
        <v>145</v>
      </c>
      <c r="P74" s="221" t="s">
        <v>145</v>
      </c>
      <c r="Q74" s="221" t="s">
        <v>145</v>
      </c>
      <c r="R74" s="221" t="s">
        <v>145</v>
      </c>
      <c r="T74" s="222" t="s">
        <v>145</v>
      </c>
      <c r="U74" s="223" t="s">
        <v>145</v>
      </c>
      <c r="V74" s="223" t="s">
        <v>145</v>
      </c>
      <c r="W74" s="224" t="s">
        <v>145</v>
      </c>
    </row>
    <row r="75" spans="2:23" ht="15" thickBot="1" x14ac:dyDescent="0.4">
      <c r="B75" s="203" t="s">
        <v>160</v>
      </c>
      <c r="C75" s="299" t="s">
        <v>68</v>
      </c>
      <c r="D75" s="204" t="s">
        <v>122</v>
      </c>
      <c r="E75" s="498"/>
      <c r="F75" s="498"/>
      <c r="G75" s="500"/>
      <c r="H75" s="502"/>
      <c r="I75" s="502"/>
      <c r="J75" s="510" t="s">
        <v>128</v>
      </c>
      <c r="K75" s="493" t="str">
        <f>IFERROR(VLOOKUP($D39,$Y$9:$AB$10,2,FALSE)/IF($D39="Inhalation",IF($J75="Central Tendency",SUMIFS(#REF!,#REF!,$B35,#REF!,$C39),SUMIFS(#REF!,#REF!,$B35,#REF!,$C39))),"--")</f>
        <v>--</v>
      </c>
      <c r="L75" s="491">
        <f>IFERROR(VLOOKUP($D75,$Y$9:$AB$9,2,FALSE)/IF($D75="Inhalation",IF($J75="Central Tendency",SUMIFS('Inhalation Exposure'!$O$5:$O$164,'Inhalation Exposure'!$B$5:$B$164,$B75,'Inhalation Exposure'!$D$5:$D$164,$C75),SUMIFS('Inhalation Exposure'!$N$5:$N$164,'Inhalation Exposure'!$B$5:$B$164,$B75,'Inhalation Exposure'!$D$5:$D$164,$C75))),"--")</f>
        <v>294.78609625668446</v>
      </c>
      <c r="M75" s="491">
        <f>IFERROR(VLOOKUP($D75,$Y$9:$AB$9,3,FALSE)/IF($D75="Inhalation",IF($J75="Central Tendency",SUMIFS('Inhalation Exposure'!$Q$5:$Q$164,'Inhalation Exposure'!$B$5:$B$164,$B75,'Inhalation Exposure'!$D$5:$D$164,$C75),SUMIFS('Inhalation Exposure'!$P$5:$P$164,'Inhalation Exposure'!$B$5:$B$164,$B75,'Inhalation Exposure'!$D$5:$D$164,$C75))),"--")</f>
        <v>303.47850678733033</v>
      </c>
      <c r="N75" s="491">
        <f>IFERROR(VLOOKUP($D75,$Y$9:$AB$9,4,FALSE)*IF($D75="Inhalation",IF($J75="Central Tendency",SUMIFS('Inhalation Exposure'!$S$5:$S$164,'Inhalation Exposure'!$B$5:$B$164,$B75,'Inhalation Exposure'!$D$5:$D$164,$C75),SUMIFS('Inhalation Exposure'!$R$5:$R$164,'Inhalation Exposure'!$B$5:$B$164,$B75,'Inhalation Exposure'!$D$5:$D$164,$C75))),"--")</f>
        <v>1.2834094368340944E-5</v>
      </c>
      <c r="O75" s="205" t="str">
        <f>IFERROR(#REF!*T75, "--")</f>
        <v>--</v>
      </c>
      <c r="P75" s="205" t="str">
        <f>IFERROR(#REF!*U75, "--")</f>
        <v>--</v>
      </c>
      <c r="Q75" s="205" t="str">
        <f>IFERROR(#REF!*V75, "--")</f>
        <v>--</v>
      </c>
      <c r="R75" s="206" t="str">
        <f>IFERROR(#REF!/W75, "--")</f>
        <v>--</v>
      </c>
      <c r="T75" s="207">
        <v>10</v>
      </c>
      <c r="U75" s="208">
        <v>10</v>
      </c>
      <c r="V75" s="208">
        <v>10</v>
      </c>
      <c r="W75" s="209">
        <v>10</v>
      </c>
    </row>
    <row r="76" spans="2:23" ht="15" thickBot="1" x14ac:dyDescent="0.4">
      <c r="B76" s="203" t="s">
        <v>160</v>
      </c>
      <c r="C76" s="299" t="s">
        <v>68</v>
      </c>
      <c r="D76" s="204" t="s">
        <v>122</v>
      </c>
      <c r="E76" s="499"/>
      <c r="F76" s="499"/>
      <c r="G76" s="501"/>
      <c r="H76" s="505"/>
      <c r="I76" s="505"/>
      <c r="J76" s="513"/>
      <c r="K76" s="507"/>
      <c r="L76" s="497"/>
      <c r="M76" s="492"/>
      <c r="N76" s="492"/>
      <c r="O76" s="429" t="str">
        <f>CONCATENATE("(APF ",T75,")")</f>
        <v>(APF 10)</v>
      </c>
      <c r="P76" s="429" t="str">
        <f>CONCATENATE("(APF ",U75,")")</f>
        <v>(APF 10)</v>
      </c>
      <c r="Q76" s="429" t="str">
        <f>CONCATENATE("(APF ",V75,")")</f>
        <v>(APF 10)</v>
      </c>
      <c r="R76" s="429" t="str">
        <f>CONCATENATE("(APF ",W75,")")</f>
        <v>(APF 10)</v>
      </c>
      <c r="T76" s="211" t="s">
        <v>127</v>
      </c>
      <c r="U76" s="212" t="s">
        <v>127</v>
      </c>
      <c r="V76" s="212" t="s">
        <v>127</v>
      </c>
      <c r="W76" s="213" t="s">
        <v>127</v>
      </c>
    </row>
    <row r="77" spans="2:23" ht="15.5" thickTop="1" thickBot="1" x14ac:dyDescent="0.4">
      <c r="B77" s="203" t="s">
        <v>161</v>
      </c>
      <c r="C77" s="204" t="s">
        <v>64</v>
      </c>
      <c r="D77" s="204" t="s">
        <v>122</v>
      </c>
      <c r="E77" s="498" t="s">
        <v>123</v>
      </c>
      <c r="F77" s="498" t="s">
        <v>124</v>
      </c>
      <c r="G77" s="500" t="s">
        <v>162</v>
      </c>
      <c r="H77" s="502" t="s">
        <v>126</v>
      </c>
      <c r="I77" s="502" t="s">
        <v>163</v>
      </c>
      <c r="J77" s="512" t="s">
        <v>69</v>
      </c>
      <c r="K77" s="494" t="str">
        <f>IFERROR(VLOOKUP($D77,$Y$9:$AB$10,2,FALSE)/IF($D77="Inhalation",IF($J77="Central Tendency",SUMIFS(#REF!,#REF!,$B77,#REF!,$C77),SUMIFS(#REF!,#REF!,$B77,#REF!,$C77))),"--")</f>
        <v>--</v>
      </c>
      <c r="L77" s="496">
        <f>IFERROR(VLOOKUP($D77,$Y$9:$AB$9,2,FALSE)/IF($D77="Inhalation",IF($J77="Central Tendency",SUMIFS('Inhalation Exposure'!$O$5:$O$164,'Inhalation Exposure'!$B$5:$B$164,$B77,'Inhalation Exposure'!$D$5:$D$164,$C77),SUMIFS('Inhalation Exposure'!$N$5:$N$164,'Inhalation Exposure'!$B$5:$B$164,$B77,'Inhalation Exposure'!$D$5:$D$164,$C77))),"--")</f>
        <v>133.63636363636363</v>
      </c>
      <c r="M77" s="491">
        <f>IFERROR(VLOOKUP($D77,$Y$9:$AB$9,3,FALSE)/IF($D77="Inhalation",IF($J77="Central Tendency",SUMIFS('Inhalation Exposure'!$Q$5:$Q$164,'Inhalation Exposure'!$B$5:$B$164,$B77,'Inhalation Exposure'!$D$5:$D$164,$C77),SUMIFS('Inhalation Exposure'!$P$5:$P$164,'Inhalation Exposure'!$B$5:$B$164,$B77,'Inhalation Exposure'!$D$5:$D$164,$C77))),"--")</f>
        <v>214.19161676646701</v>
      </c>
      <c r="N77" s="491">
        <f>IFERROR(VLOOKUP($D77,$Y$9:$AB$9,4,FALSE)*IF($D77="Inhalation",IF($J77="Central Tendency",SUMIFS('Inhalation Exposure'!$S$5:$S$164,'Inhalation Exposure'!$B$5:$B$164,$B77,'Inhalation Exposure'!$D$5:$D$164,$C77),SUMIFS('Inhalation Exposure'!$R$5:$R$164,'Inhalation Exposure'!$B$5:$B$164,$B77,'Inhalation Exposure'!$D$5:$D$164,$C77))),"--")</f>
        <v>1.4092641376887955E-5</v>
      </c>
      <c r="O77" s="205" t="str">
        <f>IFERROR(#REF!*T77, "--")</f>
        <v>--</v>
      </c>
      <c r="P77" s="205" t="str">
        <f>IFERROR(#REF!*U77, "--")</f>
        <v>--</v>
      </c>
      <c r="Q77" s="205" t="str">
        <f>IFERROR(#REF!*V77, "--")</f>
        <v>--</v>
      </c>
      <c r="R77" s="206" t="str">
        <f>IFERROR(#REF!/W77, "--")</f>
        <v>--</v>
      </c>
      <c r="T77" s="214">
        <v>10</v>
      </c>
      <c r="U77" s="215">
        <v>10</v>
      </c>
      <c r="V77" s="215">
        <v>10</v>
      </c>
      <c r="W77" s="216">
        <v>50</v>
      </c>
    </row>
    <row r="78" spans="2:23" ht="15" thickBot="1" x14ac:dyDescent="0.4">
      <c r="B78" s="203" t="s">
        <v>161</v>
      </c>
      <c r="C78" s="204" t="s">
        <v>64</v>
      </c>
      <c r="D78" s="204" t="s">
        <v>122</v>
      </c>
      <c r="E78" s="498"/>
      <c r="F78" s="498"/>
      <c r="G78" s="500"/>
      <c r="H78" s="502"/>
      <c r="I78" s="502"/>
      <c r="J78" s="513"/>
      <c r="K78" s="495"/>
      <c r="L78" s="492"/>
      <c r="M78" s="492"/>
      <c r="N78" s="492"/>
      <c r="O78" s="427" t="str">
        <f>CONCATENATE("(APF ",T77,")")</f>
        <v>(APF 10)</v>
      </c>
      <c r="P78" s="427" t="str">
        <f>CONCATENATE("(APF ",U77,")")</f>
        <v>(APF 10)</v>
      </c>
      <c r="Q78" s="427" t="str">
        <f>CONCATENATE("(APF ",V77,")")</f>
        <v>(APF 10)</v>
      </c>
      <c r="R78" s="427" t="str">
        <f>CONCATENATE("(APF ",W77,")")</f>
        <v>(APF 50)</v>
      </c>
      <c r="T78" s="218" t="s">
        <v>127</v>
      </c>
      <c r="U78" s="219" t="s">
        <v>127</v>
      </c>
      <c r="V78" s="219" t="s">
        <v>127</v>
      </c>
      <c r="W78" s="220" t="s">
        <v>127</v>
      </c>
    </row>
    <row r="79" spans="2:23" ht="15" thickBot="1" x14ac:dyDescent="0.4">
      <c r="B79" s="203" t="s">
        <v>161</v>
      </c>
      <c r="C79" s="204" t="s">
        <v>64</v>
      </c>
      <c r="D79" s="204" t="s">
        <v>122</v>
      </c>
      <c r="E79" s="498"/>
      <c r="F79" s="498"/>
      <c r="G79" s="500"/>
      <c r="H79" s="502"/>
      <c r="I79" s="502"/>
      <c r="J79" s="510" t="s">
        <v>128</v>
      </c>
      <c r="K79" s="493" t="str">
        <f>IFERROR(VLOOKUP($D79,$Y$9:$AB$10,2,FALSE)/IF($D79="Inhalation",IF($J79="Central Tendency",SUMIFS(#REF!,#REF!,$B79,#REF!,$C79),SUMIFS(#REF!,#REF!,$B79,#REF!,$C79))),"--")</f>
        <v>--</v>
      </c>
      <c r="L79" s="491">
        <f>IFERROR(VLOOKUP($D79,$Y$9:$AB$9,2,FALSE)/IF($D79="Inhalation",IF($J79="Central Tendency",SUMIFS('Inhalation Exposure'!$O$5:$O$164,'Inhalation Exposure'!$B$5:$B$164,$B79,'Inhalation Exposure'!$D$5:$D$164,$C79),SUMIFS('Inhalation Exposure'!$N$5:$N$164,'Inhalation Exposure'!$B$5:$B$164,$B79,'Inhalation Exposure'!$D$5:$D$164,$C79))),"--")</f>
        <v>7.4407774853209148</v>
      </c>
      <c r="M79" s="491">
        <f>IFERROR(VLOOKUP($D79,$Y$9:$AB$9,3,FALSE)/IF($D79="Inhalation",IF($J79="Central Tendency",SUMIFS('Inhalation Exposure'!$Q$5:$Q$164,'Inhalation Exposure'!$B$5:$B$164,$B79,'Inhalation Exposure'!$D$5:$D$164,$C79),SUMIFS('Inhalation Exposure'!$P$5:$P$164,'Inhalation Exposure'!$B$5:$B$164,$B79,'Inhalation Exposure'!$D$5:$D$164,$C79))),"--")</f>
        <v>11.926036568288813</v>
      </c>
      <c r="N79" s="491">
        <f>IFERROR(VLOOKUP($D79,$Y$9:$AB$9,4,FALSE)*IF($D79="Inhalation",IF($J79="Central Tendency",SUMIFS('Inhalation Exposure'!$S$5:$S$164,'Inhalation Exposure'!$B$5:$B$164,$B79,'Inhalation Exposure'!$D$5:$D$164,$C79),SUMIFS('Inhalation Exposure'!$R$5:$R$164,'Inhalation Exposure'!$B$5:$B$164,$B79,'Inhalation Exposure'!$D$5:$D$164,$C79))),"--")</f>
        <v>3.2658559887600977E-4</v>
      </c>
      <c r="O79" s="429" t="s">
        <v>145</v>
      </c>
      <c r="P79" s="429" t="s">
        <v>145</v>
      </c>
      <c r="Q79" s="429" t="s">
        <v>145</v>
      </c>
      <c r="R79" s="429" t="s">
        <v>145</v>
      </c>
      <c r="T79" s="211" t="s">
        <v>145</v>
      </c>
      <c r="U79" s="212" t="s">
        <v>145</v>
      </c>
      <c r="V79" s="212" t="s">
        <v>145</v>
      </c>
      <c r="W79" s="213" t="s">
        <v>145</v>
      </c>
    </row>
    <row r="80" spans="2:23" ht="15" thickBot="1" x14ac:dyDescent="0.4">
      <c r="B80" s="203" t="s">
        <v>161</v>
      </c>
      <c r="C80" s="204" t="s">
        <v>64</v>
      </c>
      <c r="D80" s="204" t="s">
        <v>122</v>
      </c>
      <c r="E80" s="498"/>
      <c r="F80" s="498"/>
      <c r="G80" s="500"/>
      <c r="H80" s="503"/>
      <c r="I80" s="503"/>
      <c r="J80" s="511"/>
      <c r="K80" s="495"/>
      <c r="L80" s="497"/>
      <c r="M80" s="492"/>
      <c r="N80" s="492"/>
      <c r="O80" s="221" t="s">
        <v>145</v>
      </c>
      <c r="P80" s="221" t="s">
        <v>145</v>
      </c>
      <c r="Q80" s="221" t="s">
        <v>145</v>
      </c>
      <c r="R80" s="221" t="s">
        <v>145</v>
      </c>
      <c r="T80" s="222" t="s">
        <v>145</v>
      </c>
      <c r="U80" s="223" t="s">
        <v>145</v>
      </c>
      <c r="V80" s="223" t="s">
        <v>145</v>
      </c>
      <c r="W80" s="224" t="s">
        <v>145</v>
      </c>
    </row>
    <row r="81" spans="2:23" ht="15" customHeight="1" thickBot="1" x14ac:dyDescent="0.4">
      <c r="B81" s="203" t="s">
        <v>164</v>
      </c>
      <c r="C81" s="204" t="s">
        <v>64</v>
      </c>
      <c r="D81" s="204" t="s">
        <v>122</v>
      </c>
      <c r="E81" s="498"/>
      <c r="F81" s="498"/>
      <c r="G81" s="500"/>
      <c r="H81" s="506" t="s">
        <v>130</v>
      </c>
      <c r="I81" s="506" t="s">
        <v>163</v>
      </c>
      <c r="J81" s="510" t="s">
        <v>69</v>
      </c>
      <c r="K81" s="425"/>
      <c r="L81" s="491">
        <f>IFERROR(VLOOKUP($D81,$Y$9:$AB$9,2,FALSE)/IF($D81="Inhalation",IF($J81="Central Tendency",SUMIFS('Inhalation Exposure'!$O$5:$O$164,'Inhalation Exposure'!$B$5:$B$164,$B81,'Inhalation Exposure'!$D$5:$D$164,$C81),SUMIFS('Inhalation Exposure'!$N$5:$N$164,'Inhalation Exposure'!$B$5:$B$164,$B81,'Inhalation Exposure'!$D$5:$D$164,$C81))),"--")</f>
        <v>39.72972972972974</v>
      </c>
      <c r="M81" s="491">
        <f>IFERROR(VLOOKUP($D81,$Y$9:$AB$9,3,FALSE)/IF($D81="Inhalation",IF($J81="Central Tendency",SUMIFS('Inhalation Exposure'!$Q$5:$Q$164,'Inhalation Exposure'!$B$5:$B$164,$B81,'Inhalation Exposure'!$D$5:$D$164,$C81),SUMIFS('Inhalation Exposure'!$P$5:$P$164,'Inhalation Exposure'!$B$5:$B$164,$B81,'Inhalation Exposure'!$D$5:$D$164,$C81))),"--")</f>
        <v>483.3783783783785</v>
      </c>
      <c r="N81" s="491">
        <f>IFERROR(VLOOKUP($D81,$Y$9:$AB$9,4,FALSE)*IF($D81="Inhalation",IF($J81="Central Tendency",SUMIFS('Inhalation Exposure'!$S$5:$S$164,'Inhalation Exposure'!$B$5:$B$164,$B81,'Inhalation Exposure'!$D$5:$D$164,$C81),SUMIFS('Inhalation Exposure'!$R$5:$R$164,'Inhalation Exposure'!$B$5:$B$164,$B81,'Inhalation Exposure'!$D$5:$D$164,$C81))),"--")</f>
        <v>6.2446434843695089E-6</v>
      </c>
      <c r="O81" s="205" t="str">
        <f>IFERROR(#REF!*T81, "--")</f>
        <v>--</v>
      </c>
      <c r="P81" s="205" t="str">
        <f>IFERROR(#REF!*U81, "--")</f>
        <v>--</v>
      </c>
      <c r="Q81" s="205" t="str">
        <f>IFERROR(#REF!*V81, "--")</f>
        <v>--</v>
      </c>
      <c r="R81" s="206" t="str">
        <f>IFERROR(#REF!/W81, "--")</f>
        <v>--</v>
      </c>
      <c r="T81" s="207">
        <v>10</v>
      </c>
      <c r="U81" s="208">
        <v>10</v>
      </c>
      <c r="V81" s="208">
        <v>10</v>
      </c>
      <c r="W81" s="209">
        <v>10</v>
      </c>
    </row>
    <row r="82" spans="2:23" ht="15" thickBot="1" x14ac:dyDescent="0.4">
      <c r="B82" s="203" t="s">
        <v>164</v>
      </c>
      <c r="C82" s="204" t="s">
        <v>64</v>
      </c>
      <c r="D82" s="204" t="s">
        <v>122</v>
      </c>
      <c r="E82" s="498"/>
      <c r="F82" s="498"/>
      <c r="G82" s="500"/>
      <c r="H82" s="502"/>
      <c r="I82" s="502"/>
      <c r="J82" s="513"/>
      <c r="K82" s="425"/>
      <c r="L82" s="492"/>
      <c r="M82" s="492"/>
      <c r="N82" s="492"/>
      <c r="O82" s="429" t="str">
        <f>CONCATENATE("(APF ",T81,")")</f>
        <v>(APF 10)</v>
      </c>
      <c r="P82" s="429" t="str">
        <f>CONCATENATE("(APF ",U81,")")</f>
        <v>(APF 10)</v>
      </c>
      <c r="Q82" s="429" t="str">
        <f>CONCATENATE("(APF ",V81,")")</f>
        <v>(APF 10)</v>
      </c>
      <c r="R82" s="429" t="str">
        <f>CONCATENATE("(APF ",W81,")")</f>
        <v>(APF 10)</v>
      </c>
      <c r="T82" s="211" t="s">
        <v>127</v>
      </c>
      <c r="U82" s="212" t="s">
        <v>127</v>
      </c>
      <c r="V82" s="212" t="s">
        <v>127</v>
      </c>
      <c r="W82" s="213" t="s">
        <v>127</v>
      </c>
    </row>
    <row r="83" spans="2:23" ht="15" thickBot="1" x14ac:dyDescent="0.4">
      <c r="B83" s="203" t="s">
        <v>164</v>
      </c>
      <c r="C83" s="204" t="s">
        <v>64</v>
      </c>
      <c r="D83" s="204" t="s">
        <v>122</v>
      </c>
      <c r="E83" s="498"/>
      <c r="F83" s="498"/>
      <c r="G83" s="500"/>
      <c r="H83" s="502"/>
      <c r="I83" s="502"/>
      <c r="J83" s="510" t="s">
        <v>128</v>
      </c>
      <c r="K83" s="425"/>
      <c r="L83" s="491">
        <f>IFERROR(VLOOKUP($D83,$Y$9:$AB$9,2,FALSE)/IF($D83="Inhalation",IF($J83="Central Tendency",SUMIFS('Inhalation Exposure'!$O$5:$O$164,'Inhalation Exposure'!$B$5:$B$164,$B83,'Inhalation Exposure'!$D$5:$D$164,$C83),SUMIFS('Inhalation Exposure'!$N$5:$N$164,'Inhalation Exposure'!$B$5:$B$164,$B83,'Inhalation Exposure'!$D$5:$D$164,$C83))),"--")</f>
        <v>18.749999999999996</v>
      </c>
      <c r="M83" s="491">
        <f>IFERROR(VLOOKUP($D83,$Y$9:$AB$9,3,FALSE)/IF($D83="Inhalation",IF($J83="Central Tendency",SUMIFS('Inhalation Exposure'!$Q$5:$Q$164,'Inhalation Exposure'!$B$5:$B$164,$B83,'Inhalation Exposure'!$D$5:$D$164,$C83),SUMIFS('Inhalation Exposure'!$P$5:$P$164,'Inhalation Exposure'!$B$5:$B$164,$B83,'Inhalation Exposure'!$D$5:$D$164,$C83))),"--")</f>
        <v>228.12499999999991</v>
      </c>
      <c r="N83" s="491">
        <f>IFERROR(VLOOKUP($D83,$Y$9:$AB$9,4,FALSE)*IF($D83="Inhalation",IF($J83="Central Tendency",SUMIFS('Inhalation Exposure'!$S$5:$S$164,'Inhalation Exposure'!$B$5:$B$164,$B83,'Inhalation Exposure'!$D$5:$D$164,$C83),SUMIFS('Inhalation Exposure'!$R$5:$R$164,'Inhalation Exposure'!$B$5:$B$164,$B83,'Inhalation Exposure'!$D$5:$D$164,$C83))),"--")</f>
        <v>1.7073410607657187E-5</v>
      </c>
      <c r="O83" s="205" t="str">
        <f>IFERROR(#REF!*T83, "--")</f>
        <v>--</v>
      </c>
      <c r="P83" s="205" t="str">
        <f>IFERROR(#REF!*U83, "--")</f>
        <v>--</v>
      </c>
      <c r="Q83" s="205" t="str">
        <f>IFERROR(#REF!*V83, "--")</f>
        <v>--</v>
      </c>
      <c r="R83" s="206" t="str">
        <f>IFERROR(#REF!/W83, "--")</f>
        <v>--</v>
      </c>
      <c r="T83" s="214">
        <v>10</v>
      </c>
      <c r="U83" s="215">
        <v>10</v>
      </c>
      <c r="V83" s="215">
        <v>10</v>
      </c>
      <c r="W83" s="216">
        <v>50</v>
      </c>
    </row>
    <row r="84" spans="2:23" ht="15" thickBot="1" x14ac:dyDescent="0.4">
      <c r="B84" s="203" t="s">
        <v>164</v>
      </c>
      <c r="C84" s="204" t="s">
        <v>64</v>
      </c>
      <c r="D84" s="204" t="s">
        <v>122</v>
      </c>
      <c r="E84" s="498"/>
      <c r="F84" s="498"/>
      <c r="G84" s="500"/>
      <c r="H84" s="503"/>
      <c r="I84" s="503"/>
      <c r="J84" s="511"/>
      <c r="K84" s="425"/>
      <c r="L84" s="497"/>
      <c r="M84" s="492"/>
      <c r="N84" s="492"/>
      <c r="O84" s="427" t="str">
        <f>CONCATENATE("(APF ",T83,")")</f>
        <v>(APF 10)</v>
      </c>
      <c r="P84" s="427" t="str">
        <f>CONCATENATE("(APF ",U83,")")</f>
        <v>(APF 10)</v>
      </c>
      <c r="Q84" s="427" t="str">
        <f>CONCATENATE("(APF ",V83,")")</f>
        <v>(APF 10)</v>
      </c>
      <c r="R84" s="427" t="str">
        <f>CONCATENATE("(APF ",W83,")")</f>
        <v>(APF 50)</v>
      </c>
      <c r="T84" s="218" t="s">
        <v>127</v>
      </c>
      <c r="U84" s="219" t="s">
        <v>127</v>
      </c>
      <c r="V84" s="219" t="s">
        <v>127</v>
      </c>
      <c r="W84" s="220" t="s">
        <v>127</v>
      </c>
    </row>
    <row r="85" spans="2:23" ht="15.65" customHeight="1" thickTop="1" thickBot="1" x14ac:dyDescent="0.4">
      <c r="B85" s="203" t="s">
        <v>165</v>
      </c>
      <c r="C85" s="204" t="s">
        <v>64</v>
      </c>
      <c r="D85" s="204" t="s">
        <v>122</v>
      </c>
      <c r="E85" s="498"/>
      <c r="F85" s="498"/>
      <c r="G85" s="500"/>
      <c r="H85" s="504" t="s">
        <v>132</v>
      </c>
      <c r="I85" s="506" t="s">
        <v>163</v>
      </c>
      <c r="J85" s="510" t="s">
        <v>69</v>
      </c>
      <c r="K85" s="493" t="str">
        <f>IFERROR(VLOOKUP($D81,$Y$9:$AB$10,2,FALSE)/IF($D81="Inhalation",IF($J85="Central Tendency",SUMIFS(#REF!,#REF!,$B81,#REF!,$C81),SUMIFS(#REF!,#REF!,$B81,#REF!,$C81))),"--")</f>
        <v>--</v>
      </c>
      <c r="L85" s="496">
        <f>IFERROR(VLOOKUP($D85,$Y$9:$AB$9,2,FALSE)/IF($D85="Inhalation",IF($J85="Central Tendency",SUMIFS('Inhalation Exposure'!$O$5:$O$164,'Inhalation Exposure'!$B$5:$B$164,$B85,'Inhalation Exposure'!$D$5:$D$164,$C85),SUMIFS('Inhalation Exposure'!$N$5:$N$164,'Inhalation Exposure'!$B$5:$B$164,$B85,'Inhalation Exposure'!$D$5:$D$164,$C85))),"--")</f>
        <v>167.04545454545456</v>
      </c>
      <c r="M85" s="491">
        <f>IFERROR(VLOOKUP($D85,$Y$9:$AB$9,3,FALSE)/IF($D85="Inhalation",IF($J85="Central Tendency",SUMIFS('Inhalation Exposure'!$Q$5:$Q$164,'Inhalation Exposure'!$B$5:$B$164,$B85,'Inhalation Exposure'!$D$5:$D$164,$C85),SUMIFS('Inhalation Exposure'!$P$5:$P$164,'Inhalation Exposure'!$B$5:$B$164,$B85,'Inhalation Exposure'!$D$5:$D$164,$C85))),"--")</f>
        <v>267.7395209580838</v>
      </c>
      <c r="N85" s="491">
        <f>IFERROR(VLOOKUP($D85,$Y$9:$AB$9,4,FALSE)*IF($D85="Inhalation",IF($J85="Central Tendency",SUMIFS('Inhalation Exposure'!$S$5:$S$164,'Inhalation Exposure'!$B$5:$B$164,$B85,'Inhalation Exposure'!$D$5:$D$164,$C85),SUMIFS('Inhalation Exposure'!$R$5:$R$164,'Inhalation Exposure'!$B$5:$B$164,$B85,'Inhalation Exposure'!$D$5:$D$164,$C85))),"--")</f>
        <v>1.1274113101510361E-5</v>
      </c>
      <c r="O85" s="429" t="s">
        <v>145</v>
      </c>
      <c r="P85" s="429" t="s">
        <v>145</v>
      </c>
      <c r="Q85" s="429" t="s">
        <v>145</v>
      </c>
      <c r="R85" s="429" t="s">
        <v>145</v>
      </c>
      <c r="T85" s="211" t="s">
        <v>145</v>
      </c>
      <c r="U85" s="212" t="s">
        <v>145</v>
      </c>
      <c r="V85" s="212" t="s">
        <v>145</v>
      </c>
      <c r="W85" s="213" t="s">
        <v>145</v>
      </c>
    </row>
    <row r="86" spans="2:23" ht="15" thickBot="1" x14ac:dyDescent="0.4">
      <c r="B86" s="203" t="s">
        <v>165</v>
      </c>
      <c r="C86" s="204" t="s">
        <v>64</v>
      </c>
      <c r="D86" s="204" t="s">
        <v>122</v>
      </c>
      <c r="E86" s="498"/>
      <c r="F86" s="498"/>
      <c r="G86" s="500"/>
      <c r="H86" s="502"/>
      <c r="I86" s="502"/>
      <c r="J86" s="513"/>
      <c r="K86" s="495"/>
      <c r="L86" s="492"/>
      <c r="M86" s="492"/>
      <c r="N86" s="492"/>
      <c r="O86" s="221" t="s">
        <v>145</v>
      </c>
      <c r="P86" s="221" t="s">
        <v>145</v>
      </c>
      <c r="Q86" s="221" t="s">
        <v>145</v>
      </c>
      <c r="R86" s="221" t="s">
        <v>145</v>
      </c>
      <c r="T86" s="222" t="s">
        <v>145</v>
      </c>
      <c r="U86" s="223" t="s">
        <v>145</v>
      </c>
      <c r="V86" s="223" t="s">
        <v>145</v>
      </c>
      <c r="W86" s="224" t="s">
        <v>145</v>
      </c>
    </row>
    <row r="87" spans="2:23" ht="15" thickBot="1" x14ac:dyDescent="0.4">
      <c r="B87" s="203" t="s">
        <v>165</v>
      </c>
      <c r="C87" s="204" t="s">
        <v>64</v>
      </c>
      <c r="D87" s="204" t="s">
        <v>122</v>
      </c>
      <c r="E87" s="498"/>
      <c r="F87" s="498"/>
      <c r="G87" s="500"/>
      <c r="H87" s="502"/>
      <c r="I87" s="502"/>
      <c r="J87" s="510" t="s">
        <v>128</v>
      </c>
      <c r="K87" s="493" t="str">
        <f>IFERROR(VLOOKUP($D83,$Y$9:$AB$10,2,FALSE)/IF($D83="Inhalation",IF($J87="Central Tendency",SUMIFS(#REF!,#REF!,$B83,#REF!,$C83),SUMIFS(#REF!,#REF!,$B83,#REF!,$C83))),"--")</f>
        <v>--</v>
      </c>
      <c r="L87" s="491">
        <f>IFERROR(VLOOKUP($D87,$Y$9:$AB$9,2,FALSE)/IF($D87="Inhalation",IF($J87="Central Tendency",SUMIFS('Inhalation Exposure'!$O$5:$O$164,'Inhalation Exposure'!$B$5:$B$164,$B87,'Inhalation Exposure'!$D$5:$D$164,$C87),SUMIFS('Inhalation Exposure'!$N$5:$N$164,'Inhalation Exposure'!$B$5:$B$164,$B87,'Inhalation Exposure'!$D$5:$D$164,$C87))),"--")</f>
        <v>20.88068181818182</v>
      </c>
      <c r="M87" s="491">
        <f>IFERROR(VLOOKUP($D87,$Y$9:$AB$9,3,FALSE)/IF($D87="Inhalation",IF($J87="Central Tendency",SUMIFS('Inhalation Exposure'!$Q$5:$Q$164,'Inhalation Exposure'!$B$5:$B$164,$B87,'Inhalation Exposure'!$D$5:$D$164,$C87),SUMIFS('Inhalation Exposure'!$P$5:$P$164,'Inhalation Exposure'!$B$5:$B$164,$B87,'Inhalation Exposure'!$D$5:$D$164,$C87))),"--")</f>
        <v>33.467440119760482</v>
      </c>
      <c r="N87" s="491">
        <f>IFERROR(VLOOKUP($D87,$Y$9:$AB$9,4,FALSE)*IF($D87="Inhalation",IF($J87="Central Tendency",SUMIFS('Inhalation Exposure'!$S$5:$S$164,'Inhalation Exposure'!$B$5:$B$164,$B87,'Inhalation Exposure'!$D$5:$D$164,$C87),SUMIFS('Inhalation Exposure'!$R$5:$R$164,'Inhalation Exposure'!$B$5:$B$164,$B87,'Inhalation Exposure'!$D$5:$D$164,$C87))),"--")</f>
        <v>1.1637794169301016E-4</v>
      </c>
      <c r="O87" s="205" t="str">
        <f>IFERROR(#REF!*T87, "--")</f>
        <v>--</v>
      </c>
      <c r="P87" s="205" t="str">
        <f>IFERROR(#REF!*U87, "--")</f>
        <v>--</v>
      </c>
      <c r="Q87" s="205" t="str">
        <f>IFERROR(#REF!*V87, "--")</f>
        <v>--</v>
      </c>
      <c r="R87" s="206" t="str">
        <f>IFERROR(#REF!/W87, "--")</f>
        <v>--</v>
      </c>
      <c r="T87" s="207">
        <v>10</v>
      </c>
      <c r="U87" s="208">
        <v>10</v>
      </c>
      <c r="V87" s="208">
        <v>10</v>
      </c>
      <c r="W87" s="209">
        <v>10</v>
      </c>
    </row>
    <row r="88" spans="2:23" ht="15" thickBot="1" x14ac:dyDescent="0.4">
      <c r="B88" s="203" t="s">
        <v>165</v>
      </c>
      <c r="C88" s="204" t="s">
        <v>64</v>
      </c>
      <c r="D88" s="204" t="s">
        <v>122</v>
      </c>
      <c r="E88" s="498"/>
      <c r="F88" s="498"/>
      <c r="G88" s="500"/>
      <c r="H88" s="503"/>
      <c r="I88" s="503"/>
      <c r="J88" s="511"/>
      <c r="K88" s="495"/>
      <c r="L88" s="497"/>
      <c r="M88" s="492"/>
      <c r="N88" s="492"/>
      <c r="O88" s="429" t="str">
        <f>CONCATENATE("(APF ",T87,")")</f>
        <v>(APF 10)</v>
      </c>
      <c r="P88" s="429" t="str">
        <f>CONCATENATE("(APF ",U87,")")</f>
        <v>(APF 10)</v>
      </c>
      <c r="Q88" s="429" t="str">
        <f>CONCATENATE("(APF ",V87,")")</f>
        <v>(APF 10)</v>
      </c>
      <c r="R88" s="429" t="str">
        <f>CONCATENATE("(APF ",W87,")")</f>
        <v>(APF 10)</v>
      </c>
      <c r="T88" s="211" t="s">
        <v>127</v>
      </c>
      <c r="U88" s="212" t="s">
        <v>127</v>
      </c>
      <c r="V88" s="212" t="s">
        <v>127</v>
      </c>
      <c r="W88" s="213" t="s">
        <v>127</v>
      </c>
    </row>
    <row r="89" spans="2:23" ht="15.65" customHeight="1" thickTop="1" thickBot="1" x14ac:dyDescent="0.4">
      <c r="B89" s="203" t="s">
        <v>166</v>
      </c>
      <c r="C89" s="204" t="s">
        <v>64</v>
      </c>
      <c r="D89" s="204" t="s">
        <v>122</v>
      </c>
      <c r="E89" s="498"/>
      <c r="F89" s="498"/>
      <c r="G89" s="500"/>
      <c r="H89" s="504" t="s">
        <v>134</v>
      </c>
      <c r="I89" s="506" t="s">
        <v>163</v>
      </c>
      <c r="J89" s="510" t="s">
        <v>69</v>
      </c>
      <c r="K89" s="425"/>
      <c r="L89" s="491">
        <f>IFERROR(VLOOKUP($D89,$Y$9:$AB$9,2,FALSE)/IF($D89="Inhalation",IF($J89="Central Tendency",SUMIFS('Inhalation Exposure'!$O$5:$O$164,'Inhalation Exposure'!$B$5:$B$164,$B89,'Inhalation Exposure'!$D$5:$D$164,$C89),SUMIFS('Inhalation Exposure'!$N$5:$N$164,'Inhalation Exposure'!$B$5:$B$164,$B89,'Inhalation Exposure'!$D$5:$D$164,$C89))),"--")</f>
        <v>326.66666666666663</v>
      </c>
      <c r="M89" s="491">
        <f>IFERROR(VLOOKUP($D89,$Y$9:$AB$9,3,FALSE)/IF($D89="Inhalation",IF($J89="Central Tendency",SUMIFS('Inhalation Exposure'!$Q$5:$Q$164,'Inhalation Exposure'!$B$5:$B$164,$B89,'Inhalation Exposure'!$D$5:$D$164,$C89),SUMIFS('Inhalation Exposure'!$P$5:$P$164,'Inhalation Exposure'!$B$5:$B$164,$B89,'Inhalation Exposure'!$D$5:$D$164,$C89))),"--")</f>
        <v>1375.7692307692305</v>
      </c>
      <c r="N89" s="491">
        <f>IFERROR(VLOOKUP($D89,$Y$9:$AB$9,4,FALSE)*IF($D89="Inhalation",IF($J89="Central Tendency",SUMIFS('Inhalation Exposure'!$S$5:$S$164,'Inhalation Exposure'!$B$5:$B$164,$B89,'Inhalation Exposure'!$D$5:$D$164,$C89),SUMIFS('Inhalation Exposure'!$R$5:$R$164,'Inhalation Exposure'!$B$5:$B$164,$B89,'Inhalation Exposure'!$D$5:$D$164,$C89))),"--")</f>
        <v>2.1940639269406391E-6</v>
      </c>
      <c r="O89" s="205" t="str">
        <f>IFERROR(#REF!*T89, "--")</f>
        <v>--</v>
      </c>
      <c r="P89" s="205" t="str">
        <f>IFERROR(#REF!*U89, "--")</f>
        <v>--</v>
      </c>
      <c r="Q89" s="205" t="str">
        <f>IFERROR(#REF!*V89, "--")</f>
        <v>--</v>
      </c>
      <c r="R89" s="206" t="str">
        <f>IFERROR(#REF!/W89, "--")</f>
        <v>--</v>
      </c>
      <c r="T89" s="214">
        <v>10</v>
      </c>
      <c r="U89" s="215">
        <v>10</v>
      </c>
      <c r="V89" s="215">
        <v>10</v>
      </c>
      <c r="W89" s="216">
        <v>50</v>
      </c>
    </row>
    <row r="90" spans="2:23" ht="15" thickBot="1" x14ac:dyDescent="0.4">
      <c r="B90" s="203" t="s">
        <v>166</v>
      </c>
      <c r="C90" s="204" t="s">
        <v>64</v>
      </c>
      <c r="D90" s="204" t="s">
        <v>122</v>
      </c>
      <c r="E90" s="498"/>
      <c r="F90" s="498"/>
      <c r="G90" s="500"/>
      <c r="H90" s="502"/>
      <c r="I90" s="502"/>
      <c r="J90" s="513"/>
      <c r="K90" s="425"/>
      <c r="L90" s="492"/>
      <c r="M90" s="492"/>
      <c r="N90" s="492"/>
      <c r="O90" s="427" t="str">
        <f>CONCATENATE("(APF ",T89,")")</f>
        <v>(APF 10)</v>
      </c>
      <c r="P90" s="427" t="str">
        <f>CONCATENATE("(APF ",U89,")")</f>
        <v>(APF 10)</v>
      </c>
      <c r="Q90" s="427" t="str">
        <f>CONCATENATE("(APF ",V89,")")</f>
        <v>(APF 10)</v>
      </c>
      <c r="R90" s="427" t="str">
        <f>CONCATENATE("(APF ",W89,")")</f>
        <v>(APF 50)</v>
      </c>
      <c r="T90" s="218" t="s">
        <v>127</v>
      </c>
      <c r="U90" s="219" t="s">
        <v>127</v>
      </c>
      <c r="V90" s="219" t="s">
        <v>127</v>
      </c>
      <c r="W90" s="220" t="s">
        <v>127</v>
      </c>
    </row>
    <row r="91" spans="2:23" ht="15" thickBot="1" x14ac:dyDescent="0.4">
      <c r="B91" s="203" t="s">
        <v>166</v>
      </c>
      <c r="C91" s="204" t="s">
        <v>64</v>
      </c>
      <c r="D91" s="204" t="s">
        <v>122</v>
      </c>
      <c r="E91" s="498"/>
      <c r="F91" s="498"/>
      <c r="G91" s="500"/>
      <c r="H91" s="502"/>
      <c r="I91" s="502"/>
      <c r="J91" s="510" t="s">
        <v>128</v>
      </c>
      <c r="K91" s="425"/>
      <c r="L91" s="491">
        <f>IFERROR(VLOOKUP($D91,$Y$9:$AB$9,2,FALSE)/IF($D91="Inhalation",IF($J91="Central Tendency",SUMIFS('Inhalation Exposure'!$O$5:$O$164,'Inhalation Exposure'!$B$5:$B$164,$B91,'Inhalation Exposure'!$D$5:$D$164,$C91),SUMIFS('Inhalation Exposure'!$N$5:$N$164,'Inhalation Exposure'!$B$5:$B$164,$B91,'Inhalation Exposure'!$D$5:$D$164,$C91))),"--")</f>
        <v>163.33333333333331</v>
      </c>
      <c r="M91" s="491">
        <f>IFERROR(VLOOKUP($D91,$Y$9:$AB$9,3,FALSE)/IF($D91="Inhalation",IF($J91="Central Tendency",SUMIFS('Inhalation Exposure'!$Q$5:$Q$164,'Inhalation Exposure'!$B$5:$B$164,$B91,'Inhalation Exposure'!$D$5:$D$164,$C91),SUMIFS('Inhalation Exposure'!$P$5:$P$164,'Inhalation Exposure'!$B$5:$B$164,$B91,'Inhalation Exposure'!$D$5:$D$164,$C91))),"--")</f>
        <v>715.4</v>
      </c>
      <c r="N91" s="491">
        <f>IFERROR(VLOOKUP($D91,$Y$9:$AB$9,4,FALSE)*IF($D91="Inhalation",IF($J91="Central Tendency",SUMIFS('Inhalation Exposure'!$S$5:$S$164,'Inhalation Exposure'!$B$5:$B$164,$B91,'Inhalation Exposure'!$D$5:$D$164,$C91),SUMIFS('Inhalation Exposure'!$R$5:$R$164,'Inhalation Exposure'!$B$5:$B$164,$B91,'Inhalation Exposure'!$D$5:$D$164,$C91))),"--")</f>
        <v>5.4443273621355808E-6</v>
      </c>
      <c r="O91" s="429" t="s">
        <v>145</v>
      </c>
      <c r="P91" s="429" t="s">
        <v>145</v>
      </c>
      <c r="Q91" s="429" t="s">
        <v>145</v>
      </c>
      <c r="R91" s="429" t="s">
        <v>145</v>
      </c>
      <c r="T91" s="211" t="s">
        <v>145</v>
      </c>
      <c r="U91" s="212" t="s">
        <v>145</v>
      </c>
      <c r="V91" s="212" t="s">
        <v>145</v>
      </c>
      <c r="W91" s="213" t="s">
        <v>145</v>
      </c>
    </row>
    <row r="92" spans="2:23" ht="15" thickBot="1" x14ac:dyDescent="0.4">
      <c r="B92" s="203" t="s">
        <v>166</v>
      </c>
      <c r="C92" s="204" t="s">
        <v>64</v>
      </c>
      <c r="D92" s="204" t="s">
        <v>122</v>
      </c>
      <c r="E92" s="498"/>
      <c r="F92" s="498"/>
      <c r="G92" s="500"/>
      <c r="H92" s="503"/>
      <c r="I92" s="503"/>
      <c r="J92" s="511"/>
      <c r="K92" s="425"/>
      <c r="L92" s="497"/>
      <c r="M92" s="492"/>
      <c r="N92" s="492"/>
      <c r="O92" s="221" t="s">
        <v>145</v>
      </c>
      <c r="P92" s="221" t="s">
        <v>145</v>
      </c>
      <c r="Q92" s="221" t="s">
        <v>145</v>
      </c>
      <c r="R92" s="221" t="s">
        <v>145</v>
      </c>
      <c r="T92" s="222" t="s">
        <v>145</v>
      </c>
      <c r="U92" s="223" t="s">
        <v>145</v>
      </c>
      <c r="V92" s="223" t="s">
        <v>145</v>
      </c>
      <c r="W92" s="224" t="s">
        <v>145</v>
      </c>
    </row>
    <row r="93" spans="2:23" ht="15.65" customHeight="1" thickTop="1" thickBot="1" x14ac:dyDescent="0.4">
      <c r="B93" s="203" t="s">
        <v>167</v>
      </c>
      <c r="C93" s="204" t="s">
        <v>64</v>
      </c>
      <c r="D93" s="204" t="s">
        <v>122</v>
      </c>
      <c r="E93" s="498"/>
      <c r="F93" s="498"/>
      <c r="G93" s="500"/>
      <c r="H93" s="504" t="s">
        <v>136</v>
      </c>
      <c r="I93" s="506" t="s">
        <v>163</v>
      </c>
      <c r="J93" s="510" t="s">
        <v>69</v>
      </c>
      <c r="K93" s="425"/>
      <c r="L93" s="496">
        <f>IFERROR(VLOOKUP($D93,$Y$9:$AB$9,2,FALSE)/IF($D93="Inhalation",IF($J93="Central Tendency",SUMIFS('Inhalation Exposure'!$O$5:$O$164,'Inhalation Exposure'!$B$5:$B$164,$B93,'Inhalation Exposure'!$D$5:$D$164,$C93),SUMIFS('Inhalation Exposure'!$N$5:$N$164,'Inhalation Exposure'!$B$5:$B$164,$B93,'Inhalation Exposure'!$D$5:$D$164,$C93))),"--")</f>
        <v>308.82352941176464</v>
      </c>
      <c r="M93" s="491">
        <f>IFERROR(VLOOKUP($D93,$Y$9:$AB$9,3,FALSE)/IF($D93="Inhalation",IF($J93="Central Tendency",SUMIFS('Inhalation Exposure'!$Q$5:$Q$164,'Inhalation Exposure'!$B$5:$B$164,$B93,'Inhalation Exposure'!$D$5:$D$164,$C93),SUMIFS('Inhalation Exposure'!$P$5:$P$164,'Inhalation Exposure'!$B$5:$B$164,$B93,'Inhalation Exposure'!$D$5:$D$164,$C93))),"--")</f>
        <v>3757.3529411764698</v>
      </c>
      <c r="N93" s="491">
        <f>IFERROR(VLOOKUP($D93,$Y$9:$AB$9,4,FALSE)*IF($D93="Inhalation",IF($J93="Central Tendency",SUMIFS('Inhalation Exposure'!$S$5:$S$164,'Inhalation Exposure'!$B$5:$B$164,$B93,'Inhalation Exposure'!$D$5:$D$164,$C93),SUMIFS('Inhalation Exposure'!$R$5:$R$164,'Inhalation Exposure'!$B$5:$B$164,$B93,'Inhalation Exposure'!$D$5:$D$164,$C93))),"--")</f>
        <v>8.0336494555672649E-7</v>
      </c>
      <c r="O93" s="205" t="str">
        <f>IFERROR(#REF!*T93, "--")</f>
        <v>--</v>
      </c>
      <c r="P93" s="205" t="str">
        <f>IFERROR(#REF!*U93, "--")</f>
        <v>--</v>
      </c>
      <c r="Q93" s="205" t="str">
        <f>IFERROR(#REF!*V93, "--")</f>
        <v>--</v>
      </c>
      <c r="R93" s="206" t="str">
        <f>IFERROR(#REF!/W93, "--")</f>
        <v>--</v>
      </c>
      <c r="T93" s="207">
        <v>10</v>
      </c>
      <c r="U93" s="208">
        <v>10</v>
      </c>
      <c r="V93" s="208">
        <v>10</v>
      </c>
      <c r="W93" s="209">
        <v>10</v>
      </c>
    </row>
    <row r="94" spans="2:23" ht="15" thickBot="1" x14ac:dyDescent="0.4">
      <c r="B94" s="203" t="s">
        <v>167</v>
      </c>
      <c r="C94" s="204" t="s">
        <v>64</v>
      </c>
      <c r="D94" s="204" t="s">
        <v>122</v>
      </c>
      <c r="E94" s="498"/>
      <c r="F94" s="498"/>
      <c r="G94" s="500"/>
      <c r="H94" s="502"/>
      <c r="I94" s="502"/>
      <c r="J94" s="513"/>
      <c r="K94" s="425"/>
      <c r="L94" s="492"/>
      <c r="M94" s="492"/>
      <c r="N94" s="492"/>
      <c r="O94" s="429" t="str">
        <f>CONCATENATE("(APF ",T93,")")</f>
        <v>(APF 10)</v>
      </c>
      <c r="P94" s="429" t="str">
        <f>CONCATENATE("(APF ",U93,")")</f>
        <v>(APF 10)</v>
      </c>
      <c r="Q94" s="429" t="str">
        <f>CONCATENATE("(APF ",V93,")")</f>
        <v>(APF 10)</v>
      </c>
      <c r="R94" s="429" t="str">
        <f>CONCATENATE("(APF ",W93,")")</f>
        <v>(APF 10)</v>
      </c>
      <c r="T94" s="211" t="s">
        <v>127</v>
      </c>
      <c r="U94" s="212" t="s">
        <v>127</v>
      </c>
      <c r="V94" s="212" t="s">
        <v>127</v>
      </c>
      <c r="W94" s="213" t="s">
        <v>127</v>
      </c>
    </row>
    <row r="95" spans="2:23" ht="15" thickBot="1" x14ac:dyDescent="0.4">
      <c r="B95" s="203" t="s">
        <v>167</v>
      </c>
      <c r="C95" s="204" t="s">
        <v>64</v>
      </c>
      <c r="D95" s="204" t="s">
        <v>122</v>
      </c>
      <c r="E95" s="498"/>
      <c r="F95" s="498"/>
      <c r="G95" s="500"/>
      <c r="H95" s="502"/>
      <c r="I95" s="502"/>
      <c r="J95" s="510" t="s">
        <v>128</v>
      </c>
      <c r="K95" s="425"/>
      <c r="L95" s="491">
        <f>IFERROR(VLOOKUP($D95,$Y$9:$AB$9,2,FALSE)/IF($D95="Inhalation",IF($J95="Central Tendency",SUMIFS('Inhalation Exposure'!$O$5:$O$164,'Inhalation Exposure'!$B$5:$B$164,$B95,'Inhalation Exposure'!$D$5:$D$164,$C95),SUMIFS('Inhalation Exposure'!$N$5:$N$164,'Inhalation Exposure'!$B$5:$B$164,$B95,'Inhalation Exposure'!$D$5:$D$164,$C95))),"--")</f>
        <v>37.769784172661865</v>
      </c>
      <c r="M95" s="491">
        <f>IFERROR(VLOOKUP($D95,$Y$9:$AB$9,3,FALSE)/IF($D95="Inhalation",IF($J95="Central Tendency",SUMIFS('Inhalation Exposure'!$Q$5:$Q$164,'Inhalation Exposure'!$B$5:$B$164,$B95,'Inhalation Exposure'!$D$5:$D$164,$C95),SUMIFS('Inhalation Exposure'!$P$5:$P$164,'Inhalation Exposure'!$B$5:$B$164,$B95,'Inhalation Exposure'!$D$5:$D$164,$C95))),"--")</f>
        <v>459.53237410071938</v>
      </c>
      <c r="N95" s="491">
        <f>IFERROR(VLOOKUP($D95,$Y$9:$AB$9,4,FALSE)*IF($D95="Inhalation",IF($J95="Central Tendency",SUMIFS('Inhalation Exposure'!$S$5:$S$164,'Inhalation Exposure'!$B$5:$B$164,$B95,'Inhalation Exposure'!$D$5:$D$164,$C95),SUMIFS('Inhalation Exposure'!$R$5:$R$164,'Inhalation Exposure'!$B$5:$B$164,$B95,'Inhalation Exposure'!$D$5:$D$164,$C95))),"--")</f>
        <v>8.4757288373726745E-6</v>
      </c>
      <c r="O95" s="205" t="str">
        <f>IFERROR(#REF!*T95, "--")</f>
        <v>--</v>
      </c>
      <c r="P95" s="205" t="str">
        <f>IFERROR(#REF!*U95, "--")</f>
        <v>--</v>
      </c>
      <c r="Q95" s="205" t="str">
        <f>IFERROR(#REF!*V95, "--")</f>
        <v>--</v>
      </c>
      <c r="R95" s="206" t="str">
        <f>IFERROR(#REF!/W95, "--")</f>
        <v>--</v>
      </c>
      <c r="T95" s="214">
        <v>10</v>
      </c>
      <c r="U95" s="215">
        <v>10</v>
      </c>
      <c r="V95" s="215">
        <v>10</v>
      </c>
      <c r="W95" s="216">
        <v>50</v>
      </c>
    </row>
    <row r="96" spans="2:23" ht="15" thickBot="1" x14ac:dyDescent="0.4">
      <c r="B96" s="203" t="s">
        <v>167</v>
      </c>
      <c r="C96" s="204" t="s">
        <v>64</v>
      </c>
      <c r="D96" s="204" t="s">
        <v>122</v>
      </c>
      <c r="E96" s="498"/>
      <c r="F96" s="498"/>
      <c r="G96" s="500"/>
      <c r="H96" s="503"/>
      <c r="I96" s="503"/>
      <c r="J96" s="511"/>
      <c r="K96" s="425"/>
      <c r="L96" s="497"/>
      <c r="M96" s="492"/>
      <c r="N96" s="492"/>
      <c r="O96" s="427" t="str">
        <f>CONCATENATE("(APF ",T95,")")</f>
        <v>(APF 10)</v>
      </c>
      <c r="P96" s="427" t="str">
        <f>CONCATENATE("(APF ",U95,")")</f>
        <v>(APF 10)</v>
      </c>
      <c r="Q96" s="427" t="str">
        <f>CONCATENATE("(APF ",V95,")")</f>
        <v>(APF 10)</v>
      </c>
      <c r="R96" s="427" t="str">
        <f>CONCATENATE("(APF ",W95,")")</f>
        <v>(APF 50)</v>
      </c>
      <c r="T96" s="218" t="s">
        <v>127</v>
      </c>
      <c r="U96" s="219" t="s">
        <v>127</v>
      </c>
      <c r="V96" s="219" t="s">
        <v>127</v>
      </c>
      <c r="W96" s="220" t="s">
        <v>127</v>
      </c>
    </row>
    <row r="97" spans="2:23" ht="15.65" customHeight="1" thickTop="1" thickBot="1" x14ac:dyDescent="0.4">
      <c r="B97" s="203" t="s">
        <v>168</v>
      </c>
      <c r="C97" s="204" t="s">
        <v>64</v>
      </c>
      <c r="D97" s="204" t="s">
        <v>122</v>
      </c>
      <c r="E97" s="498"/>
      <c r="F97" s="498"/>
      <c r="G97" s="500"/>
      <c r="H97" s="504" t="s">
        <v>138</v>
      </c>
      <c r="I97" s="506" t="s">
        <v>163</v>
      </c>
      <c r="J97" s="510" t="s">
        <v>69</v>
      </c>
      <c r="K97" s="493" t="str">
        <f>IFERROR(VLOOKUP($D85,$Y$9:$AB$10,2,FALSE)/IF($D85="Inhalation",IF($J97="Central Tendency",SUMIFS(#REF!,#REF!,#REF!,#REF!,$C85),SUMIFS(#REF!,#REF!,#REF!,#REF!,$C85))),"--")</f>
        <v>--</v>
      </c>
      <c r="L97" s="491">
        <f>IFERROR(VLOOKUP($D97,$Y$9:$AB$9,2,FALSE)/IF($D97="Inhalation",IF($J97="Central Tendency",SUMIFS('Inhalation Exposure'!$O$5:$O$164,'Inhalation Exposure'!$B$5:$B$164,$B97,'Inhalation Exposure'!$D$5:$D$164,$C97),SUMIFS('Inhalation Exposure'!$N$5:$N$164,'Inhalation Exposure'!$B$5:$B$164,$B97,'Inhalation Exposure'!$D$5:$D$164,$C97))),"--")</f>
        <v>133.63636363636363</v>
      </c>
      <c r="M97" s="491">
        <f>IFERROR(VLOOKUP($D97,$Y$9:$AB$9,3,FALSE)/IF($D97="Inhalation",IF($J97="Central Tendency",SUMIFS('Inhalation Exposure'!$Q$5:$Q$164,'Inhalation Exposure'!$B$5:$B$164,$B97,'Inhalation Exposure'!$D$5:$D$164,$C97),SUMIFS('Inhalation Exposure'!$P$5:$P$164,'Inhalation Exposure'!$B$5:$B$164,$B97,'Inhalation Exposure'!$D$5:$D$164,$C97))),"--")</f>
        <v>214.19161676646701</v>
      </c>
      <c r="N97" s="491">
        <f>IFERROR(VLOOKUP($D97,$Y$9:$AB$9,4,FALSE)*IF($D97="Inhalation",IF($J97="Central Tendency",SUMIFS('Inhalation Exposure'!$S$5:$S$164,'Inhalation Exposure'!$B$5:$B$164,$B97,'Inhalation Exposure'!$D$5:$D$164,$C97),SUMIFS('Inhalation Exposure'!$R$5:$R$164,'Inhalation Exposure'!$B$5:$B$164,$B97,'Inhalation Exposure'!$D$5:$D$164,$C97))),"--")</f>
        <v>1.4092641376887955E-5</v>
      </c>
      <c r="O97" s="429" t="s">
        <v>145</v>
      </c>
      <c r="P97" s="429" t="s">
        <v>145</v>
      </c>
      <c r="Q97" s="429" t="s">
        <v>145</v>
      </c>
      <c r="R97" s="429" t="s">
        <v>145</v>
      </c>
      <c r="T97" s="211" t="s">
        <v>145</v>
      </c>
      <c r="U97" s="212" t="s">
        <v>145</v>
      </c>
      <c r="V97" s="212" t="s">
        <v>145</v>
      </c>
      <c r="W97" s="213" t="s">
        <v>145</v>
      </c>
    </row>
    <row r="98" spans="2:23" ht="15" thickBot="1" x14ac:dyDescent="0.4">
      <c r="B98" s="203" t="s">
        <v>168</v>
      </c>
      <c r="C98" s="204" t="s">
        <v>64</v>
      </c>
      <c r="D98" s="204" t="s">
        <v>122</v>
      </c>
      <c r="E98" s="498"/>
      <c r="F98" s="498"/>
      <c r="G98" s="500"/>
      <c r="H98" s="502"/>
      <c r="I98" s="502"/>
      <c r="J98" s="513"/>
      <c r="K98" s="495"/>
      <c r="L98" s="492"/>
      <c r="M98" s="492"/>
      <c r="N98" s="492"/>
      <c r="O98" s="221" t="s">
        <v>145</v>
      </c>
      <c r="P98" s="221" t="s">
        <v>145</v>
      </c>
      <c r="Q98" s="221" t="s">
        <v>145</v>
      </c>
      <c r="R98" s="221" t="s">
        <v>145</v>
      </c>
      <c r="T98" s="222" t="s">
        <v>145</v>
      </c>
      <c r="U98" s="223" t="s">
        <v>145</v>
      </c>
      <c r="V98" s="223" t="s">
        <v>145</v>
      </c>
      <c r="W98" s="224" t="s">
        <v>145</v>
      </c>
    </row>
    <row r="99" spans="2:23" ht="15" thickBot="1" x14ac:dyDescent="0.4">
      <c r="B99" s="203" t="s">
        <v>168</v>
      </c>
      <c r="C99" s="204" t="s">
        <v>64</v>
      </c>
      <c r="D99" s="204" t="s">
        <v>122</v>
      </c>
      <c r="E99" s="498"/>
      <c r="F99" s="498"/>
      <c r="G99" s="500"/>
      <c r="H99" s="502"/>
      <c r="I99" s="502"/>
      <c r="J99" s="510" t="s">
        <v>128</v>
      </c>
      <c r="K99" s="493" t="str">
        <f>IFERROR(VLOOKUP($D87,$Y$9:$AB$10,2,FALSE)/IF($D87="Inhalation",IF($J99="Central Tendency",SUMIFS(#REF!,#REF!,#REF!,#REF!,$C87),SUMIFS(#REF!,#REF!,#REF!,#REF!,$C87))),"--")</f>
        <v>--</v>
      </c>
      <c r="L99" s="491">
        <f>IFERROR(VLOOKUP($D99,$Y$9:$AB$9,2,FALSE)/IF($D99="Inhalation",IF($J99="Central Tendency",SUMIFS('Inhalation Exposure'!$O$5:$O$164,'Inhalation Exposure'!$B$5:$B$164,$B99,'Inhalation Exposure'!$D$5:$D$164,$C99),SUMIFS('Inhalation Exposure'!$N$5:$N$164,'Inhalation Exposure'!$B$5:$B$164,$B99,'Inhalation Exposure'!$D$5:$D$164,$C99))),"--")</f>
        <v>14.216634429400385</v>
      </c>
      <c r="M99" s="491">
        <f>IFERROR(VLOOKUP($D99,$Y$9:$AB$9,3,FALSE)/IF($D99="Inhalation",IF($J99="Central Tendency",SUMIFS('Inhalation Exposure'!$Q$5:$Q$164,'Inhalation Exposure'!$B$5:$B$164,$B99,'Inhalation Exposure'!$D$5:$D$164,$C99),SUMIFS('Inhalation Exposure'!$P$5:$P$164,'Inhalation Exposure'!$B$5:$B$164,$B99,'Inhalation Exposure'!$D$5:$D$164,$C99))),"--")</f>
        <v>22.786342209198622</v>
      </c>
      <c r="N99" s="491">
        <f>IFERROR(VLOOKUP($D99,$Y$9:$AB$9,4,FALSE)*IF($D99="Inhalation",IF($J99="Central Tendency",SUMIFS('Inhalation Exposure'!$S$5:$S$164,'Inhalation Exposure'!$B$5:$B$164,$B99,'Inhalation Exposure'!$D$5:$D$164,$C99),SUMIFS('Inhalation Exposure'!$R$5:$R$164,'Inhalation Exposure'!$B$5:$B$164,$B99,'Inhalation Exposure'!$D$5:$D$164,$C99))),"--")</f>
        <v>1.7093010186160871E-4</v>
      </c>
      <c r="O99" s="205" t="str">
        <f>IFERROR(#REF!*T99, "--")</f>
        <v>--</v>
      </c>
      <c r="P99" s="205" t="str">
        <f>IFERROR(#REF!*U99, "--")</f>
        <v>--</v>
      </c>
      <c r="Q99" s="205" t="str">
        <f>IFERROR(#REF!*V99, "--")</f>
        <v>--</v>
      </c>
      <c r="R99" s="206" t="str">
        <f>IFERROR(#REF!/W99, "--")</f>
        <v>--</v>
      </c>
      <c r="T99" s="207">
        <v>10</v>
      </c>
      <c r="U99" s="208">
        <v>10</v>
      </c>
      <c r="V99" s="208">
        <v>10</v>
      </c>
      <c r="W99" s="209">
        <v>10</v>
      </c>
    </row>
    <row r="100" spans="2:23" ht="15" thickBot="1" x14ac:dyDescent="0.4">
      <c r="B100" s="203" t="s">
        <v>168</v>
      </c>
      <c r="C100" s="204" t="s">
        <v>64</v>
      </c>
      <c r="D100" s="204" t="s">
        <v>122</v>
      </c>
      <c r="E100" s="498"/>
      <c r="F100" s="498"/>
      <c r="G100" s="500"/>
      <c r="H100" s="503"/>
      <c r="I100" s="503"/>
      <c r="J100" s="511"/>
      <c r="K100" s="495"/>
      <c r="L100" s="497"/>
      <c r="M100" s="492"/>
      <c r="N100" s="492"/>
      <c r="O100" s="429" t="str">
        <f>CONCATENATE("(APF ",T99,")")</f>
        <v>(APF 10)</v>
      </c>
      <c r="P100" s="429" t="str">
        <f>CONCATENATE("(APF ",U99,")")</f>
        <v>(APF 10)</v>
      </c>
      <c r="Q100" s="429" t="str">
        <f>CONCATENATE("(APF ",V99,")")</f>
        <v>(APF 10)</v>
      </c>
      <c r="R100" s="429" t="str">
        <f>CONCATENATE("(APF ",W99,")")</f>
        <v>(APF 10)</v>
      </c>
      <c r="T100" s="211" t="s">
        <v>127</v>
      </c>
      <c r="U100" s="212" t="s">
        <v>127</v>
      </c>
      <c r="V100" s="212" t="s">
        <v>127</v>
      </c>
      <c r="W100" s="213" t="s">
        <v>127</v>
      </c>
    </row>
    <row r="101" spans="2:23" ht="15.65" customHeight="1" thickTop="1" thickBot="1" x14ac:dyDescent="0.4">
      <c r="B101" s="203" t="s">
        <v>169</v>
      </c>
      <c r="C101" s="204" t="s">
        <v>64</v>
      </c>
      <c r="D101" s="204" t="s">
        <v>122</v>
      </c>
      <c r="E101" s="498"/>
      <c r="F101" s="498"/>
      <c r="G101" s="500"/>
      <c r="H101" s="504" t="s">
        <v>140</v>
      </c>
      <c r="I101" s="506" t="s">
        <v>163</v>
      </c>
      <c r="J101" s="510" t="s">
        <v>69</v>
      </c>
      <c r="K101" s="425"/>
      <c r="L101" s="496">
        <f>IFERROR(VLOOKUP($D101,$Y$9:$AB$9,2,FALSE)/IF($D101="Inhalation",IF($J101="Central Tendency",SUMIFS('Inhalation Exposure'!$O$5:$O$164,'Inhalation Exposure'!$B$5:$B$164,$B101,'Inhalation Exposure'!$D$5:$D$164,$C101),SUMIFS('Inhalation Exposure'!$N$5:$N$164,'Inhalation Exposure'!$B$5:$B$164,$B101,'Inhalation Exposure'!$D$5:$D$164,$C101))),"--")</f>
        <v>0.24487756121939031</v>
      </c>
      <c r="M101" s="491">
        <f>IFERROR(VLOOKUP($D101,$Y$9:$AB$9,3,FALSE)/IF($D101="Inhalation",IF($J101="Central Tendency",SUMIFS('Inhalation Exposure'!$Q$5:$Q$164,'Inhalation Exposure'!$B$5:$B$164,$B101,'Inhalation Exposure'!$D$5:$D$164,$C101),SUMIFS('Inhalation Exposure'!$P$5:$P$164,'Inhalation Exposure'!$B$5:$B$164,$B101,'Inhalation Exposure'!$D$5:$D$164,$C101))),"--")</f>
        <v>2.9793436615025817</v>
      </c>
      <c r="N101" s="491">
        <f>IFERROR(VLOOKUP($D101,$Y$9:$AB$9,4,FALSE)*IF($D101="Inhalation",IF($J101="Central Tendency",SUMIFS('Inhalation Exposure'!$S$5:$S$164,'Inhalation Exposure'!$B$5:$B$164,$B101,'Inhalation Exposure'!$D$5:$D$164,$C101),SUMIFS('Inhalation Exposure'!$R$5:$R$164,'Inhalation Exposure'!$B$5:$B$164,$B101,'Inhalation Exposure'!$D$5:$D$164,$C101))),"--")</f>
        <v>1.0131512118018969E-3</v>
      </c>
      <c r="O101" s="205" t="str">
        <f>IFERROR(#REF!*T101, "--")</f>
        <v>--</v>
      </c>
      <c r="P101" s="205" t="str">
        <f>IFERROR(#REF!*U101, "--")</f>
        <v>--</v>
      </c>
      <c r="Q101" s="205" t="str">
        <f>IFERROR(#REF!*V101, "--")</f>
        <v>--</v>
      </c>
      <c r="R101" s="206" t="str">
        <f>IFERROR(#REF!/W101, "--")</f>
        <v>--</v>
      </c>
      <c r="T101" s="214">
        <v>10</v>
      </c>
      <c r="U101" s="215">
        <v>10</v>
      </c>
      <c r="V101" s="215">
        <v>10</v>
      </c>
      <c r="W101" s="216">
        <v>50</v>
      </c>
    </row>
    <row r="102" spans="2:23" ht="15" thickBot="1" x14ac:dyDescent="0.4">
      <c r="B102" s="203" t="s">
        <v>169</v>
      </c>
      <c r="C102" s="204" t="s">
        <v>64</v>
      </c>
      <c r="D102" s="204" t="s">
        <v>122</v>
      </c>
      <c r="E102" s="498"/>
      <c r="F102" s="498"/>
      <c r="G102" s="500"/>
      <c r="H102" s="502"/>
      <c r="I102" s="502"/>
      <c r="J102" s="513"/>
      <c r="K102" s="425"/>
      <c r="L102" s="492"/>
      <c r="M102" s="492"/>
      <c r="N102" s="492"/>
      <c r="O102" s="427" t="str">
        <f>CONCATENATE("(APF ",T101,")")</f>
        <v>(APF 10)</v>
      </c>
      <c r="P102" s="427" t="str">
        <f>CONCATENATE("(APF ",U101,")")</f>
        <v>(APF 10)</v>
      </c>
      <c r="Q102" s="427" t="str">
        <f>CONCATENATE("(APF ",V101,")")</f>
        <v>(APF 10)</v>
      </c>
      <c r="R102" s="427" t="str">
        <f>CONCATENATE("(APF ",W101,")")</f>
        <v>(APF 50)</v>
      </c>
      <c r="T102" s="218" t="s">
        <v>127</v>
      </c>
      <c r="U102" s="219" t="s">
        <v>127</v>
      </c>
      <c r="V102" s="219" t="s">
        <v>127</v>
      </c>
      <c r="W102" s="220" t="s">
        <v>127</v>
      </c>
    </row>
    <row r="103" spans="2:23" ht="15" thickBot="1" x14ac:dyDescent="0.4">
      <c r="B103" s="203" t="s">
        <v>169</v>
      </c>
      <c r="C103" s="204" t="s">
        <v>64</v>
      </c>
      <c r="D103" s="204" t="s">
        <v>122</v>
      </c>
      <c r="E103" s="498"/>
      <c r="F103" s="498"/>
      <c r="G103" s="500"/>
      <c r="H103" s="502"/>
      <c r="I103" s="502"/>
      <c r="J103" s="510" t="s">
        <v>128</v>
      </c>
      <c r="K103" s="425"/>
      <c r="L103" s="491">
        <f>IFERROR(VLOOKUP($D103,$Y$9:$AB$9,2,FALSE)/IF($D103="Inhalation",IF($J103="Central Tendency",SUMIFS('Inhalation Exposure'!$O$5:$O$164,'Inhalation Exposure'!$B$5:$B$164,$B103,'Inhalation Exposure'!$D$5:$D$164,$C103),SUMIFS('Inhalation Exposure'!$N$5:$N$164,'Inhalation Exposure'!$B$5:$B$164,$B103,'Inhalation Exposure'!$D$5:$D$164,$C103))),"--")</f>
        <v>0.24487756121939031</v>
      </c>
      <c r="M103" s="491">
        <f>IFERROR(VLOOKUP($D103,$Y$9:$AB$9,3,FALSE)/IF($D103="Inhalation",IF($J103="Central Tendency",SUMIFS('Inhalation Exposure'!$Q$5:$Q$164,'Inhalation Exposure'!$B$5:$B$164,$B103,'Inhalation Exposure'!$D$5:$D$164,$C103),SUMIFS('Inhalation Exposure'!$P$5:$P$164,'Inhalation Exposure'!$B$5:$B$164,$B103,'Inhalation Exposure'!$D$5:$D$164,$C103))),"--")</f>
        <v>2.9793436615025821</v>
      </c>
      <c r="N103" s="491">
        <f>IFERROR(VLOOKUP($D103,$Y$9:$AB$9,4,FALSE)*IF($D103="Inhalation",IF($J103="Central Tendency",SUMIFS('Inhalation Exposure'!$S$5:$S$164,'Inhalation Exposure'!$B$5:$B$164,$B103,'Inhalation Exposure'!$D$5:$D$164,$C103),SUMIFS('Inhalation Exposure'!$R$5:$R$164,'Inhalation Exposure'!$B$5:$B$164,$B103,'Inhalation Exposure'!$D$5:$D$164,$C103))),"--")</f>
        <v>1.3072918861959958E-3</v>
      </c>
      <c r="O103" s="429" t="s">
        <v>145</v>
      </c>
      <c r="P103" s="429" t="s">
        <v>145</v>
      </c>
      <c r="Q103" s="429" t="s">
        <v>145</v>
      </c>
      <c r="R103" s="429" t="s">
        <v>145</v>
      </c>
      <c r="T103" s="211" t="s">
        <v>145</v>
      </c>
      <c r="U103" s="212" t="s">
        <v>145</v>
      </c>
      <c r="V103" s="212" t="s">
        <v>145</v>
      </c>
      <c r="W103" s="213" t="s">
        <v>145</v>
      </c>
    </row>
    <row r="104" spans="2:23" ht="15" thickBot="1" x14ac:dyDescent="0.4">
      <c r="B104" s="203" t="s">
        <v>169</v>
      </c>
      <c r="C104" s="204" t="s">
        <v>64</v>
      </c>
      <c r="D104" s="204" t="s">
        <v>122</v>
      </c>
      <c r="E104" s="498"/>
      <c r="F104" s="498"/>
      <c r="G104" s="500"/>
      <c r="H104" s="503"/>
      <c r="I104" s="503"/>
      <c r="J104" s="511"/>
      <c r="K104" s="425"/>
      <c r="L104" s="497"/>
      <c r="M104" s="492"/>
      <c r="N104" s="492"/>
      <c r="O104" s="221" t="s">
        <v>145</v>
      </c>
      <c r="P104" s="221" t="s">
        <v>145</v>
      </c>
      <c r="Q104" s="221" t="s">
        <v>145</v>
      </c>
      <c r="R104" s="221" t="s">
        <v>145</v>
      </c>
      <c r="T104" s="222" t="s">
        <v>145</v>
      </c>
      <c r="U104" s="223" t="s">
        <v>145</v>
      </c>
      <c r="V104" s="223" t="s">
        <v>145</v>
      </c>
      <c r="W104" s="224" t="s">
        <v>145</v>
      </c>
    </row>
    <row r="105" spans="2:23" ht="15.65" customHeight="1" thickTop="1" thickBot="1" x14ac:dyDescent="0.4">
      <c r="B105" s="203" t="s">
        <v>170</v>
      </c>
      <c r="C105" s="204" t="s">
        <v>64</v>
      </c>
      <c r="D105" s="204" t="s">
        <v>122</v>
      </c>
      <c r="E105" s="498"/>
      <c r="F105" s="498"/>
      <c r="G105" s="500"/>
      <c r="H105" s="504" t="s">
        <v>142</v>
      </c>
      <c r="I105" s="506" t="s">
        <v>163</v>
      </c>
      <c r="J105" s="510" t="s">
        <v>69</v>
      </c>
      <c r="K105" s="493" t="str">
        <f>IFERROR(VLOOKUP($D89,$Y$9:$AB$10,2,FALSE)/IF($D89="Inhalation",IF($J105="Central Tendency",SUMIFS(#REF!,#REF!,$B85,#REF!,$C89),SUMIFS(#REF!,#REF!,$B85,#REF!,$C89))),"--")</f>
        <v>--</v>
      </c>
      <c r="L105" s="491">
        <f>IFERROR(VLOOKUP($D105,$Y$9:$AB$9,2,FALSE)/IF($D105="Inhalation",IF($J105="Central Tendency",SUMIFS('Inhalation Exposure'!$O$5:$O$164,'Inhalation Exposure'!$B$5:$B$164,$B105,'Inhalation Exposure'!$D$5:$D$164,$C105),SUMIFS('Inhalation Exposure'!$N$5:$N$164,'Inhalation Exposure'!$B$5:$B$164,$B105,'Inhalation Exposure'!$D$5:$D$164,$C105))),"--")</f>
        <v>556.81818181818176</v>
      </c>
      <c r="M105" s="491">
        <f>IFERROR(VLOOKUP($D105,$Y$9:$AB$9,3,FALSE)/IF($D105="Inhalation",IF($J105="Central Tendency",SUMIFS('Inhalation Exposure'!$Q$5:$Q$164,'Inhalation Exposure'!$B$5:$B$164,$B105,'Inhalation Exposure'!$D$5:$D$164,$C105),SUMIFS('Inhalation Exposure'!$P$5:$P$164,'Inhalation Exposure'!$B$5:$B$164,$B105,'Inhalation Exposure'!$D$5:$D$164,$C105))),"--")</f>
        <v>892.46506986027941</v>
      </c>
      <c r="N105" s="491">
        <f>IFERROR(VLOOKUP($D105,$Y$9:$AB$9,4,FALSE)*IF($D105="Inhalation",IF($J105="Central Tendency",SUMIFS('Inhalation Exposure'!$S$5:$S$164,'Inhalation Exposure'!$B$5:$B$164,$B105,'Inhalation Exposure'!$D$5:$D$164,$C105),SUMIFS('Inhalation Exposure'!$R$5:$R$164,'Inhalation Exposure'!$B$5:$B$164,$B105,'Inhalation Exposure'!$D$5:$D$164,$C105))),"--")</f>
        <v>3.3822339304531089E-6</v>
      </c>
      <c r="O105" s="424" t="str">
        <f>IFERROR(#REF!*T105, "--")</f>
        <v>--</v>
      </c>
      <c r="P105" s="297" t="str">
        <f>IFERROR(#REF!*U105, "--")</f>
        <v>--</v>
      </c>
      <c r="Q105" s="297" t="str">
        <f>IFERROR(#REF!*V105, "--")</f>
        <v>--</v>
      </c>
      <c r="R105" s="298" t="str">
        <f>IFERROR(#REF!/W105, "--")</f>
        <v>--</v>
      </c>
      <c r="T105" s="207">
        <v>10</v>
      </c>
      <c r="U105" s="208">
        <v>10</v>
      </c>
      <c r="V105" s="208">
        <v>10</v>
      </c>
      <c r="W105" s="209">
        <v>10</v>
      </c>
    </row>
    <row r="106" spans="2:23" ht="15" thickBot="1" x14ac:dyDescent="0.4">
      <c r="B106" s="203" t="s">
        <v>170</v>
      </c>
      <c r="C106" s="204" t="s">
        <v>64</v>
      </c>
      <c r="D106" s="204" t="s">
        <v>122</v>
      </c>
      <c r="E106" s="498"/>
      <c r="F106" s="498"/>
      <c r="G106" s="500"/>
      <c r="H106" s="502"/>
      <c r="I106" s="502"/>
      <c r="J106" s="513"/>
      <c r="K106" s="495"/>
      <c r="L106" s="492"/>
      <c r="M106" s="492"/>
      <c r="N106" s="492"/>
      <c r="O106" s="429" t="str">
        <f>CONCATENATE("(APF ",T105,")")</f>
        <v>(APF 10)</v>
      </c>
      <c r="P106" s="429" t="str">
        <f>CONCATENATE("(APF ",U105,")")</f>
        <v>(APF 10)</v>
      </c>
      <c r="Q106" s="429" t="str">
        <f>CONCATENATE("(APF ",V105,")")</f>
        <v>(APF 10)</v>
      </c>
      <c r="R106" s="429" t="str">
        <f>CONCATENATE("(APF ",W105,")")</f>
        <v>(APF 10)</v>
      </c>
      <c r="T106" s="211" t="s">
        <v>127</v>
      </c>
      <c r="U106" s="212" t="s">
        <v>127</v>
      </c>
      <c r="V106" s="212" t="s">
        <v>127</v>
      </c>
      <c r="W106" s="213" t="s">
        <v>127</v>
      </c>
    </row>
    <row r="107" spans="2:23" ht="15" thickBot="1" x14ac:dyDescent="0.4">
      <c r="B107" s="203" t="s">
        <v>170</v>
      </c>
      <c r="C107" s="204" t="s">
        <v>64</v>
      </c>
      <c r="D107" s="204" t="s">
        <v>122</v>
      </c>
      <c r="E107" s="498"/>
      <c r="F107" s="498"/>
      <c r="G107" s="500"/>
      <c r="H107" s="502"/>
      <c r="I107" s="502"/>
      <c r="J107" s="510" t="s">
        <v>128</v>
      </c>
      <c r="K107" s="493" t="str">
        <f>IFERROR(VLOOKUP($D91,$Y$9:$AB$10,2,FALSE)/IF($D91="Inhalation",IF($J107="Central Tendency",SUMIFS(#REF!,#REF!,$B87,#REF!,$C91),SUMIFS(#REF!,#REF!,$B87,#REF!,$C91))),"--")</f>
        <v>--</v>
      </c>
      <c r="L107" s="491">
        <f>IFERROR(VLOOKUP($D107,$Y$9:$AB$9,2,FALSE)/IF($D107="Inhalation",IF($J107="Central Tendency",SUMIFS('Inhalation Exposure'!$O$5:$O$164,'Inhalation Exposure'!$B$5:$B$164,$B107,'Inhalation Exposure'!$D$5:$D$164,$C107),SUMIFS('Inhalation Exposure'!$N$5:$N$164,'Inhalation Exposure'!$B$5:$B$164,$B107,'Inhalation Exposure'!$D$5:$D$164,$C107))),"--")</f>
        <v>12.061043649491303</v>
      </c>
      <c r="M107" s="491">
        <f>IFERROR(VLOOKUP($D107,$Y$9:$AB$9,3,FALSE)/IF($D107="Inhalation",IF($J107="Central Tendency",SUMIFS('Inhalation Exposure'!$Q$5:$Q$164,'Inhalation Exposure'!$B$5:$B$164,$B107,'Inhalation Exposure'!$D$5:$D$164,$C107),SUMIFS('Inhalation Exposure'!$P$5:$P$164,'Inhalation Exposure'!$B$5:$B$164,$B107,'Inhalation Exposure'!$D$5:$D$164,$C107))),"--")</f>
        <v>19.331373354374286</v>
      </c>
      <c r="N107" s="491">
        <f>IFERROR(VLOOKUP($D107,$Y$9:$AB$9,4,FALSE)*IF($D107="Inhalation",IF($J107="Central Tendency",SUMIFS('Inhalation Exposure'!$S$5:$S$164,'Inhalation Exposure'!$B$5:$B$164,$B107,'Inhalation Exposure'!$D$5:$D$164,$C107),SUMIFS('Inhalation Exposure'!$R$5:$R$164,'Inhalation Exposure'!$B$5:$B$164,$B107,'Inhalation Exposure'!$D$5:$D$164,$C107))),"--")</f>
        <v>2.0147931155602391E-4</v>
      </c>
      <c r="O107" s="205" t="str">
        <f>IFERROR(#REF!*T107, "--")</f>
        <v>--</v>
      </c>
      <c r="P107" s="205" t="str">
        <f>IFERROR(#REF!*U107, "--")</f>
        <v>--</v>
      </c>
      <c r="Q107" s="205" t="str">
        <f>IFERROR(#REF!*V107, "--")</f>
        <v>--</v>
      </c>
      <c r="R107" s="206" t="str">
        <f>IFERROR(#REF!/W107, "--")</f>
        <v>--</v>
      </c>
      <c r="T107" s="214">
        <v>10</v>
      </c>
      <c r="U107" s="215">
        <v>10</v>
      </c>
      <c r="V107" s="215">
        <v>10</v>
      </c>
      <c r="W107" s="216">
        <v>50</v>
      </c>
    </row>
    <row r="108" spans="2:23" ht="15" thickBot="1" x14ac:dyDescent="0.4">
      <c r="B108" s="203" t="s">
        <v>170</v>
      </c>
      <c r="C108" s="204" t="s">
        <v>64</v>
      </c>
      <c r="D108" s="204" t="s">
        <v>122</v>
      </c>
      <c r="E108" s="498"/>
      <c r="F108" s="498"/>
      <c r="G108" s="500"/>
      <c r="H108" s="503"/>
      <c r="I108" s="503"/>
      <c r="J108" s="511"/>
      <c r="K108" s="495"/>
      <c r="L108" s="497"/>
      <c r="M108" s="492"/>
      <c r="N108" s="492"/>
      <c r="O108" s="427" t="str">
        <f>CONCATENATE("(APF ",T107,")")</f>
        <v>(APF 10)</v>
      </c>
      <c r="P108" s="427" t="str">
        <f>CONCATENATE("(APF ",U107,")")</f>
        <v>(APF 10)</v>
      </c>
      <c r="Q108" s="427" t="str">
        <f>CONCATENATE("(APF ",V107,")")</f>
        <v>(APF 10)</v>
      </c>
      <c r="R108" s="427" t="str">
        <f>CONCATENATE("(APF ",W107,")")</f>
        <v>(APF 50)</v>
      </c>
      <c r="T108" s="218" t="s">
        <v>127</v>
      </c>
      <c r="U108" s="219" t="s">
        <v>127</v>
      </c>
      <c r="V108" s="219" t="s">
        <v>127</v>
      </c>
      <c r="W108" s="220" t="s">
        <v>127</v>
      </c>
    </row>
    <row r="109" spans="2:23" ht="15.65" customHeight="1" thickTop="1" thickBot="1" x14ac:dyDescent="0.4">
      <c r="B109" s="203" t="s">
        <v>171</v>
      </c>
      <c r="C109" s="204" t="s">
        <v>64</v>
      </c>
      <c r="D109" s="204" t="s">
        <v>122</v>
      </c>
      <c r="E109" s="498"/>
      <c r="F109" s="498"/>
      <c r="G109" s="500"/>
      <c r="H109" s="504" t="s">
        <v>144</v>
      </c>
      <c r="I109" s="506" t="s">
        <v>163</v>
      </c>
      <c r="J109" s="510" t="s">
        <v>69</v>
      </c>
      <c r="K109" s="425"/>
      <c r="L109" s="496">
        <f>IFERROR(VLOOKUP($D109,$Y$9:$AB$9,2,FALSE)/IF($D109="Inhalation",IF($J109="Central Tendency",SUMIFS('Inhalation Exposure'!$O$5:$O$164,'Inhalation Exposure'!$B$5:$B$164,$B109,'Inhalation Exposure'!$D$5:$D$164,$C109),SUMIFS('Inhalation Exposure'!$N$5:$N$164,'Inhalation Exposure'!$B$5:$B$164,$B109,'Inhalation Exposure'!$D$5:$D$164,$C109))),"--")</f>
        <v>656.24999999999989</v>
      </c>
      <c r="M109" s="491">
        <f>IFERROR(VLOOKUP($D109,$Y$9:$AB$9,3,FALSE)/IF($D109="Inhalation",IF($J109="Central Tendency",SUMIFS('Inhalation Exposure'!$Q$5:$Q$164,'Inhalation Exposure'!$B$5:$B$164,$B109,'Inhalation Exposure'!$D$5:$D$164,$C109),SUMIFS('Inhalation Exposure'!$P$5:$P$164,'Inhalation Exposure'!$B$5:$B$164,$B109,'Inhalation Exposure'!$D$5:$D$164,$C109))),"--")</f>
        <v>7984.375</v>
      </c>
      <c r="N109" s="491">
        <f>IFERROR(VLOOKUP($D109,$Y$9:$AB$9,4,FALSE)*IF($D109="Inhalation",IF($J109="Central Tendency",SUMIFS('Inhalation Exposure'!$S$5:$S$164,'Inhalation Exposure'!$B$5:$B$164,$B109,'Inhalation Exposure'!$D$5:$D$164,$C109),SUMIFS('Inhalation Exposure'!$R$5:$R$164,'Inhalation Exposure'!$B$5:$B$164,$B109,'Inhalation Exposure'!$D$5:$D$164,$C109))),"--")</f>
        <v>3.7805409202669477E-7</v>
      </c>
      <c r="O109" s="429" t="s">
        <v>145</v>
      </c>
      <c r="P109" s="429" t="s">
        <v>145</v>
      </c>
      <c r="Q109" s="429" t="s">
        <v>145</v>
      </c>
      <c r="R109" s="429" t="s">
        <v>145</v>
      </c>
      <c r="T109" s="211" t="s">
        <v>145</v>
      </c>
      <c r="U109" s="212" t="s">
        <v>145</v>
      </c>
      <c r="V109" s="212" t="s">
        <v>145</v>
      </c>
      <c r="W109" s="213" t="s">
        <v>145</v>
      </c>
    </row>
    <row r="110" spans="2:23" ht="15" thickBot="1" x14ac:dyDescent="0.4">
      <c r="B110" s="203" t="s">
        <v>171</v>
      </c>
      <c r="C110" s="204" t="s">
        <v>64</v>
      </c>
      <c r="D110" s="204" t="s">
        <v>122</v>
      </c>
      <c r="E110" s="498"/>
      <c r="F110" s="498"/>
      <c r="G110" s="500"/>
      <c r="H110" s="502"/>
      <c r="I110" s="502"/>
      <c r="J110" s="513"/>
      <c r="K110" s="425"/>
      <c r="L110" s="492"/>
      <c r="M110" s="492"/>
      <c r="N110" s="492"/>
      <c r="O110" s="221" t="s">
        <v>145</v>
      </c>
      <c r="P110" s="221" t="s">
        <v>145</v>
      </c>
      <c r="Q110" s="221" t="s">
        <v>145</v>
      </c>
      <c r="R110" s="221" t="s">
        <v>145</v>
      </c>
      <c r="T110" s="222" t="s">
        <v>145</v>
      </c>
      <c r="U110" s="223" t="s">
        <v>145</v>
      </c>
      <c r="V110" s="223" t="s">
        <v>145</v>
      </c>
      <c r="W110" s="224" t="s">
        <v>145</v>
      </c>
    </row>
    <row r="111" spans="2:23" ht="15" thickBot="1" x14ac:dyDescent="0.4">
      <c r="B111" s="203" t="s">
        <v>171</v>
      </c>
      <c r="C111" s="204" t="s">
        <v>64</v>
      </c>
      <c r="D111" s="204" t="s">
        <v>122</v>
      </c>
      <c r="E111" s="498"/>
      <c r="F111" s="498"/>
      <c r="G111" s="500"/>
      <c r="H111" s="502"/>
      <c r="I111" s="502"/>
      <c r="J111" s="510" t="s">
        <v>128</v>
      </c>
      <c r="K111" s="425"/>
      <c r="L111" s="491">
        <f>IFERROR(VLOOKUP($D111,$Y$9:$AB$9,2,FALSE)/IF($D111="Inhalation",IF($J111="Central Tendency",SUMIFS('Inhalation Exposure'!$O$5:$O$164,'Inhalation Exposure'!$B$5:$B$164,$B111,'Inhalation Exposure'!$D$5:$D$164,$C111),SUMIFS('Inhalation Exposure'!$N$5:$N$164,'Inhalation Exposure'!$B$5:$B$164,$B111,'Inhalation Exposure'!$D$5:$D$164,$C111))),"--")</f>
        <v>437.5</v>
      </c>
      <c r="M111" s="491">
        <f>IFERROR(VLOOKUP($D111,$Y$9:$AB$9,3,FALSE)/IF($D111="Inhalation",IF($J111="Central Tendency",SUMIFS('Inhalation Exposure'!$Q$5:$Q$164,'Inhalation Exposure'!$B$5:$B$164,$B111,'Inhalation Exposure'!$D$5:$D$164,$C111),SUMIFS('Inhalation Exposure'!$P$5:$P$164,'Inhalation Exposure'!$B$5:$B$164,$B111,'Inhalation Exposure'!$D$5:$D$164,$C111))),"--")</f>
        <v>5322.916666666667</v>
      </c>
      <c r="N111" s="491">
        <f>IFERROR(VLOOKUP($D111,$Y$9:$AB$9,4,FALSE)*IF($D111="Inhalation",IF($J111="Central Tendency",SUMIFS('Inhalation Exposure'!$S$5:$S$164,'Inhalation Exposure'!$B$5:$B$164,$B111,'Inhalation Exposure'!$D$5:$D$164,$C111),SUMIFS('Inhalation Exposure'!$R$5:$R$164,'Inhalation Exposure'!$B$5:$B$164,$B111,'Inhalation Exposure'!$D$5:$D$164,$C111))),"--")</f>
        <v>7.3171759747102211E-7</v>
      </c>
      <c r="T111" s="14"/>
      <c r="U111" s="14"/>
      <c r="V111" s="14"/>
      <c r="W111" s="14"/>
    </row>
    <row r="112" spans="2:23" ht="15" thickBot="1" x14ac:dyDescent="0.4">
      <c r="B112" s="203" t="s">
        <v>171</v>
      </c>
      <c r="C112" s="204" t="s">
        <v>64</v>
      </c>
      <c r="D112" s="204" t="s">
        <v>122</v>
      </c>
      <c r="E112" s="498"/>
      <c r="F112" s="498"/>
      <c r="G112" s="500"/>
      <c r="H112" s="503"/>
      <c r="I112" s="503"/>
      <c r="J112" s="511"/>
      <c r="K112" s="425"/>
      <c r="L112" s="497"/>
      <c r="M112" s="492"/>
      <c r="N112" s="492"/>
      <c r="T112" s="14"/>
      <c r="U112" s="14"/>
      <c r="V112" s="14"/>
      <c r="W112" s="14"/>
    </row>
    <row r="113" spans="2:23" ht="15.65" customHeight="1" thickTop="1" thickBot="1" x14ac:dyDescent="0.4">
      <c r="B113" s="203" t="s">
        <v>172</v>
      </c>
      <c r="C113" s="204" t="s">
        <v>64</v>
      </c>
      <c r="D113" s="204" t="s">
        <v>122</v>
      </c>
      <c r="E113" s="498"/>
      <c r="F113" s="498"/>
      <c r="G113" s="500"/>
      <c r="H113" s="504" t="s">
        <v>147</v>
      </c>
      <c r="I113" s="506" t="s">
        <v>163</v>
      </c>
      <c r="J113" s="510" t="s">
        <v>69</v>
      </c>
      <c r="K113" s="493" t="str">
        <f>IFERROR(VLOOKUP($D93,$Y$9:$AB$10,2,FALSE)/IF($D93="Inhalation",IF($J113="Central Tendency",SUMIFS(#REF!,#REF!,$B89,#REF!,$C93),SUMIFS(#REF!,#REF!,$B89,#REF!,$C93))),"--")</f>
        <v>--</v>
      </c>
      <c r="L113" s="491">
        <f>IFERROR(VLOOKUP($D113,$Y$9:$AB$9,2,FALSE)/IF($D113="Inhalation",IF($J113="Central Tendency",SUMIFS('Inhalation Exposure'!$O$5:$O$164,'Inhalation Exposure'!$B$5:$B$164,$B113,'Inhalation Exposure'!$D$5:$D$164,$C113),SUMIFS('Inhalation Exposure'!$N$5:$N$164,'Inhalation Exposure'!$B$5:$B$164,$B113,'Inhalation Exposure'!$D$5:$D$164,$C113))),"--")</f>
        <v>21.979665071770331</v>
      </c>
      <c r="M113" s="491">
        <f>IFERROR(VLOOKUP($D113,$Y$9:$AB$9,3,FALSE)/IF($D113="Inhalation",IF($J113="Central Tendency",SUMIFS('Inhalation Exposure'!$Q$5:$Q$164,'Inhalation Exposure'!$B$5:$B$164,$B113,'Inhalation Exposure'!$D$5:$D$164,$C113),SUMIFS('Inhalation Exposure'!$P$5:$P$164,'Inhalation Exposure'!$B$5:$B$164,$B113,'Inhalation Exposure'!$D$5:$D$164,$C113))),"--")</f>
        <v>35.228884336589978</v>
      </c>
      <c r="N113" s="491">
        <f>IFERROR(VLOOKUP($D113,$Y$9:$AB$9,4,FALSE)*IF($D113="Inhalation",IF($J113="Central Tendency",SUMIFS('Inhalation Exposure'!$S$5:$S$164,'Inhalation Exposure'!$B$5:$B$164,$B113,'Inhalation Exposure'!$D$5:$D$164,$C113),SUMIFS('Inhalation Exposure'!$R$5:$R$164,'Inhalation Exposure'!$B$5:$B$164,$B113,'Inhalation Exposure'!$D$5:$D$164,$C113))),"--")</f>
        <v>8.5683259571478731E-5</v>
      </c>
      <c r="T113" s="14"/>
      <c r="U113" s="14"/>
      <c r="V113" s="14"/>
      <c r="W113" s="14"/>
    </row>
    <row r="114" spans="2:23" ht="15" thickBot="1" x14ac:dyDescent="0.4">
      <c r="B114" s="203" t="s">
        <v>172</v>
      </c>
      <c r="C114" s="204" t="s">
        <v>64</v>
      </c>
      <c r="D114" s="204" t="s">
        <v>122</v>
      </c>
      <c r="E114" s="498"/>
      <c r="F114" s="498"/>
      <c r="G114" s="500"/>
      <c r="H114" s="502"/>
      <c r="I114" s="502"/>
      <c r="J114" s="513"/>
      <c r="K114" s="495"/>
      <c r="L114" s="492"/>
      <c r="M114" s="492"/>
      <c r="N114" s="492"/>
      <c r="T114" s="14"/>
      <c r="U114" s="14"/>
      <c r="V114" s="14"/>
      <c r="W114" s="14"/>
    </row>
    <row r="115" spans="2:23" ht="15" thickBot="1" x14ac:dyDescent="0.4">
      <c r="B115" s="203" t="s">
        <v>172</v>
      </c>
      <c r="C115" s="204" t="s">
        <v>64</v>
      </c>
      <c r="D115" s="204" t="s">
        <v>122</v>
      </c>
      <c r="E115" s="498"/>
      <c r="F115" s="498"/>
      <c r="G115" s="500"/>
      <c r="H115" s="502"/>
      <c r="I115" s="502"/>
      <c r="J115" s="510" t="s">
        <v>128</v>
      </c>
      <c r="K115" s="493" t="str">
        <f>IFERROR(VLOOKUP($D95,$Y$9:$AB$10,2,FALSE)/IF($D95="Inhalation",IF($J115="Central Tendency",SUMIFS(#REF!,#REF!,$B91,#REF!,$C95),SUMIFS(#REF!,#REF!,$B91,#REF!,$C95))),"--")</f>
        <v>--</v>
      </c>
      <c r="L115" s="491">
        <f>IFERROR(VLOOKUP($D115,$Y$9:$AB$9,2,FALSE)/IF($D115="Inhalation",IF($J115="Central Tendency",SUMIFS('Inhalation Exposure'!$O$5:$O$164,'Inhalation Exposure'!$B$5:$B$164,$B115,'Inhalation Exposure'!$D$5:$D$164,$C115),SUMIFS('Inhalation Exposure'!$N$5:$N$164,'Inhalation Exposure'!$B$5:$B$164,$B115,'Inhalation Exposure'!$D$5:$D$164,$C115))),"--")</f>
        <v>14.277389277389275</v>
      </c>
      <c r="M115" s="491">
        <f>IFERROR(VLOOKUP($D115,$Y$9:$AB$9,3,FALSE)/IF($D115="Inhalation",IF($J115="Central Tendency",SUMIFS('Inhalation Exposure'!$Q$5:$Q$164,'Inhalation Exposure'!$B$5:$B$164,$B115,'Inhalation Exposure'!$D$5:$D$164,$C115),SUMIFS('Inhalation Exposure'!$P$5:$P$164,'Inhalation Exposure'!$B$5:$B$164,$B115,'Inhalation Exposure'!$D$5:$D$164,$C115))),"--")</f>
        <v>22.883719740007162</v>
      </c>
      <c r="N115" s="491">
        <f>IFERROR(VLOOKUP($D115,$Y$9:$AB$9,4,FALSE)*IF($D115="Inhalation",IF($J115="Central Tendency",SUMIFS('Inhalation Exposure'!$S$5:$S$164,'Inhalation Exposure'!$B$5:$B$164,$B115,'Inhalation Exposure'!$D$5:$D$164,$C115),SUMIFS('Inhalation Exposure'!$R$5:$R$164,'Inhalation Exposure'!$B$5:$B$164,$B115,'Inhalation Exposure'!$D$5:$D$164,$C115))),"--")</f>
        <v>1.7020273972602742E-4</v>
      </c>
    </row>
    <row r="116" spans="2:23" ht="15" thickBot="1" x14ac:dyDescent="0.4">
      <c r="B116" s="203" t="s">
        <v>172</v>
      </c>
      <c r="C116" s="204" t="s">
        <v>64</v>
      </c>
      <c r="D116" s="204" t="s">
        <v>122</v>
      </c>
      <c r="E116" s="498"/>
      <c r="F116" s="498"/>
      <c r="G116" s="500"/>
      <c r="H116" s="503"/>
      <c r="I116" s="503"/>
      <c r="J116" s="511"/>
      <c r="K116" s="495"/>
      <c r="L116" s="497"/>
      <c r="M116" s="492"/>
      <c r="N116" s="492"/>
    </row>
    <row r="117" spans="2:23" ht="15.65" customHeight="1" thickTop="1" thickBot="1" x14ac:dyDescent="0.4">
      <c r="B117" s="203" t="s">
        <v>173</v>
      </c>
      <c r="C117" s="204" t="s">
        <v>64</v>
      </c>
      <c r="D117" s="204" t="s">
        <v>122</v>
      </c>
      <c r="E117" s="498"/>
      <c r="F117" s="498"/>
      <c r="G117" s="500"/>
      <c r="H117" s="504" t="s">
        <v>149</v>
      </c>
      <c r="I117" s="506" t="s">
        <v>163</v>
      </c>
      <c r="J117" s="510" t="s">
        <v>69</v>
      </c>
      <c r="K117" s="425"/>
      <c r="L117" s="496">
        <f>IFERROR(VLOOKUP($D117,$Y$9:$AB$9,2,FALSE)/IF($D117="Inhalation",IF($J117="Central Tendency",SUMIFS('Inhalation Exposure'!$O$5:$O$164,'Inhalation Exposure'!$B$5:$B$164,$B117,'Inhalation Exposure'!$D$5:$D$164,$C117),SUMIFS('Inhalation Exposure'!$N$5:$N$164,'Inhalation Exposure'!$B$5:$B$164,$B117,'Inhalation Exposure'!$D$5:$D$164,$C117))),"--")</f>
        <v>43.10850439882698</v>
      </c>
      <c r="M117" s="491">
        <f>IFERROR(VLOOKUP($D117,$Y$9:$AB$9,3,FALSE)/IF($D117="Inhalation",IF($J117="Central Tendency",SUMIFS('Inhalation Exposure'!$Q$5:$Q$164,'Inhalation Exposure'!$B$5:$B$164,$B117,'Inhalation Exposure'!$D$5:$D$164,$C117),SUMIFS('Inhalation Exposure'!$P$5:$P$164,'Inhalation Exposure'!$B$5:$B$164,$B117,'Inhalation Exposure'!$D$5:$D$164,$C117))),"--")</f>
        <v>524.4868035190616</v>
      </c>
      <c r="N117" s="491">
        <f>IFERROR(VLOOKUP($D117,$Y$9:$AB$9,4,FALSE)*IF($D117="Inhalation",IF($J117="Central Tendency",SUMIFS('Inhalation Exposure'!$S$5:$S$164,'Inhalation Exposure'!$B$5:$B$164,$B117,'Inhalation Exposure'!$D$5:$D$164,$C117),SUMIFS('Inhalation Exposure'!$R$5:$R$164,'Inhalation Exposure'!$B$5:$B$164,$B117,'Inhalation Exposure'!$D$5:$D$164,$C117))),"--")</f>
        <v>5.7551984545135231E-6</v>
      </c>
    </row>
    <row r="118" spans="2:23" ht="15" thickBot="1" x14ac:dyDescent="0.4">
      <c r="B118" s="203" t="s">
        <v>173</v>
      </c>
      <c r="C118" s="204" t="s">
        <v>64</v>
      </c>
      <c r="D118" s="204" t="s">
        <v>122</v>
      </c>
      <c r="E118" s="498"/>
      <c r="F118" s="498"/>
      <c r="G118" s="500"/>
      <c r="H118" s="502"/>
      <c r="I118" s="502"/>
      <c r="J118" s="513"/>
      <c r="K118" s="425"/>
      <c r="L118" s="492"/>
      <c r="M118" s="492"/>
      <c r="N118" s="492"/>
    </row>
    <row r="119" spans="2:23" ht="15" thickBot="1" x14ac:dyDescent="0.4">
      <c r="B119" s="203" t="s">
        <v>173</v>
      </c>
      <c r="C119" s="204" t="s">
        <v>64</v>
      </c>
      <c r="D119" s="204" t="s">
        <v>122</v>
      </c>
      <c r="E119" s="498"/>
      <c r="F119" s="498"/>
      <c r="G119" s="500"/>
      <c r="H119" s="502"/>
      <c r="I119" s="502"/>
      <c r="J119" s="510" t="s">
        <v>128</v>
      </c>
      <c r="K119" s="425"/>
      <c r="L119" s="491">
        <f>IFERROR(VLOOKUP($D119,$Y$9:$AB$9,2,FALSE)/IF($D119="Inhalation",IF($J119="Central Tendency",SUMIFS('Inhalation Exposure'!$O$5:$O$164,'Inhalation Exposure'!$B$5:$B$164,$B119,'Inhalation Exposure'!$D$5:$D$164,$C119),SUMIFS('Inhalation Exposure'!$N$5:$N$164,'Inhalation Exposure'!$B$5:$B$164,$B119,'Inhalation Exposure'!$D$5:$D$164,$C119))),"--")</f>
        <v>23.747980613893375</v>
      </c>
      <c r="M119" s="491">
        <f>IFERROR(VLOOKUP($D119,$Y$9:$AB$9,3,FALSE)/IF($D119="Inhalation",IF($J119="Central Tendency",SUMIFS('Inhalation Exposure'!$Q$5:$Q$164,'Inhalation Exposure'!$B$5:$B$164,$B119,'Inhalation Exposure'!$D$5:$D$164,$C119),SUMIFS('Inhalation Exposure'!$P$5:$P$164,'Inhalation Exposure'!$B$5:$B$164,$B119,'Inhalation Exposure'!$D$5:$D$164,$C119))),"--")</f>
        <v>288.9337641357028</v>
      </c>
      <c r="N119" s="491">
        <f>IFERROR(VLOOKUP($D119,$Y$9:$AB$9,4,FALSE)*IF($D119="Inhalation",IF($J119="Central Tendency",SUMIFS('Inhalation Exposure'!$S$5:$S$164,'Inhalation Exposure'!$B$5:$B$164,$B119,'Inhalation Exposure'!$D$5:$D$164,$C119),SUMIFS('Inhalation Exposure'!$R$5:$R$164,'Inhalation Exposure'!$B$5:$B$164,$B119,'Inhalation Exposure'!$D$5:$D$164,$C119))),"--")</f>
        <v>1.3480154548647698E-5</v>
      </c>
    </row>
    <row r="120" spans="2:23" ht="15" thickBot="1" x14ac:dyDescent="0.4">
      <c r="B120" s="203" t="s">
        <v>173</v>
      </c>
      <c r="C120" s="204" t="s">
        <v>64</v>
      </c>
      <c r="D120" s="204" t="s">
        <v>122</v>
      </c>
      <c r="E120" s="498"/>
      <c r="F120" s="498"/>
      <c r="G120" s="500"/>
      <c r="H120" s="503"/>
      <c r="I120" s="503"/>
      <c r="J120" s="511"/>
      <c r="K120" s="425"/>
      <c r="L120" s="497"/>
      <c r="M120" s="492"/>
      <c r="N120" s="492"/>
    </row>
    <row r="121" spans="2:23" ht="15.65" customHeight="1" thickTop="1" thickBot="1" x14ac:dyDescent="0.4">
      <c r="B121" s="203" t="s">
        <v>174</v>
      </c>
      <c r="C121" s="204" t="s">
        <v>64</v>
      </c>
      <c r="D121" s="204" t="s">
        <v>122</v>
      </c>
      <c r="E121" s="498"/>
      <c r="F121" s="498"/>
      <c r="G121" s="500"/>
      <c r="H121" s="504" t="s">
        <v>151</v>
      </c>
      <c r="I121" s="506" t="s">
        <v>163</v>
      </c>
      <c r="J121" s="510" t="s">
        <v>69</v>
      </c>
      <c r="K121" s="425"/>
      <c r="L121" s="491">
        <f>IFERROR(VLOOKUP($D121,$Y$9:$AB$9,2,FALSE)/IF($D121="Inhalation",IF($J121="Central Tendency",SUMIFS('Inhalation Exposure'!$O$5:$O$164,'Inhalation Exposure'!$B$5:$B$164,$B121,'Inhalation Exposure'!$D$5:$D$164,$C121),SUMIFS('Inhalation Exposure'!$N$5:$N$164,'Inhalation Exposure'!$B$5:$B$164,$B121,'Inhalation Exposure'!$D$5:$D$164,$C121))),"--")</f>
        <v>181.03448275862067</v>
      </c>
      <c r="M121" s="491">
        <f>IFERROR(VLOOKUP($D121,$Y$9:$AB$9,3,FALSE)/IF($D121="Inhalation",IF($J121="Central Tendency",SUMIFS('Inhalation Exposure'!$Q$5:$Q$164,'Inhalation Exposure'!$B$5:$B$164,$B121,'Inhalation Exposure'!$D$5:$D$164,$C121),SUMIFS('Inhalation Exposure'!$P$5:$P$164,'Inhalation Exposure'!$B$5:$B$164,$B121,'Inhalation Exposure'!$D$5:$D$164,$C121))),"--")</f>
        <v>2202.5862068965516</v>
      </c>
      <c r="N121" s="491">
        <f>IFERROR(VLOOKUP($D121,$Y$9:$AB$9,4,FALSE)*IF($D121="Inhalation",IF($J121="Central Tendency",SUMIFS('Inhalation Exposure'!$S$5:$S$164,'Inhalation Exposure'!$B$5:$B$164,$B121,'Inhalation Exposure'!$D$5:$D$164,$C121),SUMIFS('Inhalation Exposure'!$R$5:$R$164,'Inhalation Exposure'!$B$5:$B$164,$B121,'Inhalation Exposure'!$D$5:$D$164,$C121))),"--")</f>
        <v>1.3704460835967686E-6</v>
      </c>
    </row>
    <row r="122" spans="2:23" ht="15" thickBot="1" x14ac:dyDescent="0.4">
      <c r="B122" s="203" t="s">
        <v>174</v>
      </c>
      <c r="C122" s="204" t="s">
        <v>64</v>
      </c>
      <c r="D122" s="204" t="s">
        <v>122</v>
      </c>
      <c r="E122" s="498"/>
      <c r="F122" s="498"/>
      <c r="G122" s="500"/>
      <c r="H122" s="502"/>
      <c r="I122" s="502"/>
      <c r="J122" s="513"/>
      <c r="K122" s="425"/>
      <c r="L122" s="492"/>
      <c r="M122" s="492"/>
      <c r="N122" s="492"/>
    </row>
    <row r="123" spans="2:23" ht="15" thickBot="1" x14ac:dyDescent="0.4">
      <c r="B123" s="203" t="s">
        <v>174</v>
      </c>
      <c r="C123" s="204" t="s">
        <v>64</v>
      </c>
      <c r="D123" s="204" t="s">
        <v>122</v>
      </c>
      <c r="E123" s="498"/>
      <c r="F123" s="498"/>
      <c r="G123" s="500"/>
      <c r="H123" s="502"/>
      <c r="I123" s="502"/>
      <c r="J123" s="510" t="s">
        <v>128</v>
      </c>
      <c r="K123" s="425"/>
      <c r="L123" s="491">
        <f>IFERROR(VLOOKUP($D123,$Y$9:$AB$9,2,FALSE)/IF($D123="Inhalation",IF($J123="Central Tendency",SUMIFS('Inhalation Exposure'!$O$5:$O$164,'Inhalation Exposure'!$B$5:$B$164,$B123,'Inhalation Exposure'!$D$5:$D$164,$C123),SUMIFS('Inhalation Exposure'!$N$5:$N$164,'Inhalation Exposure'!$B$5:$B$164,$B123,'Inhalation Exposure'!$D$5:$D$164,$C123))),"--")</f>
        <v>1.0672900996137429</v>
      </c>
      <c r="M123" s="491">
        <f>IFERROR(VLOOKUP($D123,$Y$9:$AB$9,3,FALSE)/IF($D123="Inhalation",IF($J123="Central Tendency",SUMIFS('Inhalation Exposure'!$Q$5:$Q$164,'Inhalation Exposure'!$B$5:$B$164,$B123,'Inhalation Exposure'!$D$5:$D$164,$C123),SUMIFS('Inhalation Exposure'!$P$5:$P$164,'Inhalation Exposure'!$B$5:$B$164,$B123,'Inhalation Exposure'!$D$5:$D$164,$C123))),"--")</f>
        <v>12.985362878633872</v>
      </c>
      <c r="N123" s="491">
        <f>IFERROR(VLOOKUP($D123,$Y$9:$AB$9,4,FALSE)*IF($D123="Inhalation",IF($J123="Central Tendency",SUMIFS('Inhalation Exposure'!$S$5:$S$164,'Inhalation Exposure'!$B$5:$B$164,$B123,'Inhalation Exposure'!$D$5:$D$164,$C123),SUMIFS('Inhalation Exposure'!$R$5:$R$164,'Inhalation Exposure'!$B$5:$B$164,$B123,'Inhalation Exposure'!$D$5:$D$164,$C123))),"--")</f>
        <v>2.9994323849666312E-4</v>
      </c>
    </row>
    <row r="124" spans="2:23" ht="15" thickBot="1" x14ac:dyDescent="0.4">
      <c r="B124" s="203" t="s">
        <v>174</v>
      </c>
      <c r="C124" s="204" t="s">
        <v>64</v>
      </c>
      <c r="D124" s="204" t="s">
        <v>122</v>
      </c>
      <c r="E124" s="498"/>
      <c r="F124" s="498"/>
      <c r="G124" s="500"/>
      <c r="H124" s="503"/>
      <c r="I124" s="503"/>
      <c r="J124" s="511"/>
      <c r="K124" s="425"/>
      <c r="L124" s="497"/>
      <c r="M124" s="492"/>
      <c r="N124" s="492"/>
    </row>
    <row r="125" spans="2:23" ht="15.65" customHeight="1" thickTop="1" thickBot="1" x14ac:dyDescent="0.4">
      <c r="B125" s="203" t="s">
        <v>175</v>
      </c>
      <c r="C125" s="299" t="s">
        <v>64</v>
      </c>
      <c r="D125" s="204" t="s">
        <v>122</v>
      </c>
      <c r="E125" s="498"/>
      <c r="F125" s="498"/>
      <c r="G125" s="500"/>
      <c r="H125" s="504" t="s">
        <v>153</v>
      </c>
      <c r="I125" s="506" t="s">
        <v>163</v>
      </c>
      <c r="J125" s="510" t="s">
        <v>69</v>
      </c>
      <c r="K125" s="493" t="str">
        <f>IFERROR(VLOOKUP($D97,$Y$9:$AB$10,2,FALSE)/IF($D97="Inhalation",IF($J125="Central Tendency",SUMIFS(#REF!,#REF!,$B93,#REF!,$C97),SUMIFS(#REF!,#REF!,$B93,#REF!,$C97))),"--")</f>
        <v>--</v>
      </c>
      <c r="L125" s="496">
        <f>IFERROR(VLOOKUP($D125,$Y$9:$AB$9,2,FALSE)/IF($D125="Inhalation",IF($J125="Central Tendency",SUMIFS('Inhalation Exposure'!$O$5:$O$164,'Inhalation Exposure'!$B$5:$B$164,$B125,'Inhalation Exposure'!$D$5:$D$164,$C125),SUMIFS('Inhalation Exposure'!$N$5:$N$164,'Inhalation Exposure'!$B$5:$B$164,$B125,'Inhalation Exposure'!$D$5:$D$164,$C125))),"--")</f>
        <v>167.04545454545456</v>
      </c>
      <c r="M125" s="491">
        <f>IFERROR(VLOOKUP($D125,$Y$9:$AB$9,3,FALSE)/IF($D125="Inhalation",IF($J125="Central Tendency",SUMIFS('Inhalation Exposure'!$Q$5:$Q$164,'Inhalation Exposure'!$B$5:$B$164,$B125,'Inhalation Exposure'!$D$5:$D$164,$C125),SUMIFS('Inhalation Exposure'!$P$5:$P$164,'Inhalation Exposure'!$B$5:$B$164,$B125,'Inhalation Exposure'!$D$5:$D$164,$C125))),"--")</f>
        <v>267.7395209580838</v>
      </c>
      <c r="N125" s="491">
        <f>IFERROR(VLOOKUP($D125,$Y$9:$AB$9,4,FALSE)*IF($D125="Inhalation",IF($J125="Central Tendency",SUMIFS('Inhalation Exposure'!$S$5:$S$164,'Inhalation Exposure'!$B$5:$B$164,$B125,'Inhalation Exposure'!$D$5:$D$164,$C125),SUMIFS('Inhalation Exposure'!$R$5:$R$164,'Inhalation Exposure'!$B$5:$B$164,$B125,'Inhalation Exposure'!$D$5:$D$164,$C125))),"--")</f>
        <v>1.1274113101510361E-5</v>
      </c>
    </row>
    <row r="126" spans="2:23" ht="15" thickBot="1" x14ac:dyDescent="0.4">
      <c r="B126" s="203" t="s">
        <v>175</v>
      </c>
      <c r="C126" s="299" t="s">
        <v>64</v>
      </c>
      <c r="D126" s="204" t="s">
        <v>122</v>
      </c>
      <c r="E126" s="498"/>
      <c r="F126" s="498"/>
      <c r="G126" s="500"/>
      <c r="H126" s="502"/>
      <c r="I126" s="502"/>
      <c r="J126" s="513"/>
      <c r="K126" s="495"/>
      <c r="L126" s="492"/>
      <c r="M126" s="492"/>
      <c r="N126" s="492"/>
    </row>
    <row r="127" spans="2:23" ht="15" thickBot="1" x14ac:dyDescent="0.4">
      <c r="B127" s="203" t="s">
        <v>175</v>
      </c>
      <c r="C127" s="299" t="s">
        <v>64</v>
      </c>
      <c r="D127" s="204" t="s">
        <v>122</v>
      </c>
      <c r="E127" s="498"/>
      <c r="F127" s="498"/>
      <c r="G127" s="500"/>
      <c r="H127" s="502"/>
      <c r="I127" s="502"/>
      <c r="J127" s="510" t="s">
        <v>128</v>
      </c>
      <c r="K127" s="493" t="str">
        <f>IFERROR(VLOOKUP($D99,$Y$9:$AB$10,2,FALSE)/IF($D99="Inhalation",IF($J127="Central Tendency",SUMIFS(#REF!,#REF!,$B95,#REF!,$C99),SUMIFS(#REF!,#REF!,$B95,#REF!,$C99))),"--")</f>
        <v>--</v>
      </c>
      <c r="L127" s="491">
        <f>IFERROR(VLOOKUP($D127,$Y$9:$AB$9,2,FALSE)/IF($D127="Inhalation",IF($J127="Central Tendency",SUMIFS('Inhalation Exposure'!$O$5:$O$164,'Inhalation Exposure'!$B$5:$B$164,$B127,'Inhalation Exposure'!$D$5:$D$164,$C127),SUMIFS('Inhalation Exposure'!$N$5:$N$164,'Inhalation Exposure'!$B$5:$B$164,$B127,'Inhalation Exposure'!$D$5:$D$164,$C127))),"--")</f>
        <v>16.704545454545453</v>
      </c>
      <c r="M127" s="491">
        <f>IFERROR(VLOOKUP($D127,$Y$9:$AB$9,3,FALSE)/IF($D127="Inhalation",IF($J127="Central Tendency",SUMIFS('Inhalation Exposure'!$Q$5:$Q$164,'Inhalation Exposure'!$B$5:$B$164,$B127,'Inhalation Exposure'!$D$5:$D$164,$C127),SUMIFS('Inhalation Exposure'!$P$5:$P$164,'Inhalation Exposure'!$B$5:$B$164,$B127,'Inhalation Exposure'!$D$5:$D$164,$C127))),"--")</f>
        <v>26.773952095808376</v>
      </c>
      <c r="N127" s="491">
        <f>IFERROR(VLOOKUP($D127,$Y$9:$AB$9,4,FALSE)*IF($D127="Inhalation",IF($J127="Central Tendency",SUMIFS('Inhalation Exposure'!$S$5:$S$164,'Inhalation Exposure'!$B$5:$B$164,$B127,'Inhalation Exposure'!$D$5:$D$164,$C127),SUMIFS('Inhalation Exposure'!$R$5:$R$164,'Inhalation Exposure'!$B$5:$B$164,$B127,'Inhalation Exposure'!$D$5:$D$164,$C127))),"--")</f>
        <v>1.4547242711626277E-4</v>
      </c>
    </row>
    <row r="128" spans="2:23" ht="15" thickBot="1" x14ac:dyDescent="0.4">
      <c r="B128" s="203" t="s">
        <v>175</v>
      </c>
      <c r="C128" s="299" t="s">
        <v>64</v>
      </c>
      <c r="D128" s="204" t="s">
        <v>122</v>
      </c>
      <c r="E128" s="498"/>
      <c r="F128" s="498"/>
      <c r="G128" s="500"/>
      <c r="H128" s="503"/>
      <c r="I128" s="503"/>
      <c r="J128" s="511"/>
      <c r="K128" s="495"/>
      <c r="L128" s="497"/>
      <c r="M128" s="492"/>
      <c r="N128" s="492"/>
    </row>
    <row r="129" spans="2:14" ht="15.65" customHeight="1" thickTop="1" thickBot="1" x14ac:dyDescent="0.4">
      <c r="B129" s="203" t="s">
        <v>176</v>
      </c>
      <c r="C129" s="299" t="s">
        <v>64</v>
      </c>
      <c r="D129" s="204" t="s">
        <v>122</v>
      </c>
      <c r="E129" s="498"/>
      <c r="F129" s="498"/>
      <c r="G129" s="500"/>
      <c r="H129" s="504" t="s">
        <v>155</v>
      </c>
      <c r="I129" s="506" t="s">
        <v>163</v>
      </c>
      <c r="J129" s="510" t="s">
        <v>69</v>
      </c>
      <c r="K129" s="425"/>
      <c r="L129" s="491">
        <f>IFERROR(VLOOKUP($D129,$Y$9:$AB$9,2,FALSE)/IF($D129="Inhalation",IF($J129="Central Tendency",SUMIFS('Inhalation Exposure'!$O$5:$O$164,'Inhalation Exposure'!$B$5:$B$164,$B129,'Inhalation Exposure'!$D$5:$D$164,$C129),SUMIFS('Inhalation Exposure'!$N$5:$N$164,'Inhalation Exposure'!$B$5:$B$164,$B129,'Inhalation Exposure'!$D$5:$D$164,$C129))),"--")</f>
        <v>459.37500000000006</v>
      </c>
      <c r="M129" s="491">
        <f>IFERROR(VLOOKUP($D129,$Y$9:$AB$9,3,FALSE)/IF($D129="Inhalation",IF($J129="Central Tendency",SUMIFS('Inhalation Exposure'!$Q$5:$Q$164,'Inhalation Exposure'!$B$5:$B$164,$B129,'Inhalation Exposure'!$D$5:$D$164,$C129),SUMIFS('Inhalation Exposure'!$P$5:$P$164,'Inhalation Exposure'!$B$5:$B$164,$B129,'Inhalation Exposure'!$D$5:$D$164,$C129))),"--")</f>
        <v>5589.0625</v>
      </c>
      <c r="N129" s="491">
        <f>IFERROR(VLOOKUP($D129,$Y$9:$AB$9,4,FALSE)*IF($D129="Inhalation",IF($J129="Central Tendency",SUMIFS('Inhalation Exposure'!$S$5:$S$164,'Inhalation Exposure'!$B$5:$B$164,$B129,'Inhalation Exposure'!$D$5:$D$164,$C129),SUMIFS('Inhalation Exposure'!$R$5:$R$164,'Inhalation Exposure'!$B$5:$B$164,$B129,'Inhalation Exposure'!$D$5:$D$164,$C129))),"--")</f>
        <v>5.4007727432384956E-7</v>
      </c>
    </row>
    <row r="130" spans="2:14" ht="15" thickBot="1" x14ac:dyDescent="0.4">
      <c r="B130" s="203" t="s">
        <v>176</v>
      </c>
      <c r="C130" s="299" t="s">
        <v>64</v>
      </c>
      <c r="D130" s="204" t="s">
        <v>122</v>
      </c>
      <c r="E130" s="498"/>
      <c r="F130" s="498"/>
      <c r="G130" s="500"/>
      <c r="H130" s="502"/>
      <c r="I130" s="502"/>
      <c r="J130" s="513"/>
      <c r="K130" s="425"/>
      <c r="L130" s="492"/>
      <c r="M130" s="492"/>
      <c r="N130" s="492"/>
    </row>
    <row r="131" spans="2:14" ht="15" thickBot="1" x14ac:dyDescent="0.4">
      <c r="B131" s="203" t="s">
        <v>176</v>
      </c>
      <c r="C131" s="299" t="s">
        <v>64</v>
      </c>
      <c r="D131" s="204" t="s">
        <v>122</v>
      </c>
      <c r="E131" s="498"/>
      <c r="F131" s="498"/>
      <c r="G131" s="500"/>
      <c r="H131" s="502"/>
      <c r="I131" s="502"/>
      <c r="J131" s="510" t="s">
        <v>128</v>
      </c>
      <c r="K131" s="425"/>
      <c r="L131" s="491">
        <f>IFERROR(VLOOKUP($D131,$Y$9:$AB$9,2,FALSE)/IF($D131="Inhalation",IF($J131="Central Tendency",SUMIFS('Inhalation Exposure'!$O$5:$O$164,'Inhalation Exposure'!$B$5:$B$164,$B131,'Inhalation Exposure'!$D$5:$D$164,$C131),SUMIFS('Inhalation Exposure'!$N$5:$N$164,'Inhalation Exposure'!$B$5:$B$164,$B131,'Inhalation Exposure'!$D$5:$D$164,$C131))),"--")</f>
        <v>109.70149253731341</v>
      </c>
      <c r="M131" s="491">
        <f>IFERROR(VLOOKUP($D131,$Y$9:$AB$9,3,FALSE)/IF($D131="Inhalation",IF($J131="Central Tendency",SUMIFS('Inhalation Exposure'!$Q$5:$Q$164,'Inhalation Exposure'!$B$5:$B$164,$B131,'Inhalation Exposure'!$D$5:$D$164,$C131),SUMIFS('Inhalation Exposure'!$P$5:$P$164,'Inhalation Exposure'!$B$5:$B$164,$B131,'Inhalation Exposure'!$D$5:$D$164,$C131))),"--")</f>
        <v>1334.7014925373132</v>
      </c>
      <c r="N131" s="491">
        <f>IFERROR(VLOOKUP($D131,$Y$9:$AB$9,4,FALSE)*IF($D131="Inhalation",IF($J131="Central Tendency",SUMIFS('Inhalation Exposure'!$S$5:$S$164,'Inhalation Exposure'!$B$5:$B$164,$B131,'Inhalation Exposure'!$D$5:$D$164,$C131),SUMIFS('Inhalation Exposure'!$R$5:$R$164,'Inhalation Exposure'!$B$5:$B$164,$B131,'Inhalation Exposure'!$D$5:$D$164,$C131))),"--")</f>
        <v>2.9181594661046717E-6</v>
      </c>
    </row>
    <row r="132" spans="2:14" ht="15" thickBot="1" x14ac:dyDescent="0.4">
      <c r="B132" s="203" t="s">
        <v>176</v>
      </c>
      <c r="C132" s="299" t="s">
        <v>64</v>
      </c>
      <c r="D132" s="204" t="s">
        <v>122</v>
      </c>
      <c r="E132" s="498"/>
      <c r="F132" s="498"/>
      <c r="G132" s="500"/>
      <c r="H132" s="503"/>
      <c r="I132" s="503"/>
      <c r="J132" s="511"/>
      <c r="K132" s="425"/>
      <c r="L132" s="497"/>
      <c r="M132" s="492"/>
      <c r="N132" s="492"/>
    </row>
    <row r="133" spans="2:14" ht="15.65" customHeight="1" thickTop="1" thickBot="1" x14ac:dyDescent="0.4">
      <c r="B133" s="203" t="s">
        <v>177</v>
      </c>
      <c r="C133" s="299" t="s">
        <v>64</v>
      </c>
      <c r="D133" s="204" t="s">
        <v>122</v>
      </c>
      <c r="E133" s="498"/>
      <c r="F133" s="498"/>
      <c r="G133" s="500"/>
      <c r="H133" s="504" t="s">
        <v>157</v>
      </c>
      <c r="I133" s="506" t="s">
        <v>163</v>
      </c>
      <c r="J133" s="510" t="s">
        <v>69</v>
      </c>
      <c r="K133" s="425"/>
      <c r="L133" s="496">
        <f>IFERROR(VLOOKUP($D133,$Y$9:$AB$9,2,FALSE)/IF($D133="Inhalation",IF($J133="Central Tendency",SUMIFS('Inhalation Exposure'!$O$5:$O$164,'Inhalation Exposure'!$B$5:$B$164,$B133,'Inhalation Exposure'!$D$5:$D$164,$C133),SUMIFS('Inhalation Exposure'!$N$5:$N$164,'Inhalation Exposure'!$B$5:$B$164,$B133,'Inhalation Exposure'!$D$5:$D$164,$C133))),"--")</f>
        <v>187.49999999999997</v>
      </c>
      <c r="M133" s="491">
        <f>IFERROR(VLOOKUP($D133,$Y$9:$AB$9,3,FALSE)/IF($D133="Inhalation",IF($J133="Central Tendency",SUMIFS('Inhalation Exposure'!$Q$5:$Q$164,'Inhalation Exposure'!$B$5:$B$164,$B133,'Inhalation Exposure'!$D$5:$D$164,$C133),SUMIFS('Inhalation Exposure'!$P$5:$P$164,'Inhalation Exposure'!$B$5:$B$164,$B133,'Inhalation Exposure'!$D$5:$D$164,$C133))),"--")</f>
        <v>2281.2499999999995</v>
      </c>
      <c r="N133" s="491">
        <f>IFERROR(VLOOKUP($D133,$Y$9:$AB$9,4,FALSE)*IF($D133="Inhalation",IF($J133="Central Tendency",SUMIFS('Inhalation Exposure'!$S$5:$S$164,'Inhalation Exposure'!$B$5:$B$164,$B133,'Inhalation Exposure'!$D$5:$D$164,$C133),SUMIFS('Inhalation Exposure'!$R$5:$R$164,'Inhalation Exposure'!$B$5:$B$164,$B133,'Inhalation Exposure'!$D$5:$D$164,$C133))),"--")</f>
        <v>1.3231893220934317E-6</v>
      </c>
    </row>
    <row r="134" spans="2:14" ht="15" thickBot="1" x14ac:dyDescent="0.4">
      <c r="B134" s="203" t="s">
        <v>177</v>
      </c>
      <c r="C134" s="299" t="s">
        <v>64</v>
      </c>
      <c r="D134" s="204" t="s">
        <v>122</v>
      </c>
      <c r="E134" s="498"/>
      <c r="F134" s="498"/>
      <c r="G134" s="500"/>
      <c r="H134" s="502"/>
      <c r="I134" s="502"/>
      <c r="J134" s="513"/>
      <c r="K134" s="425"/>
      <c r="L134" s="492"/>
      <c r="M134" s="492"/>
      <c r="N134" s="492"/>
    </row>
    <row r="135" spans="2:14" ht="15" thickBot="1" x14ac:dyDescent="0.4">
      <c r="B135" s="203" t="s">
        <v>177</v>
      </c>
      <c r="C135" s="299" t="s">
        <v>64</v>
      </c>
      <c r="D135" s="204" t="s">
        <v>122</v>
      </c>
      <c r="E135" s="498"/>
      <c r="F135" s="498"/>
      <c r="G135" s="500"/>
      <c r="H135" s="502"/>
      <c r="I135" s="502"/>
      <c r="J135" s="510" t="s">
        <v>128</v>
      </c>
      <c r="K135" s="425"/>
      <c r="L135" s="491">
        <f>IFERROR(VLOOKUP($D135,$Y$9:$AB$9,2,FALSE)/IF($D135="Inhalation",IF($J135="Central Tendency",SUMIFS('Inhalation Exposure'!$O$5:$O$164,'Inhalation Exposure'!$B$5:$B$164,$B135,'Inhalation Exposure'!$D$5:$D$164,$C135),SUMIFS('Inhalation Exposure'!$N$5:$N$164,'Inhalation Exposure'!$B$5:$B$164,$B135,'Inhalation Exposure'!$D$5:$D$164,$C135))),"--")</f>
        <v>87.499999999999986</v>
      </c>
      <c r="M135" s="491">
        <f>IFERROR(VLOOKUP($D135,$Y$9:$AB$9,3,FALSE)/IF($D135="Inhalation",IF($J135="Central Tendency",SUMIFS('Inhalation Exposure'!$Q$5:$Q$164,'Inhalation Exposure'!$B$5:$B$164,$B135,'Inhalation Exposure'!$D$5:$D$164,$C135),SUMIFS('Inhalation Exposure'!$P$5:$P$164,'Inhalation Exposure'!$B$5:$B$164,$B135,'Inhalation Exposure'!$D$5:$D$164,$C135))),"--")</f>
        <v>1064.5833333333333</v>
      </c>
      <c r="N135" s="491">
        <f>IFERROR(VLOOKUP($D135,$Y$9:$AB$9,4,FALSE)*IF($D135="Inhalation",IF($J135="Central Tendency",SUMIFS('Inhalation Exposure'!$S$5:$S$164,'Inhalation Exposure'!$B$5:$B$164,$B135,'Inhalation Exposure'!$D$5:$D$164,$C135),SUMIFS('Inhalation Exposure'!$R$5:$R$164,'Inhalation Exposure'!$B$5:$B$164,$B135,'Inhalation Exposure'!$D$5:$D$164,$C135))),"--")</f>
        <v>3.6585879873551102E-6</v>
      </c>
    </row>
    <row r="136" spans="2:14" ht="15" thickBot="1" x14ac:dyDescent="0.4">
      <c r="B136" s="203" t="s">
        <v>177</v>
      </c>
      <c r="C136" s="299" t="s">
        <v>64</v>
      </c>
      <c r="D136" s="204" t="s">
        <v>122</v>
      </c>
      <c r="E136" s="498"/>
      <c r="F136" s="498"/>
      <c r="G136" s="500"/>
      <c r="H136" s="503"/>
      <c r="I136" s="503"/>
      <c r="J136" s="511"/>
      <c r="K136" s="425"/>
      <c r="L136" s="497"/>
      <c r="M136" s="492"/>
      <c r="N136" s="492"/>
    </row>
    <row r="137" spans="2:14" ht="15" customHeight="1" thickBot="1" x14ac:dyDescent="0.4">
      <c r="B137" s="203" t="s">
        <v>178</v>
      </c>
      <c r="C137" s="299" t="s">
        <v>64</v>
      </c>
      <c r="D137" s="204" t="s">
        <v>122</v>
      </c>
      <c r="E137" s="498"/>
      <c r="F137" s="498"/>
      <c r="G137" s="500"/>
      <c r="H137" s="506" t="s">
        <v>159</v>
      </c>
      <c r="I137" s="506" t="s">
        <v>163</v>
      </c>
      <c r="J137" s="510" t="s">
        <v>69</v>
      </c>
      <c r="K137" s="493" t="str">
        <f>IFERROR(VLOOKUP($D101,$Y$9:$AB$10,2,FALSE)/IF($D101="Inhalation",IF($J137="Central Tendency",SUMIFS(#REF!,#REF!,$B97,#REF!,$C101),SUMIFS(#REF!,#REF!,$B97,#REF!,$C101))),"--")</f>
        <v>--</v>
      </c>
      <c r="L137" s="491">
        <f>IFERROR(VLOOKUP($D137,$Y$9:$AB$9,2,FALSE)/IF($D137="Inhalation",IF($J137="Central Tendency",SUMIFS('Inhalation Exposure'!$O$5:$O$164,'Inhalation Exposure'!$B$5:$B$164,$B137,'Inhalation Exposure'!$D$5:$D$164,$C137),SUMIFS('Inhalation Exposure'!$N$5:$N$164,'Inhalation Exposure'!$B$5:$B$164,$B137,'Inhalation Exposure'!$D$5:$D$164,$C137))),"--")</f>
        <v>87.918660287081323</v>
      </c>
      <c r="M137" s="491">
        <f>IFERROR(VLOOKUP($D137,$Y$9:$AB$9,3,FALSE)/IF($D137="Inhalation",IF($J137="Central Tendency",SUMIFS('Inhalation Exposure'!$Q$5:$Q$164,'Inhalation Exposure'!$B$5:$B$164,$B137,'Inhalation Exposure'!$D$5:$D$164,$C137),SUMIFS('Inhalation Exposure'!$P$5:$P$164,'Inhalation Exposure'!$B$5:$B$164,$B137,'Inhalation Exposure'!$D$5:$D$164,$C137))),"--")</f>
        <v>140.91553734635991</v>
      </c>
      <c r="N137" s="491">
        <f>IFERROR(VLOOKUP($D137,$Y$9:$AB$9,4,FALSE)*IF($D137="Inhalation",IF($J137="Central Tendency",SUMIFS('Inhalation Exposure'!$S$5:$S$164,'Inhalation Exposure'!$B$5:$B$164,$B137,'Inhalation Exposure'!$D$5:$D$164,$C137),SUMIFS('Inhalation Exposure'!$R$5:$R$164,'Inhalation Exposure'!$B$5:$B$164,$B137,'Inhalation Exposure'!$D$5:$D$164,$C137))),"--")</f>
        <v>2.1420814892869683E-5</v>
      </c>
    </row>
    <row r="138" spans="2:14" ht="15" thickBot="1" x14ac:dyDescent="0.4">
      <c r="B138" s="203" t="s">
        <v>178</v>
      </c>
      <c r="C138" s="299" t="s">
        <v>64</v>
      </c>
      <c r="D138" s="204" t="s">
        <v>122</v>
      </c>
      <c r="E138" s="498"/>
      <c r="F138" s="498"/>
      <c r="G138" s="500"/>
      <c r="H138" s="502"/>
      <c r="I138" s="502"/>
      <c r="J138" s="513"/>
      <c r="K138" s="495"/>
      <c r="L138" s="492"/>
      <c r="M138" s="492"/>
      <c r="N138" s="492"/>
    </row>
    <row r="139" spans="2:14" ht="15" thickBot="1" x14ac:dyDescent="0.4">
      <c r="B139" s="203" t="s">
        <v>178</v>
      </c>
      <c r="C139" s="299" t="s">
        <v>64</v>
      </c>
      <c r="D139" s="204" t="s">
        <v>122</v>
      </c>
      <c r="E139" s="498"/>
      <c r="F139" s="498"/>
      <c r="G139" s="500"/>
      <c r="H139" s="502"/>
      <c r="I139" s="502"/>
      <c r="J139" s="510" t="s">
        <v>128</v>
      </c>
      <c r="K139" s="493" t="str">
        <f>IFERROR(VLOOKUP($D103,$Y$9:$AB$10,2,FALSE)/IF($D103="Inhalation",IF($J139="Central Tendency",SUMIFS(#REF!,#REF!,$B99,#REF!,$C103),SUMIFS(#REF!,#REF!,$B99,#REF!,$C103))),"--")</f>
        <v>--</v>
      </c>
      <c r="L139" s="491">
        <f>IFERROR(VLOOKUP($D139,$Y$9:$AB$9,2,FALSE)/IF($D139="Inhalation",IF($J139="Central Tendency",SUMIFS('Inhalation Exposure'!$O$5:$O$164,'Inhalation Exposure'!$B$5:$B$164,$B139,'Inhalation Exposure'!$D$5:$D$164,$C139),SUMIFS('Inhalation Exposure'!$N$5:$N$164,'Inhalation Exposure'!$B$5:$B$164,$B139,'Inhalation Exposure'!$D$5:$D$164,$C139))),"--")</f>
        <v>9.1783216783216783</v>
      </c>
      <c r="M139" s="491">
        <f>IFERROR(VLOOKUP($D139,$Y$9:$AB$9,3,FALSE)/IF($D139="Inhalation",IF($J139="Central Tendency",SUMIFS('Inhalation Exposure'!$Q$5:$Q$164,'Inhalation Exposure'!$B$5:$B$164,$B139,'Inhalation Exposure'!$D$5:$D$164,$C139),SUMIFS('Inhalation Exposure'!$P$5:$P$164,'Inhalation Exposure'!$B$5:$B$164,$B139,'Inhalation Exposure'!$D$5:$D$164,$C139))),"--")</f>
        <v>14.710962690004607</v>
      </c>
      <c r="N139" s="491">
        <f>IFERROR(VLOOKUP($D139,$Y$9:$AB$9,4,FALSE)*IF($D139="Inhalation",IF($J139="Central Tendency",SUMIFS('Inhalation Exposure'!$S$5:$S$164,'Inhalation Exposure'!$B$5:$B$164,$B139,'Inhalation Exposure'!$D$5:$D$164,$C139),SUMIFS('Inhalation Exposure'!$R$5:$R$164,'Inhalation Exposure'!$B$5:$B$164,$B139,'Inhalation Exposure'!$D$5:$D$164,$C139))),"--")</f>
        <v>2.6475981735159818E-4</v>
      </c>
    </row>
    <row r="140" spans="2:14" ht="15" thickBot="1" x14ac:dyDescent="0.4">
      <c r="B140" s="203" t="s">
        <v>178</v>
      </c>
      <c r="C140" s="299" t="s">
        <v>64</v>
      </c>
      <c r="D140" s="204" t="s">
        <v>122</v>
      </c>
      <c r="E140" s="498"/>
      <c r="F140" s="498"/>
      <c r="G140" s="500"/>
      <c r="H140" s="503"/>
      <c r="I140" s="503"/>
      <c r="J140" s="511"/>
      <c r="K140" s="495"/>
      <c r="L140" s="497"/>
      <c r="M140" s="492"/>
      <c r="N140" s="492"/>
    </row>
    <row r="141" spans="2:14" ht="15.65" customHeight="1" thickTop="1" thickBot="1" x14ac:dyDescent="0.4">
      <c r="B141" s="203" t="s">
        <v>179</v>
      </c>
      <c r="C141" s="299" t="s">
        <v>68</v>
      </c>
      <c r="D141" s="204" t="s">
        <v>122</v>
      </c>
      <c r="E141" s="498"/>
      <c r="F141" s="498"/>
      <c r="G141" s="500"/>
      <c r="H141" s="504" t="s">
        <v>68</v>
      </c>
      <c r="I141" s="506" t="s">
        <v>163</v>
      </c>
      <c r="J141" s="510" t="s">
        <v>69</v>
      </c>
      <c r="K141" s="493" t="str">
        <f>IFERROR(VLOOKUP($D105,$Y$9:$AB$10,2,FALSE)/IF($D105="Inhalation",IF($J141="Central Tendency",SUMIFS(#REF!,#REF!,$B101,#REF!,$C105),SUMIFS(#REF!,#REF!,$B101,#REF!,$C105))),"--")</f>
        <v>--</v>
      </c>
      <c r="L141" s="496">
        <f>IFERROR(VLOOKUP($D141,$Y$9:$AB$9,2,FALSE)/IF($D141="Inhalation",IF($J141="Central Tendency",SUMIFS('Inhalation Exposure'!$O$5:$O$164,'Inhalation Exposure'!$B$5:$B$164,$B141,'Inhalation Exposure'!$D$5:$D$164,$C141),SUMIFS('Inhalation Exposure'!$N$5:$N$164,'Inhalation Exposure'!$B$5:$B$164,$B141,'Inhalation Exposure'!$D$5:$D$164,$C141))),"--")</f>
        <v>417.61363636363632</v>
      </c>
      <c r="M141" s="491">
        <f>IFERROR(VLOOKUP($D141,$Y$9:$AB$9,3,FALSE)/IF($D141="Inhalation",IF($J141="Central Tendency",SUMIFS('Inhalation Exposure'!$Q$5:$Q$164,'Inhalation Exposure'!$B$5:$B$164,$B141,'Inhalation Exposure'!$D$5:$D$164,$C141),SUMIFS('Inhalation Exposure'!$P$5:$P$164,'Inhalation Exposure'!$B$5:$B$164,$B141,'Inhalation Exposure'!$D$5:$D$164,$C141))),"--")</f>
        <v>669.34880239520953</v>
      </c>
      <c r="N141" s="491">
        <f>IFERROR(VLOOKUP($D141,$Y$9:$AB$9,4,FALSE)*IF($D141="Inhalation",IF($J141="Central Tendency",SUMIFS('Inhalation Exposure'!$S$5:$S$164,'Inhalation Exposure'!$B$5:$B$164,$B141,'Inhalation Exposure'!$D$5:$D$164,$C141),SUMIFS('Inhalation Exposure'!$R$5:$R$164,'Inhalation Exposure'!$B$5:$B$164,$B141,'Inhalation Exposure'!$D$5:$D$164,$C141))),"--")</f>
        <v>4.5096452406041452E-6</v>
      </c>
    </row>
    <row r="142" spans="2:14" ht="15" thickBot="1" x14ac:dyDescent="0.4">
      <c r="B142" s="203" t="s">
        <v>179</v>
      </c>
      <c r="C142" s="299" t="s">
        <v>68</v>
      </c>
      <c r="D142" s="204" t="s">
        <v>122</v>
      </c>
      <c r="E142" s="498"/>
      <c r="F142" s="498"/>
      <c r="G142" s="500"/>
      <c r="H142" s="502"/>
      <c r="I142" s="502"/>
      <c r="J142" s="513"/>
      <c r="K142" s="495"/>
      <c r="L142" s="492"/>
      <c r="M142" s="492"/>
      <c r="N142" s="492"/>
    </row>
    <row r="143" spans="2:14" ht="15" thickBot="1" x14ac:dyDescent="0.4">
      <c r="B143" s="203" t="s">
        <v>179</v>
      </c>
      <c r="C143" s="299" t="s">
        <v>68</v>
      </c>
      <c r="D143" s="204" t="s">
        <v>122</v>
      </c>
      <c r="E143" s="498"/>
      <c r="F143" s="498"/>
      <c r="G143" s="500"/>
      <c r="H143" s="502"/>
      <c r="I143" s="502"/>
      <c r="J143" s="510" t="s">
        <v>128</v>
      </c>
      <c r="K143" s="493" t="str">
        <f>IFERROR(VLOOKUP($D107,$Y$9:$AB$10,2,FALSE)/IF($D107="Inhalation",IF($J143="Central Tendency",SUMIFS(#REF!,#REF!,$B103,#REF!,$C107),SUMIFS(#REF!,#REF!,$B103,#REF!,$C107))),"--")</f>
        <v>--</v>
      </c>
      <c r="L143" s="491">
        <f>IFERROR(VLOOKUP($D143,$Y$9:$AB$9,2,FALSE)/IF($D143="Inhalation",IF($J143="Central Tendency",SUMIFS('Inhalation Exposure'!$O$5:$O$164,'Inhalation Exposure'!$B$5:$B$164,$B143,'Inhalation Exposure'!$D$5:$D$164,$C143),SUMIFS('Inhalation Exposure'!$N$5:$N$164,'Inhalation Exposure'!$B$5:$B$164,$B143,'Inhalation Exposure'!$D$5:$D$164,$C143))),"--")</f>
        <v>196.524064171123</v>
      </c>
      <c r="M143" s="491">
        <f>IFERROR(VLOOKUP($D143,$Y$9:$AB$9,3,FALSE)/IF($D143="Inhalation",IF($J143="Central Tendency",SUMIFS('Inhalation Exposure'!$Q$5:$Q$164,'Inhalation Exposure'!$B$5:$B$164,$B143,'Inhalation Exposure'!$D$5:$D$164,$C143),SUMIFS('Inhalation Exposure'!$P$5:$P$164,'Inhalation Exposure'!$B$5:$B$164,$B143,'Inhalation Exposure'!$D$5:$D$164,$C143))),"--")</f>
        <v>314.98767171539265</v>
      </c>
      <c r="N143" s="491">
        <f>IFERROR(VLOOKUP($D143,$Y$9:$AB$9,4,FALSE)*IF($D143="Inhalation",IF($J143="Central Tendency",SUMIFS('Inhalation Exposure'!$S$5:$S$164,'Inhalation Exposure'!$B$5:$B$164,$B143,'Inhalation Exposure'!$D$5:$D$164,$C143),SUMIFS('Inhalation Exposure'!$R$5:$R$164,'Inhalation Exposure'!$B$5:$B$164,$B143,'Inhalation Exposure'!$D$5:$D$164,$C143))),"--")</f>
        <v>1.2365156304882334E-5</v>
      </c>
    </row>
    <row r="144" spans="2:14" ht="15" thickBot="1" x14ac:dyDescent="0.4">
      <c r="B144" s="203" t="s">
        <v>179</v>
      </c>
      <c r="C144" s="299" t="s">
        <v>68</v>
      </c>
      <c r="D144" s="204" t="s">
        <v>122</v>
      </c>
      <c r="E144" s="499"/>
      <c r="F144" s="499"/>
      <c r="G144" s="501"/>
      <c r="H144" s="505"/>
      <c r="I144" s="505"/>
      <c r="J144" s="513"/>
      <c r="K144" s="507"/>
      <c r="L144" s="497"/>
      <c r="M144" s="492"/>
      <c r="N144" s="492"/>
    </row>
    <row r="145" spans="2:14" ht="15" thickBot="1" x14ac:dyDescent="0.4">
      <c r="B145" s="203">
        <v>2</v>
      </c>
      <c r="C145" s="299" t="s">
        <v>64</v>
      </c>
      <c r="D145" s="204" t="s">
        <v>122</v>
      </c>
      <c r="E145" s="498" t="s">
        <v>180</v>
      </c>
      <c r="F145" s="498" t="s">
        <v>181</v>
      </c>
      <c r="G145" s="500" t="s">
        <v>182</v>
      </c>
      <c r="H145" s="502" t="s">
        <v>64</v>
      </c>
      <c r="I145" s="502" t="s">
        <v>101</v>
      </c>
      <c r="J145" s="512" t="s">
        <v>69</v>
      </c>
      <c r="K145" s="494" t="str">
        <f>IFERROR(VLOOKUP($D45,$Y$9:$AB$10,2,FALSE)/IF($D45="Inhalation",IF($J145="Central Tendency",SUMIFS(#REF!,#REF!,$B41,#REF!,$C45),SUMIFS(#REF!,#REF!,$B41,#REF!,$C45))),"--")</f>
        <v>--</v>
      </c>
      <c r="L145" s="491">
        <f>IFERROR(VLOOKUP($D145,$Y$9:$AB$9,2,FALSE)/IF($D145="Inhalation",IF($J145="Central Tendency",SUMIFS('Inhalation Exposure'!$O$5:$O$164,'Inhalation Exposure'!$B$5:$B$164,$B145,'Inhalation Exposure'!$D$5:$D$164,$C145),SUMIFS('Inhalation Exposure'!$N$5:$N$164,'Inhalation Exposure'!$B$5:$B$164,$B145,'Inhalation Exposure'!$D$5:$D$164,$C145))),"--")</f>
        <v>4.5557851239669418</v>
      </c>
      <c r="M145" s="491">
        <f>IFERROR(VLOOKUP($D145,$Y$9:$AB$9,3,FALSE)/IF($D145="Inhalation",IF($J145="Central Tendency",SUMIFS('Inhalation Exposure'!$Q$5:$Q$164,'Inhalation Exposure'!$B$5:$B$164,$B145,'Inhalation Exposure'!$D$5:$D$164,$C145),SUMIFS('Inhalation Exposure'!$P$5:$P$164,'Inhalation Exposure'!$B$5:$B$164,$B145,'Inhalation Exposure'!$D$5:$D$164,$C145))),"--")</f>
        <v>4.6901223776223766</v>
      </c>
      <c r="N145" s="491">
        <f>IFERROR(VLOOKUP($D145,$Y$9:$AB$9,4,FALSE)*IF($D145="Inhalation",IF($J145="Central Tendency",SUMIFS('Inhalation Exposure'!$S$5:$S$164,'Inhalation Exposure'!$B$5:$B$164,$B145,'Inhalation Exposure'!$D$5:$D$164,$C145),SUMIFS('Inhalation Exposure'!$R$5:$R$164,'Inhalation Exposure'!$B$5:$B$164,$B145,'Inhalation Exposure'!$D$5:$D$164,$C145))),"--")</f>
        <v>6.4359208523592087E-4</v>
      </c>
    </row>
    <row r="146" spans="2:14" ht="15" thickBot="1" x14ac:dyDescent="0.4">
      <c r="B146" s="203">
        <v>2</v>
      </c>
      <c r="C146" s="299" t="s">
        <v>64</v>
      </c>
      <c r="D146" s="204" t="s">
        <v>122</v>
      </c>
      <c r="E146" s="498"/>
      <c r="F146" s="498"/>
      <c r="G146" s="500"/>
      <c r="H146" s="502"/>
      <c r="I146" s="502"/>
      <c r="J146" s="513"/>
      <c r="K146" s="495"/>
      <c r="L146" s="492"/>
      <c r="M146" s="492"/>
      <c r="N146" s="492"/>
    </row>
    <row r="147" spans="2:14" ht="15" thickBot="1" x14ac:dyDescent="0.4">
      <c r="B147" s="203">
        <v>2</v>
      </c>
      <c r="C147" s="299" t="s">
        <v>64</v>
      </c>
      <c r="D147" s="204" t="s">
        <v>122</v>
      </c>
      <c r="E147" s="498"/>
      <c r="F147" s="498"/>
      <c r="G147" s="500"/>
      <c r="H147" s="502"/>
      <c r="I147" s="502"/>
      <c r="J147" s="510" t="s">
        <v>128</v>
      </c>
      <c r="K147" s="493" t="str">
        <f>IFERROR(VLOOKUP($D47,$Y$9:$AB$10,2,FALSE)/IF($D47="Inhalation",IF($J147="Central Tendency",SUMIFS(#REF!,#REF!,$B43,#REF!,$C47),SUMIFS(#REF!,#REF!,$B43,#REF!,$C47))),"--")</f>
        <v>--</v>
      </c>
      <c r="L147" s="491">
        <f>IFERROR(VLOOKUP($D147,$Y$9:$AB$9,2,FALSE)/IF($D147="Inhalation",IF($J147="Central Tendency",SUMIFS('Inhalation Exposure'!$O$5:$O$164,'Inhalation Exposure'!$B$5:$B$164,$B147,'Inhalation Exposure'!$D$5:$D$164,$C147),SUMIFS('Inhalation Exposure'!$N$5:$N$164,'Inhalation Exposure'!$B$5:$B$164,$B147,'Inhalation Exposure'!$D$5:$D$164,$C147))),"--")</f>
        <v>0.33409090909090911</v>
      </c>
      <c r="M147" s="491">
        <f>IFERROR(VLOOKUP($D147,$Y$9:$AB$9,3,FALSE)/IF($D147="Inhalation",IF($J147="Central Tendency",SUMIFS('Inhalation Exposure'!$Q$5:$Q$164,'Inhalation Exposure'!$B$5:$B$164,$B147,'Inhalation Exposure'!$D$5:$D$164,$C147),SUMIFS('Inhalation Exposure'!$P$5:$P$164,'Inhalation Exposure'!$B$5:$B$164,$B147,'Inhalation Exposure'!$D$5:$D$164,$C147))),"--")</f>
        <v>0.34394230769230766</v>
      </c>
      <c r="N147" s="491">
        <f>IFERROR(VLOOKUP($D147,$Y$9:$AB$9,4,FALSE)*IF($D147="Inhalation",IF($J147="Central Tendency",SUMIFS('Inhalation Exposure'!$S$5:$S$164,'Inhalation Exposure'!$B$5:$B$164,$B147,'Inhalation Exposure'!$D$5:$D$164,$C147),SUMIFS('Inhalation Exposure'!$R$5:$R$164,'Inhalation Exposure'!$B$5:$B$164,$B147,'Inhalation Exposure'!$D$5:$D$164,$C147))),"--")</f>
        <v>1.1324200913242008E-2</v>
      </c>
    </row>
    <row r="148" spans="2:14" ht="15" thickBot="1" x14ac:dyDescent="0.4">
      <c r="B148" s="203">
        <v>2</v>
      </c>
      <c r="C148" s="299" t="s">
        <v>64</v>
      </c>
      <c r="D148" s="204" t="s">
        <v>122</v>
      </c>
      <c r="E148" s="498"/>
      <c r="F148" s="498"/>
      <c r="G148" s="500"/>
      <c r="H148" s="502"/>
      <c r="I148" s="503"/>
      <c r="J148" s="511"/>
      <c r="K148" s="495"/>
      <c r="L148" s="497"/>
      <c r="M148" s="492"/>
      <c r="N148" s="492"/>
    </row>
    <row r="149" spans="2:14" ht="26.15" customHeight="1" thickTop="1" thickBot="1" x14ac:dyDescent="0.4">
      <c r="B149" s="203">
        <v>2</v>
      </c>
      <c r="C149" s="299" t="s">
        <v>64</v>
      </c>
      <c r="D149" s="204" t="s">
        <v>122</v>
      </c>
      <c r="E149" s="498"/>
      <c r="F149" s="498"/>
      <c r="G149" s="500"/>
      <c r="H149" s="504" t="s">
        <v>68</v>
      </c>
      <c r="I149" s="504" t="s">
        <v>101</v>
      </c>
      <c r="J149" s="504" t="s">
        <v>69</v>
      </c>
      <c r="K149" s="493" t="str">
        <f>IFERROR(VLOOKUP($D49,$Y$9:$AB$10,2,FALSE)/IF($D49="Inhalation",IF($J149="Central Tendency",SUMIFS(#REF!,#REF!,$B45,#REF!,$C49),SUMIFS(#REF!,#REF!,$B45,#REF!,$C49))),"--")</f>
        <v>--</v>
      </c>
      <c r="L149" s="496">
        <f>IFERROR(VLOOKUP($D149,$Y$9:$AB$9,2,FALSE)/IF($D149="Inhalation",IF($J149="Central Tendency",SUMIFS('Inhalation Exposure'!$O$5:$O$164,'Inhalation Exposure'!$B$5:$B$164,$B149,'Inhalation Exposure'!$D$5:$D$164,$C149),SUMIFS('Inhalation Exposure'!$N$5:$N$164,'Inhalation Exposure'!$B$5:$B$164,$B149,'Inhalation Exposure'!$D$5:$D$164,$C149))),"--")</f>
        <v>4.5557851239669418</v>
      </c>
      <c r="M149" s="491">
        <f>IFERROR(VLOOKUP($D149,$Y$9:$AB$9,3,FALSE)/IF($D149="Inhalation",IF($J149="Central Tendency",SUMIFS('Inhalation Exposure'!$Q$5:$Q$164,'Inhalation Exposure'!$B$5:$B$164,$B149,'Inhalation Exposure'!$D$5:$D$164,$C149),SUMIFS('Inhalation Exposure'!$P$5:$P$164,'Inhalation Exposure'!$B$5:$B$164,$B149,'Inhalation Exposure'!$D$5:$D$164,$C149))),"--")</f>
        <v>4.6901223776223766</v>
      </c>
      <c r="N149" s="491">
        <f>IFERROR(VLOOKUP($D149,$Y$9:$AB$9,4,FALSE)*IF($D149="Inhalation",IF($J149="Central Tendency",SUMIFS('Inhalation Exposure'!$S$5:$S$164,'Inhalation Exposure'!$B$5:$B$164,$B149,'Inhalation Exposure'!$D$5:$D$164,$C149),SUMIFS('Inhalation Exposure'!$R$5:$R$164,'Inhalation Exposure'!$B$5:$B$164,$B149,'Inhalation Exposure'!$D$5:$D$164,$C149))),"--")</f>
        <v>6.4359208523592087E-4</v>
      </c>
    </row>
    <row r="150" spans="2:14" ht="15" thickBot="1" x14ac:dyDescent="0.4">
      <c r="B150" s="203">
        <v>2</v>
      </c>
      <c r="C150" s="299" t="s">
        <v>68</v>
      </c>
      <c r="D150" s="204" t="s">
        <v>122</v>
      </c>
      <c r="E150" s="498"/>
      <c r="F150" s="498"/>
      <c r="G150" s="500"/>
      <c r="H150" s="502"/>
      <c r="I150" s="502"/>
      <c r="J150" s="505"/>
      <c r="K150" s="494"/>
      <c r="L150" s="492"/>
      <c r="M150" s="492"/>
      <c r="N150" s="492"/>
    </row>
    <row r="151" spans="2:14" ht="15" thickBot="1" x14ac:dyDescent="0.4">
      <c r="B151" s="203">
        <v>2</v>
      </c>
      <c r="C151" s="299" t="s">
        <v>68</v>
      </c>
      <c r="D151" s="204" t="s">
        <v>122</v>
      </c>
      <c r="E151" s="498"/>
      <c r="F151" s="498"/>
      <c r="G151" s="500"/>
      <c r="H151" s="502"/>
      <c r="I151" s="502"/>
      <c r="J151" s="506" t="s">
        <v>128</v>
      </c>
      <c r="K151" s="494"/>
      <c r="L151" s="491">
        <f>IFERROR(VLOOKUP($D151,$Y$9:$AB$9,2,FALSE)/IF($D151="Inhalation",IF($J151="Central Tendency",SUMIFS('Inhalation Exposure'!$O$5:$O$164,'Inhalation Exposure'!$B$5:$B$164,$B151,'Inhalation Exposure'!$D$5:$D$164,$C151),SUMIFS('Inhalation Exposure'!$N$5:$N$164,'Inhalation Exposure'!$B$5:$B$164,$B151,'Inhalation Exposure'!$D$5:$D$164,$C151))),"--")</f>
        <v>4.5557851239669418</v>
      </c>
      <c r="M151" s="491">
        <f>IFERROR(VLOOKUP($D151,$Y$9:$AB$9,3,FALSE)/IF($D151="Inhalation",IF($J151="Central Tendency",SUMIFS('Inhalation Exposure'!$Q$5:$Q$164,'Inhalation Exposure'!$B$5:$B$164,$B151,'Inhalation Exposure'!$D$5:$D$164,$C151),SUMIFS('Inhalation Exposure'!$P$5:$P$164,'Inhalation Exposure'!$B$5:$B$164,$B151,'Inhalation Exposure'!$D$5:$D$164,$C151))),"--")</f>
        <v>4.6901223776223766</v>
      </c>
      <c r="N151" s="491">
        <f>IFERROR(VLOOKUP($D151,$Y$9:$AB$9,4,FALSE)*IF($D151="Inhalation",IF($J151="Central Tendency",SUMIFS('Inhalation Exposure'!$S$5:$S$164,'Inhalation Exposure'!$B$5:$B$164,$B151,'Inhalation Exposure'!$D$5:$D$164,$C151),SUMIFS('Inhalation Exposure'!$R$5:$R$164,'Inhalation Exposure'!$B$5:$B$164,$B151,'Inhalation Exposure'!$D$5:$D$164,$C151))),"--")</f>
        <v>8.3044140030441398E-4</v>
      </c>
    </row>
    <row r="152" spans="2:14" ht="15" thickBot="1" x14ac:dyDescent="0.4">
      <c r="B152" s="203">
        <v>2</v>
      </c>
      <c r="C152" s="299" t="s">
        <v>64</v>
      </c>
      <c r="D152" s="204" t="s">
        <v>122</v>
      </c>
      <c r="E152" s="498"/>
      <c r="F152" s="499"/>
      <c r="G152" s="501"/>
      <c r="H152" s="502"/>
      <c r="I152" s="505"/>
      <c r="J152" s="505"/>
      <c r="K152" s="495"/>
      <c r="L152" s="497"/>
      <c r="M152" s="492"/>
      <c r="N152" s="492"/>
    </row>
    <row r="153" spans="2:14" ht="15" customHeight="1" thickBot="1" x14ac:dyDescent="0.4">
      <c r="B153" s="203" t="s">
        <v>183</v>
      </c>
      <c r="C153" s="204" t="s">
        <v>64</v>
      </c>
      <c r="D153" s="204" t="s">
        <v>122</v>
      </c>
      <c r="E153" s="508" t="s">
        <v>184</v>
      </c>
      <c r="F153" s="508" t="s">
        <v>185</v>
      </c>
      <c r="G153" s="509" t="s">
        <v>186</v>
      </c>
      <c r="H153" s="506" t="s">
        <v>126</v>
      </c>
      <c r="I153" s="506" t="s">
        <v>101</v>
      </c>
      <c r="J153" s="510" t="s">
        <v>69</v>
      </c>
      <c r="K153" s="493" t="str">
        <f>IFERROR(VLOOKUP($D153,$Y$9:$AB$10,2,FALSE)/IF($D153="Inhalation",IF($J153="Central Tendency",SUMIFS(#REF!,#REF!,$B153,#REF!,$C153),SUMIFS(#REF!,#REF!,$B153,#REF!,$C153))),"--")</f>
        <v>--</v>
      </c>
      <c r="L153" s="491">
        <f>IFERROR(VLOOKUP($D153,$Y$9:$AB$9,2,FALSE)/IF($D153="Inhalation",IF($J153="Central Tendency",SUMIFS('Inhalation Exposure'!$O$5:$O$164,'Inhalation Exposure'!$B$5:$B$164,$B153,'Inhalation Exposure'!$D$5:$D$164,$C153),SUMIFS('Inhalation Exposure'!$N$5:$N$164,'Inhalation Exposure'!$B$5:$B$164,$B153,'Inhalation Exposure'!$D$5:$D$164,$C153))),"--")</f>
        <v>200.45454545454544</v>
      </c>
      <c r="M153" s="491">
        <f>IFERROR(VLOOKUP($D153,$Y$9:$AB$9,3,FALSE)/IF($D153="Inhalation",IF($J153="Central Tendency",SUMIFS('Inhalation Exposure'!$Q$5:$Q$164,'Inhalation Exposure'!$B$5:$B$164,$B153,'Inhalation Exposure'!$D$5:$D$164,$C153),SUMIFS('Inhalation Exposure'!$P$5:$P$164,'Inhalation Exposure'!$B$5:$B$164,$B153,'Inhalation Exposure'!$D$5:$D$164,$C153))),"--")</f>
        <v>206.36538461538461</v>
      </c>
      <c r="N153" s="491">
        <f>IFERROR(VLOOKUP($D153,$Y$9:$AB$9,4,FALSE)*IF($D153="Inhalation",IF($J153="Central Tendency",SUMIFS('Inhalation Exposure'!$S$5:$S$164,'Inhalation Exposure'!$B$5:$B$164,$B153,'Inhalation Exposure'!$D$5:$D$164,$C153),SUMIFS('Inhalation Exposure'!$R$5:$R$164,'Inhalation Exposure'!$B$5:$B$164,$B153,'Inhalation Exposure'!$D$5:$D$164,$C153))),"--")</f>
        <v>1.4627092846270928E-5</v>
      </c>
    </row>
    <row r="154" spans="2:14" ht="15" thickBot="1" x14ac:dyDescent="0.4">
      <c r="B154" s="203" t="s">
        <v>183</v>
      </c>
      <c r="C154" s="204" t="s">
        <v>64</v>
      </c>
      <c r="D154" s="204" t="s">
        <v>122</v>
      </c>
      <c r="E154" s="498"/>
      <c r="F154" s="498"/>
      <c r="G154" s="500"/>
      <c r="H154" s="502"/>
      <c r="I154" s="502"/>
      <c r="J154" s="513"/>
      <c r="K154" s="495"/>
      <c r="L154" s="492"/>
      <c r="M154" s="492"/>
      <c r="N154" s="492"/>
    </row>
    <row r="155" spans="2:14" ht="15" thickBot="1" x14ac:dyDescent="0.4">
      <c r="B155" s="203" t="s">
        <v>183</v>
      </c>
      <c r="C155" s="204" t="s">
        <v>64</v>
      </c>
      <c r="D155" s="204" t="s">
        <v>122</v>
      </c>
      <c r="E155" s="498"/>
      <c r="F155" s="498"/>
      <c r="G155" s="500"/>
      <c r="H155" s="502"/>
      <c r="I155" s="502"/>
      <c r="J155" s="510" t="s">
        <v>128</v>
      </c>
      <c r="K155" s="493" t="str">
        <f>IFERROR(VLOOKUP($D155,$Y$9:$AB$10,2,FALSE)/IF($D155="Inhalation",IF($J155="Central Tendency",SUMIFS(#REF!,#REF!,$B155,#REF!,$C155),SUMIFS(#REF!,#REF!,$B155,#REF!,$C155))),"--")</f>
        <v>--</v>
      </c>
      <c r="L155" s="491">
        <f>IFERROR(VLOOKUP($D155,$Y$9:$AB$9,2,FALSE)/IF($D155="Inhalation",IF($J155="Central Tendency",SUMIFS('Inhalation Exposure'!$O$5:$O$164,'Inhalation Exposure'!$B$5:$B$164,$B155,'Inhalation Exposure'!$D$5:$D$164,$C155),SUMIFS('Inhalation Exposure'!$N$5:$N$164,'Inhalation Exposure'!$B$5:$B$164,$B155,'Inhalation Exposure'!$D$5:$D$164,$C155))),"--")</f>
        <v>11.161166227981372</v>
      </c>
      <c r="M155" s="491">
        <f>IFERROR(VLOOKUP($D155,$Y$9:$AB$9,3,FALSE)/IF($D155="Inhalation",IF($J155="Central Tendency",SUMIFS('Inhalation Exposure'!$Q$5:$Q$164,'Inhalation Exposure'!$B$5:$B$164,$B155,'Inhalation Exposure'!$D$5:$D$164,$C155),SUMIFS('Inhalation Exposure'!$P$5:$P$164,'Inhalation Exposure'!$B$5:$B$164,$B155,'Inhalation Exposure'!$D$5:$D$164,$C155))),"--")</f>
        <v>11.490277539832105</v>
      </c>
      <c r="N155" s="491">
        <f>IFERROR(VLOOKUP($D155,$Y$9:$AB$9,4,FALSE)*IF($D155="Inhalation",IF($J155="Central Tendency",SUMIFS('Inhalation Exposure'!$S$5:$S$164,'Inhalation Exposure'!$B$5:$B$164,$B155,'Inhalation Exposure'!$D$5:$D$164,$C155),SUMIFS('Inhalation Exposure'!$R$5:$R$164,'Inhalation Exposure'!$B$5:$B$164,$B155,'Inhalation Exposure'!$D$5:$D$164,$C155))),"--")</f>
        <v>3.3897108066971085E-4</v>
      </c>
    </row>
    <row r="156" spans="2:14" ht="15" thickBot="1" x14ac:dyDescent="0.4">
      <c r="B156" s="203" t="s">
        <v>183</v>
      </c>
      <c r="C156" s="204" t="s">
        <v>64</v>
      </c>
      <c r="D156" s="204" t="s">
        <v>122</v>
      </c>
      <c r="E156" s="498"/>
      <c r="F156" s="498"/>
      <c r="G156" s="500"/>
      <c r="H156" s="503"/>
      <c r="I156" s="503"/>
      <c r="J156" s="511"/>
      <c r="K156" s="495"/>
      <c r="L156" s="497"/>
      <c r="M156" s="492"/>
      <c r="N156" s="492"/>
    </row>
    <row r="157" spans="2:14" ht="15.5" thickTop="1" thickBot="1" x14ac:dyDescent="0.4">
      <c r="B157" s="203" t="s">
        <v>187</v>
      </c>
      <c r="C157" s="204" t="s">
        <v>64</v>
      </c>
      <c r="D157" s="204" t="s">
        <v>122</v>
      </c>
      <c r="E157" s="498"/>
      <c r="F157" s="498"/>
      <c r="G157" s="500"/>
      <c r="H157" s="506" t="s">
        <v>130</v>
      </c>
      <c r="I157" s="506" t="s">
        <v>101</v>
      </c>
      <c r="J157" s="510" t="s">
        <v>69</v>
      </c>
      <c r="K157" s="425"/>
      <c r="L157" s="496">
        <f>IFERROR(VLOOKUP($D157,$Y$9:$AB$9,2,FALSE)/IF($D157="Inhalation",IF($J157="Central Tendency",SUMIFS('Inhalation Exposure'!$O$5:$O$164,'Inhalation Exposure'!$B$5:$B$164,$B157,'Inhalation Exposure'!$D$5:$D$164,$C157),SUMIFS('Inhalation Exposure'!$N$5:$N$164,'Inhalation Exposure'!$B$5:$B$164,$B157,'Inhalation Exposure'!$D$5:$D$164,$C157))),"--")</f>
        <v>59.594594594594589</v>
      </c>
      <c r="M157" s="491">
        <f>IFERROR(VLOOKUP($D157,$Y$9:$AB$9,3,FALSE)/IF($D157="Inhalation",IF($J157="Central Tendency",SUMIFS('Inhalation Exposure'!$Q$5:$Q$164,'Inhalation Exposure'!$B$5:$B$164,$B157,'Inhalation Exposure'!$D$5:$D$164,$C157),SUMIFS('Inhalation Exposure'!$P$5:$P$164,'Inhalation Exposure'!$B$5:$B$164,$B157,'Inhalation Exposure'!$D$5:$D$164,$C157))),"--")</f>
        <v>725.06756756756749</v>
      </c>
      <c r="N157" s="491">
        <f>IFERROR(VLOOKUP($D157,$Y$9:$AB$9,4,FALSE)*IF($D157="Inhalation",IF($J157="Central Tendency",SUMIFS('Inhalation Exposure'!$S$5:$S$164,'Inhalation Exposure'!$B$5:$B$164,$B157,'Inhalation Exposure'!$D$5:$D$164,$C157),SUMIFS('Inhalation Exposure'!$R$5:$R$164,'Inhalation Exposure'!$B$5:$B$164,$B157,'Inhalation Exposure'!$D$5:$D$164,$C157))),"--")</f>
        <v>4.1630956562463412E-6</v>
      </c>
    </row>
    <row r="158" spans="2:14" ht="15" thickBot="1" x14ac:dyDescent="0.4">
      <c r="B158" s="203" t="s">
        <v>187</v>
      </c>
      <c r="C158" s="204" t="s">
        <v>64</v>
      </c>
      <c r="D158" s="204" t="s">
        <v>122</v>
      </c>
      <c r="E158" s="498"/>
      <c r="F158" s="498"/>
      <c r="G158" s="500"/>
      <c r="H158" s="502"/>
      <c r="I158" s="502"/>
      <c r="J158" s="513"/>
      <c r="K158" s="425"/>
      <c r="L158" s="492"/>
      <c r="M158" s="492"/>
      <c r="N158" s="492"/>
    </row>
    <row r="159" spans="2:14" ht="15" thickBot="1" x14ac:dyDescent="0.4">
      <c r="B159" s="203" t="s">
        <v>187</v>
      </c>
      <c r="C159" s="204" t="s">
        <v>64</v>
      </c>
      <c r="D159" s="204" t="s">
        <v>122</v>
      </c>
      <c r="E159" s="498"/>
      <c r="F159" s="498"/>
      <c r="G159" s="500"/>
      <c r="H159" s="502"/>
      <c r="I159" s="502"/>
      <c r="J159" s="510" t="s">
        <v>128</v>
      </c>
      <c r="K159" s="425"/>
      <c r="L159" s="491">
        <f>IFERROR(VLOOKUP($D159,$Y$9:$AB$9,2,FALSE)/IF($D159="Inhalation",IF($J159="Central Tendency",SUMIFS('Inhalation Exposure'!$O$5:$O$164,'Inhalation Exposure'!$B$5:$B$164,$B159,'Inhalation Exposure'!$D$5:$D$164,$C159),SUMIFS('Inhalation Exposure'!$N$5:$N$164,'Inhalation Exposure'!$B$5:$B$164,$B159,'Inhalation Exposure'!$D$5:$D$164,$C159))),"--")</f>
        <v>28.125</v>
      </c>
      <c r="M159" s="491">
        <f>IFERROR(VLOOKUP($D159,$Y$9:$AB$9,3,FALSE)/IF($D159="Inhalation",IF($J159="Central Tendency",SUMIFS('Inhalation Exposure'!$Q$5:$Q$164,'Inhalation Exposure'!$B$5:$B$164,$B159,'Inhalation Exposure'!$D$5:$D$164,$C159),SUMIFS('Inhalation Exposure'!$P$5:$P$164,'Inhalation Exposure'!$B$5:$B$164,$B159,'Inhalation Exposure'!$D$5:$D$164,$C159))),"--")</f>
        <v>342.18749999999994</v>
      </c>
      <c r="N159" s="491">
        <f>IFERROR(VLOOKUP($D159,$Y$9:$AB$9,4,FALSE)*IF($D159="Inhalation",IF($J159="Central Tendency",SUMIFS('Inhalation Exposure'!$S$5:$S$164,'Inhalation Exposure'!$B$5:$B$164,$B159,'Inhalation Exposure'!$D$5:$D$164,$C159),SUMIFS('Inhalation Exposure'!$R$5:$R$164,'Inhalation Exposure'!$B$5:$B$164,$B159,'Inhalation Exposure'!$D$5:$D$164,$C159))),"--")</f>
        <v>1.1382273738438123E-5</v>
      </c>
    </row>
    <row r="160" spans="2:14" ht="15" thickBot="1" x14ac:dyDescent="0.4">
      <c r="B160" s="203" t="s">
        <v>187</v>
      </c>
      <c r="C160" s="204" t="s">
        <v>64</v>
      </c>
      <c r="D160" s="204" t="s">
        <v>122</v>
      </c>
      <c r="E160" s="498"/>
      <c r="F160" s="498"/>
      <c r="G160" s="500"/>
      <c r="H160" s="503"/>
      <c r="I160" s="503"/>
      <c r="J160" s="511"/>
      <c r="K160" s="425"/>
      <c r="L160" s="497"/>
      <c r="M160" s="492"/>
      <c r="N160" s="492"/>
    </row>
    <row r="161" spans="2:14" ht="15.5" thickTop="1" thickBot="1" x14ac:dyDescent="0.4">
      <c r="B161" s="203" t="s">
        <v>188</v>
      </c>
      <c r="C161" s="204" t="s">
        <v>64</v>
      </c>
      <c r="D161" s="204" t="s">
        <v>122</v>
      </c>
      <c r="E161" s="498"/>
      <c r="F161" s="498"/>
      <c r="G161" s="500"/>
      <c r="H161" s="504" t="s">
        <v>132</v>
      </c>
      <c r="I161" s="506" t="s">
        <v>101</v>
      </c>
      <c r="J161" s="510" t="s">
        <v>69</v>
      </c>
      <c r="K161" s="493" t="str">
        <f>IFERROR(VLOOKUP($D157,$Y$9:$AB$10,2,FALSE)/IF($D157="Inhalation",IF($J161="Central Tendency",SUMIFS(#REF!,#REF!,$B157,#REF!,$C157),SUMIFS(#REF!,#REF!,$B157,#REF!,$C157))),"--")</f>
        <v>--</v>
      </c>
      <c r="L161" s="491">
        <f>IFERROR(VLOOKUP($D161,$Y$9:$AB$9,2,FALSE)/IF($D161="Inhalation",IF($J161="Central Tendency",SUMIFS('Inhalation Exposure'!$O$5:$O$164,'Inhalation Exposure'!$B$5:$B$164,$B161,'Inhalation Exposure'!$D$5:$D$164,$C161),SUMIFS('Inhalation Exposure'!$N$5:$N$164,'Inhalation Exposure'!$B$5:$B$164,$B161,'Inhalation Exposure'!$D$5:$D$164,$C161))),"--")</f>
        <v>250.56818181818181</v>
      </c>
      <c r="M161" s="491">
        <f>IFERROR(VLOOKUP($D161,$Y$9:$AB$9,3,FALSE)/IF($D161="Inhalation",IF($J161="Central Tendency",SUMIFS('Inhalation Exposure'!$Q$5:$Q$164,'Inhalation Exposure'!$B$5:$B$164,$B161,'Inhalation Exposure'!$D$5:$D$164,$C161),SUMIFS('Inhalation Exposure'!$P$5:$P$164,'Inhalation Exposure'!$B$5:$B$164,$B161,'Inhalation Exposure'!$D$5:$D$164,$C161))),"--")</f>
        <v>257.95673076923072</v>
      </c>
      <c r="N161" s="491">
        <f>IFERROR(VLOOKUP($D161,$Y$9:$AB$9,4,FALSE)*IF($D161="Inhalation",IF($J161="Central Tendency",SUMIFS('Inhalation Exposure'!$S$5:$S$164,'Inhalation Exposure'!$B$5:$B$164,$B161,'Inhalation Exposure'!$D$5:$D$164,$C161),SUMIFS('Inhalation Exposure'!$R$5:$R$164,'Inhalation Exposure'!$B$5:$B$164,$B161,'Inhalation Exposure'!$D$5:$D$164,$C161))),"--")</f>
        <v>1.1701674277016744E-5</v>
      </c>
    </row>
    <row r="162" spans="2:14" ht="15" thickBot="1" x14ac:dyDescent="0.4">
      <c r="B162" s="203" t="s">
        <v>188</v>
      </c>
      <c r="C162" s="204" t="s">
        <v>64</v>
      </c>
      <c r="D162" s="204" t="s">
        <v>122</v>
      </c>
      <c r="E162" s="498"/>
      <c r="F162" s="498"/>
      <c r="G162" s="500"/>
      <c r="H162" s="502"/>
      <c r="I162" s="502"/>
      <c r="J162" s="513"/>
      <c r="K162" s="495"/>
      <c r="L162" s="492"/>
      <c r="M162" s="492"/>
      <c r="N162" s="492"/>
    </row>
    <row r="163" spans="2:14" ht="15" thickBot="1" x14ac:dyDescent="0.4">
      <c r="B163" s="203" t="s">
        <v>188</v>
      </c>
      <c r="C163" s="204" t="s">
        <v>64</v>
      </c>
      <c r="D163" s="204" t="s">
        <v>122</v>
      </c>
      <c r="E163" s="498"/>
      <c r="F163" s="498"/>
      <c r="G163" s="500"/>
      <c r="H163" s="502"/>
      <c r="I163" s="502"/>
      <c r="J163" s="510" t="s">
        <v>128</v>
      </c>
      <c r="K163" s="493" t="str">
        <f>IFERROR(VLOOKUP($D159,$Y$9:$AB$10,2,FALSE)/IF($D159="Inhalation",IF($J163="Central Tendency",SUMIFS(#REF!,#REF!,$B159,#REF!,$C159),SUMIFS(#REF!,#REF!,$B159,#REF!,$C159))),"--")</f>
        <v>--</v>
      </c>
      <c r="L163" s="491">
        <f>IFERROR(VLOOKUP($D163,$Y$9:$AB$9,2,FALSE)/IF($D163="Inhalation",IF($J163="Central Tendency",SUMIFS('Inhalation Exposure'!$O$5:$O$164,'Inhalation Exposure'!$B$5:$B$164,$B163,'Inhalation Exposure'!$D$5:$D$164,$C163),SUMIFS('Inhalation Exposure'!$N$5:$N$164,'Inhalation Exposure'!$B$5:$B$164,$B163,'Inhalation Exposure'!$D$5:$D$164,$C163))),"--")</f>
        <v>31.321022727272727</v>
      </c>
      <c r="M163" s="491">
        <f>IFERROR(VLOOKUP($D163,$Y$9:$AB$9,3,FALSE)/IF($D163="Inhalation",IF($J163="Central Tendency",SUMIFS('Inhalation Exposure'!$Q$5:$Q$164,'Inhalation Exposure'!$B$5:$B$164,$B163,'Inhalation Exposure'!$D$5:$D$164,$C163),SUMIFS('Inhalation Exposure'!$P$5:$P$164,'Inhalation Exposure'!$B$5:$B$164,$B163,'Inhalation Exposure'!$D$5:$D$164,$C163))),"--")</f>
        <v>32.244591346153847</v>
      </c>
      <c r="N163" s="491">
        <f>IFERROR(VLOOKUP($D163,$Y$9:$AB$9,4,FALSE)*IF($D163="Inhalation",IF($J163="Central Tendency",SUMIFS('Inhalation Exposure'!$S$5:$S$164,'Inhalation Exposure'!$B$5:$B$164,$B163,'Inhalation Exposure'!$D$5:$D$164,$C163),SUMIFS('Inhalation Exposure'!$R$5:$R$164,'Inhalation Exposure'!$B$5:$B$164,$B163,'Inhalation Exposure'!$D$5:$D$164,$C163))),"--")</f>
        <v>1.2079147640791478E-4</v>
      </c>
    </row>
    <row r="164" spans="2:14" ht="15" thickBot="1" x14ac:dyDescent="0.4">
      <c r="B164" s="203" t="s">
        <v>188</v>
      </c>
      <c r="C164" s="204" t="s">
        <v>64</v>
      </c>
      <c r="D164" s="204" t="s">
        <v>122</v>
      </c>
      <c r="E164" s="498"/>
      <c r="F164" s="498"/>
      <c r="G164" s="500"/>
      <c r="H164" s="503"/>
      <c r="I164" s="503"/>
      <c r="J164" s="511"/>
      <c r="K164" s="495"/>
      <c r="L164" s="497"/>
      <c r="M164" s="492"/>
      <c r="N164" s="492"/>
    </row>
    <row r="165" spans="2:14" ht="15.5" thickTop="1" thickBot="1" x14ac:dyDescent="0.4">
      <c r="B165" s="203" t="s">
        <v>189</v>
      </c>
      <c r="C165" s="204" t="s">
        <v>64</v>
      </c>
      <c r="D165" s="204" t="s">
        <v>122</v>
      </c>
      <c r="E165" s="498"/>
      <c r="F165" s="498"/>
      <c r="G165" s="500"/>
      <c r="H165" s="504" t="s">
        <v>134</v>
      </c>
      <c r="I165" s="506" t="s">
        <v>101</v>
      </c>
      <c r="J165" s="510" t="s">
        <v>69</v>
      </c>
      <c r="K165" s="425"/>
      <c r="L165" s="496">
        <f>IFERROR(VLOOKUP($D165,$Y$9:$AB$9,2,FALSE)/IF($D165="Inhalation",IF($J165="Central Tendency",SUMIFS('Inhalation Exposure'!$O$5:$O$164,'Inhalation Exposure'!$B$5:$B$164,$B165,'Inhalation Exposure'!$D$5:$D$164,$C165),SUMIFS('Inhalation Exposure'!$N$5:$N$164,'Inhalation Exposure'!$B$5:$B$164,$B165,'Inhalation Exposure'!$D$5:$D$164,$C165))),"--")</f>
        <v>490.00000000000006</v>
      </c>
      <c r="M165" s="491">
        <f>IFERROR(VLOOKUP($D165,$Y$9:$AB$9,3,FALSE)/IF($D165="Inhalation",IF($J165="Central Tendency",SUMIFS('Inhalation Exposure'!$Q$5:$Q$164,'Inhalation Exposure'!$B$5:$B$164,$B165,'Inhalation Exposure'!$D$5:$D$164,$C165),SUMIFS('Inhalation Exposure'!$P$5:$P$164,'Inhalation Exposure'!$B$5:$B$164,$B165,'Inhalation Exposure'!$D$5:$D$164,$C165))),"--")</f>
        <v>2063.6538461538457</v>
      </c>
      <c r="N165" s="491">
        <f>IFERROR(VLOOKUP($D165,$Y$9:$AB$9,4,FALSE)*IF($D165="Inhalation",IF($J165="Central Tendency",SUMIFS('Inhalation Exposure'!$S$5:$S$164,'Inhalation Exposure'!$B$5:$B$164,$B165,'Inhalation Exposure'!$D$5:$D$164,$C165),SUMIFS('Inhalation Exposure'!$R$5:$R$164,'Inhalation Exposure'!$B$5:$B$164,$B165,'Inhalation Exposure'!$D$5:$D$164,$C165))),"--")</f>
        <v>1.462709284627093E-6</v>
      </c>
    </row>
    <row r="166" spans="2:14" ht="15" thickBot="1" x14ac:dyDescent="0.4">
      <c r="B166" s="203" t="s">
        <v>189</v>
      </c>
      <c r="C166" s="204" t="s">
        <v>64</v>
      </c>
      <c r="D166" s="204" t="s">
        <v>122</v>
      </c>
      <c r="E166" s="498"/>
      <c r="F166" s="498"/>
      <c r="G166" s="500"/>
      <c r="H166" s="502"/>
      <c r="I166" s="502"/>
      <c r="J166" s="513"/>
      <c r="K166" s="425"/>
      <c r="L166" s="492"/>
      <c r="M166" s="492"/>
      <c r="N166" s="492"/>
    </row>
    <row r="167" spans="2:14" ht="15" thickBot="1" x14ac:dyDescent="0.4">
      <c r="B167" s="203" t="s">
        <v>189</v>
      </c>
      <c r="C167" s="204" t="s">
        <v>64</v>
      </c>
      <c r="D167" s="204" t="s">
        <v>122</v>
      </c>
      <c r="E167" s="498"/>
      <c r="F167" s="498"/>
      <c r="G167" s="500"/>
      <c r="H167" s="502"/>
      <c r="I167" s="502"/>
      <c r="J167" s="510" t="s">
        <v>128</v>
      </c>
      <c r="K167" s="425"/>
      <c r="L167" s="491">
        <f>IFERROR(VLOOKUP($D167,$Y$9:$AB$9,2,FALSE)/IF($D167="Inhalation",IF($J167="Central Tendency",SUMIFS('Inhalation Exposure'!$O$5:$O$164,'Inhalation Exposure'!$B$5:$B$164,$B167,'Inhalation Exposure'!$D$5:$D$164,$C167),SUMIFS('Inhalation Exposure'!$N$5:$N$164,'Inhalation Exposure'!$B$5:$B$164,$B167,'Inhalation Exposure'!$D$5:$D$164,$C167))),"--")</f>
        <v>245.00000000000003</v>
      </c>
      <c r="M167" s="491">
        <f>IFERROR(VLOOKUP($D167,$Y$9:$AB$9,3,FALSE)/IF($D167="Inhalation",IF($J167="Central Tendency",SUMIFS('Inhalation Exposure'!$Q$5:$Q$164,'Inhalation Exposure'!$B$5:$B$164,$B167,'Inhalation Exposure'!$D$5:$D$164,$C167),SUMIFS('Inhalation Exposure'!$P$5:$P$164,'Inhalation Exposure'!$B$5:$B$164,$B167,'Inhalation Exposure'!$D$5:$D$164,$C167))),"--")</f>
        <v>1073.1000000000001</v>
      </c>
      <c r="N167" s="491">
        <f>IFERROR(VLOOKUP($D167,$Y$9:$AB$9,4,FALSE)*IF($D167="Inhalation",IF($J167="Central Tendency",SUMIFS('Inhalation Exposure'!$S$5:$S$164,'Inhalation Exposure'!$B$5:$B$164,$B167,'Inhalation Exposure'!$D$5:$D$164,$C167),SUMIFS('Inhalation Exposure'!$R$5:$R$164,'Inhalation Exposure'!$B$5:$B$164,$B167,'Inhalation Exposure'!$D$5:$D$164,$C167))),"--")</f>
        <v>3.6295515747570542E-6</v>
      </c>
    </row>
    <row r="168" spans="2:14" ht="15" thickBot="1" x14ac:dyDescent="0.4">
      <c r="B168" s="203" t="s">
        <v>189</v>
      </c>
      <c r="C168" s="204" t="s">
        <v>64</v>
      </c>
      <c r="D168" s="204" t="s">
        <v>122</v>
      </c>
      <c r="E168" s="498"/>
      <c r="F168" s="498"/>
      <c r="G168" s="500"/>
      <c r="H168" s="503"/>
      <c r="I168" s="503"/>
      <c r="J168" s="511"/>
      <c r="K168" s="425"/>
      <c r="L168" s="497"/>
      <c r="M168" s="492"/>
      <c r="N168" s="492"/>
    </row>
    <row r="169" spans="2:14" ht="15.5" thickTop="1" thickBot="1" x14ac:dyDescent="0.4">
      <c r="B169" s="203" t="s">
        <v>190</v>
      </c>
      <c r="C169" s="204" t="s">
        <v>64</v>
      </c>
      <c r="D169" s="204" t="s">
        <v>122</v>
      </c>
      <c r="E169" s="498"/>
      <c r="F169" s="498"/>
      <c r="G169" s="500"/>
      <c r="H169" s="504" t="s">
        <v>136</v>
      </c>
      <c r="I169" s="506" t="s">
        <v>101</v>
      </c>
      <c r="J169" s="510" t="s">
        <v>69</v>
      </c>
      <c r="K169" s="425"/>
      <c r="L169" s="491">
        <f>IFERROR(VLOOKUP($D169,$Y$9:$AB$9,2,FALSE)/IF($D169="Inhalation",IF($J169="Central Tendency",SUMIFS('Inhalation Exposure'!$O$5:$O$164,'Inhalation Exposure'!$B$5:$B$164,$B169,'Inhalation Exposure'!$D$5:$D$164,$C169),SUMIFS('Inhalation Exposure'!$N$5:$N$164,'Inhalation Exposure'!$B$5:$B$164,$B169,'Inhalation Exposure'!$D$5:$D$164,$C169))),"--")</f>
        <v>463.23529411764702</v>
      </c>
      <c r="M169" s="491">
        <f>IFERROR(VLOOKUP($D169,$Y$9:$AB$9,3,FALSE)/IF($D169="Inhalation",IF($J169="Central Tendency",SUMIFS('Inhalation Exposure'!$Q$5:$Q$164,'Inhalation Exposure'!$B$5:$B$164,$B169,'Inhalation Exposure'!$D$5:$D$164,$C169),SUMIFS('Inhalation Exposure'!$P$5:$P$164,'Inhalation Exposure'!$B$5:$B$164,$B169,'Inhalation Exposure'!$D$5:$D$164,$C169))),"--")</f>
        <v>5636.0294117647054</v>
      </c>
      <c r="N169" s="491">
        <f>IFERROR(VLOOKUP($D169,$Y$9:$AB$9,4,FALSE)*IF($D169="Inhalation",IF($J169="Central Tendency",SUMIFS('Inhalation Exposure'!$S$5:$S$164,'Inhalation Exposure'!$B$5:$B$164,$B169,'Inhalation Exposure'!$D$5:$D$164,$C169),SUMIFS('Inhalation Exposure'!$R$5:$R$164,'Inhalation Exposure'!$B$5:$B$164,$B169,'Inhalation Exposure'!$D$5:$D$164,$C169))),"--")</f>
        <v>5.3557663037115092E-7</v>
      </c>
    </row>
    <row r="170" spans="2:14" ht="15" thickBot="1" x14ac:dyDescent="0.4">
      <c r="B170" s="203" t="s">
        <v>190</v>
      </c>
      <c r="C170" s="204" t="s">
        <v>64</v>
      </c>
      <c r="D170" s="204" t="s">
        <v>122</v>
      </c>
      <c r="E170" s="498"/>
      <c r="F170" s="498"/>
      <c r="G170" s="500"/>
      <c r="H170" s="502"/>
      <c r="I170" s="502"/>
      <c r="J170" s="513"/>
      <c r="K170" s="425"/>
      <c r="L170" s="492"/>
      <c r="M170" s="492"/>
      <c r="N170" s="492"/>
    </row>
    <row r="171" spans="2:14" ht="15" thickBot="1" x14ac:dyDescent="0.4">
      <c r="B171" s="203" t="s">
        <v>190</v>
      </c>
      <c r="C171" s="204" t="s">
        <v>64</v>
      </c>
      <c r="D171" s="204" t="s">
        <v>122</v>
      </c>
      <c r="E171" s="498"/>
      <c r="F171" s="498"/>
      <c r="G171" s="500"/>
      <c r="H171" s="502"/>
      <c r="I171" s="502"/>
      <c r="J171" s="510" t="s">
        <v>128</v>
      </c>
      <c r="K171" s="425"/>
      <c r="L171" s="491">
        <f>IFERROR(VLOOKUP($D171,$Y$9:$AB$9,2,FALSE)/IF($D171="Inhalation",IF($J171="Central Tendency",SUMIFS('Inhalation Exposure'!$O$5:$O$164,'Inhalation Exposure'!$B$5:$B$164,$B171,'Inhalation Exposure'!$D$5:$D$164,$C171),SUMIFS('Inhalation Exposure'!$N$5:$N$164,'Inhalation Exposure'!$B$5:$B$164,$B171,'Inhalation Exposure'!$D$5:$D$164,$C171))),"--")</f>
        <v>56.654676258992801</v>
      </c>
      <c r="M171" s="491">
        <f>IFERROR(VLOOKUP($D171,$Y$9:$AB$9,3,FALSE)/IF($D171="Inhalation",IF($J171="Central Tendency",SUMIFS('Inhalation Exposure'!$Q$5:$Q$164,'Inhalation Exposure'!$B$5:$B$164,$B171,'Inhalation Exposure'!$D$5:$D$164,$C171),SUMIFS('Inhalation Exposure'!$P$5:$P$164,'Inhalation Exposure'!$B$5:$B$164,$B171,'Inhalation Exposure'!$D$5:$D$164,$C171))),"--")</f>
        <v>689.29856115107907</v>
      </c>
      <c r="N171" s="491">
        <f>IFERROR(VLOOKUP($D171,$Y$9:$AB$9,4,FALSE)*IF($D171="Inhalation",IF($J171="Central Tendency",SUMIFS('Inhalation Exposure'!$S$5:$S$164,'Inhalation Exposure'!$B$5:$B$164,$B171,'Inhalation Exposure'!$D$5:$D$164,$C171),SUMIFS('Inhalation Exposure'!$R$5:$R$164,'Inhalation Exposure'!$B$5:$B$164,$B171,'Inhalation Exposure'!$D$5:$D$164,$C171))),"--")</f>
        <v>5.6504858915817822E-6</v>
      </c>
    </row>
    <row r="172" spans="2:14" ht="15" thickBot="1" x14ac:dyDescent="0.4">
      <c r="B172" s="203" t="s">
        <v>190</v>
      </c>
      <c r="C172" s="204" t="s">
        <v>64</v>
      </c>
      <c r="D172" s="204" t="s">
        <v>122</v>
      </c>
      <c r="E172" s="498"/>
      <c r="F172" s="498"/>
      <c r="G172" s="500"/>
      <c r="H172" s="503"/>
      <c r="I172" s="503"/>
      <c r="J172" s="511"/>
      <c r="K172" s="425"/>
      <c r="L172" s="497"/>
      <c r="M172" s="492"/>
      <c r="N172" s="492"/>
    </row>
    <row r="173" spans="2:14" ht="15.5" thickTop="1" thickBot="1" x14ac:dyDescent="0.4">
      <c r="B173" s="203" t="s">
        <v>191</v>
      </c>
      <c r="C173" s="204" t="s">
        <v>64</v>
      </c>
      <c r="D173" s="204" t="s">
        <v>122</v>
      </c>
      <c r="E173" s="498"/>
      <c r="F173" s="498"/>
      <c r="G173" s="500"/>
      <c r="H173" s="504" t="s">
        <v>138</v>
      </c>
      <c r="I173" s="506" t="s">
        <v>101</v>
      </c>
      <c r="J173" s="510" t="s">
        <v>69</v>
      </c>
      <c r="K173" s="493" t="str">
        <f>IFERROR(VLOOKUP($D161,$Y$9:$AB$10,2,FALSE)/IF($D161="Inhalation",IF($J173="Central Tendency",SUMIFS(#REF!,#REF!,#REF!,#REF!,$C161),SUMIFS(#REF!,#REF!,#REF!,#REF!,$C161))),"--")</f>
        <v>--</v>
      </c>
      <c r="L173" s="496">
        <f>IFERROR(VLOOKUP($D173,$Y$9:$AB$9,2,FALSE)/IF($D173="Inhalation",IF($J173="Central Tendency",SUMIFS('Inhalation Exposure'!$O$5:$O$164,'Inhalation Exposure'!$B$5:$B$164,$B173,'Inhalation Exposure'!$D$5:$D$164,$C173),SUMIFS('Inhalation Exposure'!$N$5:$N$164,'Inhalation Exposure'!$B$5:$B$164,$B173,'Inhalation Exposure'!$D$5:$D$164,$C173))),"--")</f>
        <v>200.45454545454544</v>
      </c>
      <c r="M173" s="491">
        <f>IFERROR(VLOOKUP($D173,$Y$9:$AB$9,3,FALSE)/IF($D173="Inhalation",IF($J173="Central Tendency",SUMIFS('Inhalation Exposure'!$Q$5:$Q$164,'Inhalation Exposure'!$B$5:$B$164,$B173,'Inhalation Exposure'!$D$5:$D$164,$C173),SUMIFS('Inhalation Exposure'!$P$5:$P$164,'Inhalation Exposure'!$B$5:$B$164,$B173,'Inhalation Exposure'!$D$5:$D$164,$C173))),"--")</f>
        <v>206.36538461538461</v>
      </c>
      <c r="N173" s="491">
        <f>IFERROR(VLOOKUP($D173,$Y$9:$AB$9,4,FALSE)*IF($D173="Inhalation",IF($J173="Central Tendency",SUMIFS('Inhalation Exposure'!$S$5:$S$164,'Inhalation Exposure'!$B$5:$B$164,$B173,'Inhalation Exposure'!$D$5:$D$164,$C173),SUMIFS('Inhalation Exposure'!$R$5:$R$164,'Inhalation Exposure'!$B$5:$B$164,$B173,'Inhalation Exposure'!$D$5:$D$164,$C173))),"--")</f>
        <v>1.4627092846270928E-5</v>
      </c>
    </row>
    <row r="174" spans="2:14" ht="15" thickBot="1" x14ac:dyDescent="0.4">
      <c r="B174" s="203" t="s">
        <v>191</v>
      </c>
      <c r="C174" s="204" t="s">
        <v>64</v>
      </c>
      <c r="D174" s="204" t="s">
        <v>122</v>
      </c>
      <c r="E174" s="498"/>
      <c r="F174" s="498"/>
      <c r="G174" s="500"/>
      <c r="H174" s="502"/>
      <c r="I174" s="502"/>
      <c r="J174" s="513"/>
      <c r="K174" s="495"/>
      <c r="L174" s="492"/>
      <c r="M174" s="492"/>
      <c r="N174" s="492"/>
    </row>
    <row r="175" spans="2:14" ht="15" thickBot="1" x14ac:dyDescent="0.4">
      <c r="B175" s="203" t="s">
        <v>191</v>
      </c>
      <c r="C175" s="204" t="s">
        <v>64</v>
      </c>
      <c r="D175" s="204" t="s">
        <v>122</v>
      </c>
      <c r="E175" s="498"/>
      <c r="F175" s="498"/>
      <c r="G175" s="500"/>
      <c r="H175" s="502"/>
      <c r="I175" s="502"/>
      <c r="J175" s="510" t="s">
        <v>128</v>
      </c>
      <c r="K175" s="493" t="str">
        <f>IFERROR(VLOOKUP($D163,$Y$9:$AB$10,2,FALSE)/IF($D163="Inhalation",IF($J175="Central Tendency",SUMIFS(#REF!,#REF!,#REF!,#REF!,$C163),SUMIFS(#REF!,#REF!,#REF!,#REF!,$C163))),"--")</f>
        <v>--</v>
      </c>
      <c r="L175" s="491">
        <f>IFERROR(VLOOKUP($D175,$Y$9:$AB$9,2,FALSE)/IF($D175="Inhalation",IF($J175="Central Tendency",SUMIFS('Inhalation Exposure'!$O$5:$O$164,'Inhalation Exposure'!$B$5:$B$164,$B175,'Inhalation Exposure'!$D$5:$D$164,$C175),SUMIFS('Inhalation Exposure'!$N$5:$N$164,'Inhalation Exposure'!$B$5:$B$164,$B175,'Inhalation Exposure'!$D$5:$D$164,$C175))),"--")</f>
        <v>21.32495164410058</v>
      </c>
      <c r="M175" s="491">
        <f>IFERROR(VLOOKUP($D175,$Y$9:$AB$9,3,FALSE)/IF($D175="Inhalation",IF($J175="Central Tendency",SUMIFS('Inhalation Exposure'!$Q$5:$Q$164,'Inhalation Exposure'!$B$5:$B$164,$B175,'Inhalation Exposure'!$D$5:$D$164,$C175),SUMIFS('Inhalation Exposure'!$P$5:$P$164,'Inhalation Exposure'!$B$5:$B$164,$B175,'Inhalation Exposure'!$D$5:$D$164,$C175))),"--")</f>
        <v>21.953764320785599</v>
      </c>
      <c r="N175" s="491">
        <f>IFERROR(VLOOKUP($D175,$Y$9:$AB$9,4,FALSE)*IF($D175="Inhalation",IF($J175="Central Tendency",SUMIFS('Inhalation Exposure'!$S$5:$S$164,'Inhalation Exposure'!$B$5:$B$164,$B175,'Inhalation Exposure'!$D$5:$D$164,$C175),SUMIFS('Inhalation Exposure'!$R$5:$R$164,'Inhalation Exposure'!$B$5:$B$164,$B175,'Inhalation Exposure'!$D$5:$D$164,$C175))),"--")</f>
        <v>1.7741248097412481E-4</v>
      </c>
    </row>
    <row r="176" spans="2:14" ht="15" thickBot="1" x14ac:dyDescent="0.4">
      <c r="B176" s="203" t="s">
        <v>191</v>
      </c>
      <c r="C176" s="204" t="s">
        <v>64</v>
      </c>
      <c r="D176" s="204" t="s">
        <v>122</v>
      </c>
      <c r="E176" s="498"/>
      <c r="F176" s="498"/>
      <c r="G176" s="500"/>
      <c r="H176" s="503"/>
      <c r="I176" s="503"/>
      <c r="J176" s="511"/>
      <c r="K176" s="495"/>
      <c r="L176" s="497"/>
      <c r="M176" s="492"/>
      <c r="N176" s="492"/>
    </row>
    <row r="177" spans="2:14" ht="15.5" thickTop="1" thickBot="1" x14ac:dyDescent="0.4">
      <c r="B177" s="203" t="s">
        <v>192</v>
      </c>
      <c r="C177" s="204" t="s">
        <v>64</v>
      </c>
      <c r="D177" s="204" t="s">
        <v>122</v>
      </c>
      <c r="E177" s="498"/>
      <c r="F177" s="498"/>
      <c r="G177" s="500"/>
      <c r="H177" s="504" t="s">
        <v>140</v>
      </c>
      <c r="I177" s="506" t="s">
        <v>101</v>
      </c>
      <c r="J177" s="510" t="s">
        <v>69</v>
      </c>
      <c r="K177" s="425"/>
      <c r="L177" s="491">
        <f>IFERROR(VLOOKUP($D177,$Y$9:$AB$9,2,FALSE)/IF($D177="Inhalation",IF($J177="Central Tendency",SUMIFS('Inhalation Exposure'!$O$5:$O$164,'Inhalation Exposure'!$B$5:$B$164,$B177,'Inhalation Exposure'!$D$5:$D$164,$C177),SUMIFS('Inhalation Exposure'!$N$5:$N$164,'Inhalation Exposure'!$B$5:$B$164,$B177,'Inhalation Exposure'!$D$5:$D$164,$C177))),"--")</f>
        <v>0.36731634182908546</v>
      </c>
      <c r="M177" s="491">
        <f>IFERROR(VLOOKUP($D177,$Y$9:$AB$9,3,FALSE)/IF($D177="Inhalation",IF($J177="Central Tendency",SUMIFS('Inhalation Exposure'!$Q$5:$Q$164,'Inhalation Exposure'!$B$5:$B$164,$B177,'Inhalation Exposure'!$D$5:$D$164,$C177),SUMIFS('Inhalation Exposure'!$P$5:$P$164,'Inhalation Exposure'!$B$5:$B$164,$B177,'Inhalation Exposure'!$D$5:$D$164,$C177))),"--")</f>
        <v>4.469015492253873</v>
      </c>
      <c r="N177" s="491">
        <f>IFERROR(VLOOKUP($D177,$Y$9:$AB$9,4,FALSE)*IF($D177="Inhalation",IF($J177="Central Tendency",SUMIFS('Inhalation Exposure'!$S$5:$S$164,'Inhalation Exposure'!$B$5:$B$164,$B177,'Inhalation Exposure'!$D$5:$D$164,$C177),SUMIFS('Inhalation Exposure'!$R$5:$R$164,'Inhalation Exposure'!$B$5:$B$164,$B177,'Inhalation Exposure'!$D$5:$D$164,$C177))),"--")</f>
        <v>6.7543414120126448E-4</v>
      </c>
    </row>
    <row r="178" spans="2:14" ht="15" thickBot="1" x14ac:dyDescent="0.4">
      <c r="B178" s="203" t="s">
        <v>192</v>
      </c>
      <c r="C178" s="204" t="s">
        <v>64</v>
      </c>
      <c r="D178" s="204" t="s">
        <v>122</v>
      </c>
      <c r="E178" s="498"/>
      <c r="F178" s="498"/>
      <c r="G178" s="500"/>
      <c r="H178" s="502"/>
      <c r="I178" s="502"/>
      <c r="J178" s="513"/>
      <c r="K178" s="425"/>
      <c r="L178" s="492"/>
      <c r="M178" s="492"/>
      <c r="N178" s="492"/>
    </row>
    <row r="179" spans="2:14" ht="15" thickBot="1" x14ac:dyDescent="0.4">
      <c r="B179" s="203" t="s">
        <v>192</v>
      </c>
      <c r="C179" s="204" t="s">
        <v>64</v>
      </c>
      <c r="D179" s="204" t="s">
        <v>122</v>
      </c>
      <c r="E179" s="498"/>
      <c r="F179" s="498"/>
      <c r="G179" s="500"/>
      <c r="H179" s="502"/>
      <c r="I179" s="502"/>
      <c r="J179" s="510" t="s">
        <v>128</v>
      </c>
      <c r="K179" s="425"/>
      <c r="L179" s="491">
        <f>IFERROR(VLOOKUP($D179,$Y$9:$AB$9,2,FALSE)/IF($D179="Inhalation",IF($J179="Central Tendency",SUMIFS('Inhalation Exposure'!$O$5:$O$164,'Inhalation Exposure'!$B$5:$B$164,$B179,'Inhalation Exposure'!$D$5:$D$164,$C179),SUMIFS('Inhalation Exposure'!$N$5:$N$164,'Inhalation Exposure'!$B$5:$B$164,$B179,'Inhalation Exposure'!$D$5:$D$164,$C179))),"--")</f>
        <v>0.36731634182908546</v>
      </c>
      <c r="M179" s="491">
        <f>IFERROR(VLOOKUP($D179,$Y$9:$AB$9,3,FALSE)/IF($D179="Inhalation",IF($J179="Central Tendency",SUMIFS('Inhalation Exposure'!$Q$5:$Q$164,'Inhalation Exposure'!$B$5:$B$164,$B179,'Inhalation Exposure'!$D$5:$D$164,$C179),SUMIFS('Inhalation Exposure'!$P$5:$P$164,'Inhalation Exposure'!$B$5:$B$164,$B179,'Inhalation Exposure'!$D$5:$D$164,$C179))),"--")</f>
        <v>4.469015492253873</v>
      </c>
      <c r="N179" s="491">
        <f>IFERROR(VLOOKUP($D179,$Y$9:$AB$9,4,FALSE)*IF($D179="Inhalation",IF($J179="Central Tendency",SUMIFS('Inhalation Exposure'!$S$5:$S$164,'Inhalation Exposure'!$B$5:$B$164,$B179,'Inhalation Exposure'!$D$5:$D$164,$C179),SUMIFS('Inhalation Exposure'!$R$5:$R$164,'Inhalation Exposure'!$B$5:$B$164,$B179,'Inhalation Exposure'!$D$5:$D$164,$C179))),"--")</f>
        <v>8.715279241306639E-4</v>
      </c>
    </row>
    <row r="180" spans="2:14" ht="15" thickBot="1" x14ac:dyDescent="0.4">
      <c r="B180" s="203" t="s">
        <v>192</v>
      </c>
      <c r="C180" s="204" t="s">
        <v>64</v>
      </c>
      <c r="D180" s="204" t="s">
        <v>122</v>
      </c>
      <c r="E180" s="498"/>
      <c r="F180" s="498"/>
      <c r="G180" s="500"/>
      <c r="H180" s="503"/>
      <c r="I180" s="503"/>
      <c r="J180" s="511"/>
      <c r="K180" s="425"/>
      <c r="L180" s="497"/>
      <c r="M180" s="492"/>
      <c r="N180" s="492"/>
    </row>
    <row r="181" spans="2:14" ht="15.5" thickTop="1" thickBot="1" x14ac:dyDescent="0.4">
      <c r="B181" s="203" t="s">
        <v>193</v>
      </c>
      <c r="C181" s="204" t="s">
        <v>64</v>
      </c>
      <c r="D181" s="204" t="s">
        <v>122</v>
      </c>
      <c r="E181" s="498"/>
      <c r="F181" s="498"/>
      <c r="G181" s="500"/>
      <c r="H181" s="504" t="s">
        <v>142</v>
      </c>
      <c r="I181" s="506" t="s">
        <v>101</v>
      </c>
      <c r="J181" s="510" t="s">
        <v>69</v>
      </c>
      <c r="K181" s="493" t="str">
        <f>IFERROR(VLOOKUP($D165,$Y$9:$AB$10,2,FALSE)/IF($D165="Inhalation",IF($J181="Central Tendency",SUMIFS(#REF!,#REF!,$B161,#REF!,$C165),SUMIFS(#REF!,#REF!,$B161,#REF!,$C165))),"--")</f>
        <v>--</v>
      </c>
      <c r="L181" s="496">
        <f>IFERROR(VLOOKUP($D181,$Y$9:$AB$9,2,FALSE)/IF($D181="Inhalation",IF($J181="Central Tendency",SUMIFS('Inhalation Exposure'!$O$5:$O$164,'Inhalation Exposure'!$B$5:$B$164,$B181,'Inhalation Exposure'!$D$5:$D$164,$C181),SUMIFS('Inhalation Exposure'!$N$5:$N$164,'Inhalation Exposure'!$B$5:$B$164,$B181,'Inhalation Exposure'!$D$5:$D$164,$C181))),"--")</f>
        <v>835.22727272727263</v>
      </c>
      <c r="M181" s="491">
        <f>IFERROR(VLOOKUP($D181,$Y$9:$AB$9,3,FALSE)/IF($D181="Inhalation",IF($J181="Central Tendency",SUMIFS('Inhalation Exposure'!$Q$5:$Q$164,'Inhalation Exposure'!$B$5:$B$164,$B181,'Inhalation Exposure'!$D$5:$D$164,$C181),SUMIFS('Inhalation Exposure'!$P$5:$P$164,'Inhalation Exposure'!$B$5:$B$164,$B181,'Inhalation Exposure'!$D$5:$D$164,$C181))),"--")</f>
        <v>859.85576923076917</v>
      </c>
      <c r="N181" s="491">
        <f>IFERROR(VLOOKUP($D181,$Y$9:$AB$9,4,FALSE)*IF($D181="Inhalation",IF($J181="Central Tendency",SUMIFS('Inhalation Exposure'!$S$5:$S$164,'Inhalation Exposure'!$B$5:$B$164,$B181,'Inhalation Exposure'!$D$5:$D$164,$C181),SUMIFS('Inhalation Exposure'!$R$5:$R$164,'Inhalation Exposure'!$B$5:$B$164,$B181,'Inhalation Exposure'!$D$5:$D$164,$C181))),"--")</f>
        <v>3.5105022831050228E-6</v>
      </c>
    </row>
    <row r="182" spans="2:14" ht="15" thickBot="1" x14ac:dyDescent="0.4">
      <c r="B182" s="203" t="s">
        <v>193</v>
      </c>
      <c r="C182" s="204" t="s">
        <v>64</v>
      </c>
      <c r="D182" s="204" t="s">
        <v>122</v>
      </c>
      <c r="E182" s="498"/>
      <c r="F182" s="498"/>
      <c r="G182" s="500"/>
      <c r="H182" s="502"/>
      <c r="I182" s="502"/>
      <c r="J182" s="513"/>
      <c r="K182" s="495"/>
      <c r="L182" s="492"/>
      <c r="M182" s="492"/>
      <c r="N182" s="492"/>
    </row>
    <row r="183" spans="2:14" ht="15" thickBot="1" x14ac:dyDescent="0.4">
      <c r="B183" s="203" t="s">
        <v>193</v>
      </c>
      <c r="C183" s="204" t="s">
        <v>64</v>
      </c>
      <c r="D183" s="204" t="s">
        <v>122</v>
      </c>
      <c r="E183" s="498"/>
      <c r="F183" s="498"/>
      <c r="G183" s="500"/>
      <c r="H183" s="502"/>
      <c r="I183" s="502"/>
      <c r="J183" s="510" t="s">
        <v>128</v>
      </c>
      <c r="K183" s="493" t="str">
        <f>IFERROR(VLOOKUP($D167,$Y$9:$AB$10,2,FALSE)/IF($D167="Inhalation",IF($J183="Central Tendency",SUMIFS(#REF!,#REF!,$B163,#REF!,$C167),SUMIFS(#REF!,#REF!,$B163,#REF!,$C167))),"--")</f>
        <v>--</v>
      </c>
      <c r="L183" s="491">
        <f>IFERROR(VLOOKUP($D183,$Y$9:$AB$9,2,FALSE)/IF($D183="Inhalation",IF($J183="Central Tendency",SUMIFS('Inhalation Exposure'!$O$5:$O$164,'Inhalation Exposure'!$B$5:$B$164,$B183,'Inhalation Exposure'!$D$5:$D$164,$C183),SUMIFS('Inhalation Exposure'!$N$5:$N$164,'Inhalation Exposure'!$B$5:$B$164,$B183,'Inhalation Exposure'!$D$5:$D$164,$C183))),"--")</f>
        <v>18.091565474236955</v>
      </c>
      <c r="M183" s="491">
        <f>IFERROR(VLOOKUP($D183,$Y$9:$AB$9,3,FALSE)/IF($D183="Inhalation",IF($J183="Central Tendency",SUMIFS('Inhalation Exposure'!$Q$5:$Q$164,'Inhalation Exposure'!$B$5:$B$164,$B183,'Inhalation Exposure'!$D$5:$D$164,$C183),SUMIFS('Inhalation Exposure'!$P$5:$P$164,'Inhalation Exposure'!$B$5:$B$164,$B183,'Inhalation Exposure'!$D$5:$D$164,$C183))),"--")</f>
        <v>18.625034712579836</v>
      </c>
      <c r="N183" s="491">
        <f>IFERROR(VLOOKUP($D183,$Y$9:$AB$9,4,FALSE)*IF($D183="Inhalation",IF($J183="Central Tendency",SUMIFS('Inhalation Exposure'!$S$5:$S$164,'Inhalation Exposure'!$B$5:$B$164,$B183,'Inhalation Exposure'!$D$5:$D$164,$C183),SUMIFS('Inhalation Exposure'!$R$5:$R$164,'Inhalation Exposure'!$B$5:$B$164,$B183,'Inhalation Exposure'!$D$5:$D$164,$C183))),"--")</f>
        <v>2.0912024353120245E-4</v>
      </c>
    </row>
    <row r="184" spans="2:14" ht="15" thickBot="1" x14ac:dyDescent="0.4">
      <c r="B184" s="203" t="s">
        <v>193</v>
      </c>
      <c r="C184" s="204" t="s">
        <v>64</v>
      </c>
      <c r="D184" s="204" t="s">
        <v>122</v>
      </c>
      <c r="E184" s="498"/>
      <c r="F184" s="498"/>
      <c r="G184" s="500"/>
      <c r="H184" s="503"/>
      <c r="I184" s="503"/>
      <c r="J184" s="511"/>
      <c r="K184" s="495"/>
      <c r="L184" s="497"/>
      <c r="M184" s="492"/>
      <c r="N184" s="492"/>
    </row>
    <row r="185" spans="2:14" ht="15.5" thickTop="1" thickBot="1" x14ac:dyDescent="0.4">
      <c r="B185" s="203" t="s">
        <v>194</v>
      </c>
      <c r="C185" s="204" t="s">
        <v>64</v>
      </c>
      <c r="D185" s="204" t="s">
        <v>122</v>
      </c>
      <c r="E185" s="498"/>
      <c r="F185" s="498"/>
      <c r="G185" s="500"/>
      <c r="H185" s="504" t="s">
        <v>144</v>
      </c>
      <c r="I185" s="506" t="s">
        <v>101</v>
      </c>
      <c r="J185" s="510" t="s">
        <v>69</v>
      </c>
      <c r="K185" s="425"/>
      <c r="L185" s="491">
        <f>IFERROR(VLOOKUP($D185,$Y$9:$AB$9,2,FALSE)/IF($D185="Inhalation",IF($J185="Central Tendency",SUMIFS('Inhalation Exposure'!$O$5:$O$164,'Inhalation Exposure'!$B$5:$B$164,$B185,'Inhalation Exposure'!$D$5:$D$164,$C185),SUMIFS('Inhalation Exposure'!$N$5:$N$164,'Inhalation Exposure'!$B$5:$B$164,$B185,'Inhalation Exposure'!$D$5:$D$164,$C185))),"--")</f>
        <v>984.375</v>
      </c>
      <c r="M185" s="491">
        <f>IFERROR(VLOOKUP($D185,$Y$9:$AB$9,3,FALSE)/IF($D185="Inhalation",IF($J185="Central Tendency",SUMIFS('Inhalation Exposure'!$Q$5:$Q$164,'Inhalation Exposure'!$B$5:$B$164,$B185,'Inhalation Exposure'!$D$5:$D$164,$C185),SUMIFS('Inhalation Exposure'!$P$5:$P$164,'Inhalation Exposure'!$B$5:$B$164,$B185,'Inhalation Exposure'!$D$5:$D$164,$C185))),"--")</f>
        <v>11976.5625</v>
      </c>
      <c r="N185" s="491">
        <f>IFERROR(VLOOKUP($D185,$Y$9:$AB$9,4,FALSE)*IF($D185="Inhalation",IF($J185="Central Tendency",SUMIFS('Inhalation Exposure'!$S$5:$S$164,'Inhalation Exposure'!$B$5:$B$164,$B185,'Inhalation Exposure'!$D$5:$D$164,$C185),SUMIFS('Inhalation Exposure'!$R$5:$R$164,'Inhalation Exposure'!$B$5:$B$164,$B185,'Inhalation Exposure'!$D$5:$D$164,$C185))),"--")</f>
        <v>2.5203606135112981E-7</v>
      </c>
    </row>
    <row r="186" spans="2:14" ht="15" thickBot="1" x14ac:dyDescent="0.4">
      <c r="B186" s="203" t="s">
        <v>194</v>
      </c>
      <c r="C186" s="204" t="s">
        <v>64</v>
      </c>
      <c r="D186" s="204" t="s">
        <v>122</v>
      </c>
      <c r="E186" s="498"/>
      <c r="F186" s="498"/>
      <c r="G186" s="500"/>
      <c r="H186" s="502"/>
      <c r="I186" s="502"/>
      <c r="J186" s="513"/>
      <c r="K186" s="425"/>
      <c r="L186" s="492"/>
      <c r="M186" s="492"/>
      <c r="N186" s="492"/>
    </row>
    <row r="187" spans="2:14" ht="15" thickBot="1" x14ac:dyDescent="0.4">
      <c r="B187" s="203" t="s">
        <v>194</v>
      </c>
      <c r="C187" s="204" t="s">
        <v>64</v>
      </c>
      <c r="D187" s="204" t="s">
        <v>122</v>
      </c>
      <c r="E187" s="498"/>
      <c r="F187" s="498"/>
      <c r="G187" s="500"/>
      <c r="H187" s="502"/>
      <c r="I187" s="502"/>
      <c r="J187" s="510" t="s">
        <v>128</v>
      </c>
      <c r="K187" s="425"/>
      <c r="L187" s="491">
        <f>IFERROR(VLOOKUP($D187,$Y$9:$AB$9,2,FALSE)/IF($D187="Inhalation",IF($J187="Central Tendency",SUMIFS('Inhalation Exposure'!$O$5:$O$164,'Inhalation Exposure'!$B$5:$B$164,$B187,'Inhalation Exposure'!$D$5:$D$164,$C187),SUMIFS('Inhalation Exposure'!$N$5:$N$164,'Inhalation Exposure'!$B$5:$B$164,$B187,'Inhalation Exposure'!$D$5:$D$164,$C187))),"--")</f>
        <v>656.24999999999989</v>
      </c>
      <c r="M187" s="491">
        <f>IFERROR(VLOOKUP($D187,$Y$9:$AB$9,3,FALSE)/IF($D187="Inhalation",IF($J187="Central Tendency",SUMIFS('Inhalation Exposure'!$Q$5:$Q$164,'Inhalation Exposure'!$B$5:$B$164,$B187,'Inhalation Exposure'!$D$5:$D$164,$C187),SUMIFS('Inhalation Exposure'!$P$5:$P$164,'Inhalation Exposure'!$B$5:$B$164,$B187,'Inhalation Exposure'!$D$5:$D$164,$C187))),"--")</f>
        <v>7984.3749999999982</v>
      </c>
      <c r="N187" s="491">
        <f>IFERROR(VLOOKUP($D187,$Y$9:$AB$9,4,FALSE)*IF($D187="Inhalation",IF($J187="Central Tendency",SUMIFS('Inhalation Exposure'!$S$5:$S$164,'Inhalation Exposure'!$B$5:$B$164,$B187,'Inhalation Exposure'!$D$5:$D$164,$C187),SUMIFS('Inhalation Exposure'!$R$5:$R$164,'Inhalation Exposure'!$B$5:$B$164,$B187,'Inhalation Exposure'!$D$5:$D$164,$C187))),"--")</f>
        <v>4.8781173164734811E-7</v>
      </c>
    </row>
    <row r="188" spans="2:14" ht="15" thickBot="1" x14ac:dyDescent="0.4">
      <c r="B188" s="203" t="s">
        <v>194</v>
      </c>
      <c r="C188" s="204" t="s">
        <v>64</v>
      </c>
      <c r="D188" s="204" t="s">
        <v>122</v>
      </c>
      <c r="E188" s="498"/>
      <c r="F188" s="498"/>
      <c r="G188" s="500"/>
      <c r="H188" s="503"/>
      <c r="I188" s="503"/>
      <c r="J188" s="511"/>
      <c r="K188" s="425"/>
      <c r="L188" s="497"/>
      <c r="M188" s="492"/>
      <c r="N188" s="492"/>
    </row>
    <row r="189" spans="2:14" ht="15.5" thickTop="1" thickBot="1" x14ac:dyDescent="0.4">
      <c r="B189" s="203" t="s">
        <v>195</v>
      </c>
      <c r="C189" s="204" t="s">
        <v>64</v>
      </c>
      <c r="D189" s="204" t="s">
        <v>122</v>
      </c>
      <c r="E189" s="498"/>
      <c r="F189" s="498"/>
      <c r="G189" s="500"/>
      <c r="H189" s="504" t="s">
        <v>147</v>
      </c>
      <c r="I189" s="506" t="s">
        <v>101</v>
      </c>
      <c r="J189" s="510" t="s">
        <v>69</v>
      </c>
      <c r="K189" s="493" t="str">
        <f>IFERROR(VLOOKUP($D169,$Y$9:$AB$10,2,FALSE)/IF($D169="Inhalation",IF($J189="Central Tendency",SUMIFS(#REF!,#REF!,$B165,#REF!,$C169),SUMIFS(#REF!,#REF!,$B165,#REF!,$C169))),"--")</f>
        <v>--</v>
      </c>
      <c r="L189" s="496">
        <f>IFERROR(VLOOKUP($D189,$Y$9:$AB$9,2,FALSE)/IF($D189="Inhalation",IF($J189="Central Tendency",SUMIFS('Inhalation Exposure'!$O$5:$O$164,'Inhalation Exposure'!$B$5:$B$164,$B189,'Inhalation Exposure'!$D$5:$D$164,$C189),SUMIFS('Inhalation Exposure'!$N$5:$N$164,'Inhalation Exposure'!$B$5:$B$164,$B189,'Inhalation Exposure'!$D$5:$D$164,$C189))),"--")</f>
        <v>32.969497607655505</v>
      </c>
      <c r="M189" s="491">
        <f>IFERROR(VLOOKUP($D189,$Y$9:$AB$9,3,FALSE)/IF($D189="Inhalation",IF($J189="Central Tendency",SUMIFS('Inhalation Exposure'!$Q$5:$Q$164,'Inhalation Exposure'!$B$5:$B$164,$B189,'Inhalation Exposure'!$D$5:$D$164,$C189),SUMIFS('Inhalation Exposure'!$P$5:$P$164,'Inhalation Exposure'!$B$5:$B$164,$B189,'Inhalation Exposure'!$D$5:$D$164,$C189))),"--")</f>
        <v>33.941675101214578</v>
      </c>
      <c r="N189" s="491">
        <f>IFERROR(VLOOKUP($D189,$Y$9:$AB$9,4,FALSE)*IF($D189="Inhalation",IF($J189="Central Tendency",SUMIFS('Inhalation Exposure'!$S$5:$S$164,'Inhalation Exposure'!$B$5:$B$164,$B189,'Inhalation Exposure'!$D$5:$D$164,$C189),SUMIFS('Inhalation Exposure'!$R$5:$R$164,'Inhalation Exposure'!$B$5:$B$164,$B189,'Inhalation Exposure'!$D$5:$D$164,$C189))),"--")</f>
        <v>8.8932724505327241E-5</v>
      </c>
    </row>
    <row r="190" spans="2:14" ht="15" thickBot="1" x14ac:dyDescent="0.4">
      <c r="B190" s="203" t="s">
        <v>195</v>
      </c>
      <c r="C190" s="204" t="s">
        <v>64</v>
      </c>
      <c r="D190" s="204" t="s">
        <v>122</v>
      </c>
      <c r="E190" s="498"/>
      <c r="F190" s="498"/>
      <c r="G190" s="500"/>
      <c r="H190" s="502"/>
      <c r="I190" s="502"/>
      <c r="J190" s="513"/>
      <c r="K190" s="495"/>
      <c r="L190" s="492"/>
      <c r="M190" s="492"/>
      <c r="N190" s="492"/>
    </row>
    <row r="191" spans="2:14" ht="15" thickBot="1" x14ac:dyDescent="0.4">
      <c r="B191" s="203" t="s">
        <v>195</v>
      </c>
      <c r="C191" s="204" t="s">
        <v>64</v>
      </c>
      <c r="D191" s="204" t="s">
        <v>122</v>
      </c>
      <c r="E191" s="498"/>
      <c r="F191" s="498"/>
      <c r="G191" s="500"/>
      <c r="H191" s="502"/>
      <c r="I191" s="502"/>
      <c r="J191" s="510" t="s">
        <v>128</v>
      </c>
      <c r="K191" s="493" t="str">
        <f>IFERROR(VLOOKUP($D171,$Y$9:$AB$10,2,FALSE)/IF($D171="Inhalation",IF($J191="Central Tendency",SUMIFS(#REF!,#REF!,$B167,#REF!,$C171),SUMIFS(#REF!,#REF!,$B167,#REF!,$C171))),"--")</f>
        <v>--</v>
      </c>
      <c r="L191" s="491">
        <f>IFERROR(VLOOKUP($D191,$Y$9:$AB$9,2,FALSE)/IF($D191="Inhalation",IF($J191="Central Tendency",SUMIFS('Inhalation Exposure'!$O$5:$O$164,'Inhalation Exposure'!$B$5:$B$164,$B191,'Inhalation Exposure'!$D$5:$D$164,$C191),SUMIFS('Inhalation Exposure'!$N$5:$N$164,'Inhalation Exposure'!$B$5:$B$164,$B191,'Inhalation Exposure'!$D$5:$D$164,$C191))),"--")</f>
        <v>21.416083916083913</v>
      </c>
      <c r="M191" s="491">
        <f>IFERROR(VLOOKUP($D191,$Y$9:$AB$9,3,FALSE)/IF($D191="Inhalation",IF($J191="Central Tendency",SUMIFS('Inhalation Exposure'!$Q$5:$Q$164,'Inhalation Exposure'!$B$5:$B$164,$B191,'Inhalation Exposure'!$D$5:$D$164,$C191),SUMIFS('Inhalation Exposure'!$P$5:$P$164,'Inhalation Exposure'!$B$5:$B$164,$B191,'Inhalation Exposure'!$D$5:$D$164,$C191))),"--")</f>
        <v>22.047583826429975</v>
      </c>
      <c r="N191" s="491">
        <f>IFERROR(VLOOKUP($D191,$Y$9:$AB$9,4,FALSE)*IF($D191="Inhalation",IF($J191="Central Tendency",SUMIFS('Inhalation Exposure'!$S$5:$S$164,'Inhalation Exposure'!$B$5:$B$164,$B191,'Inhalation Exposure'!$D$5:$D$164,$C191),SUMIFS('Inhalation Exposure'!$R$5:$R$164,'Inhalation Exposure'!$B$5:$B$164,$B191,'Inhalation Exposure'!$D$5:$D$164,$C191))),"--")</f>
        <v>1.7665753424657538E-4</v>
      </c>
    </row>
    <row r="192" spans="2:14" ht="15" thickBot="1" x14ac:dyDescent="0.4">
      <c r="B192" s="203" t="s">
        <v>195</v>
      </c>
      <c r="C192" s="204" t="s">
        <v>64</v>
      </c>
      <c r="D192" s="204" t="s">
        <v>122</v>
      </c>
      <c r="E192" s="498"/>
      <c r="F192" s="498"/>
      <c r="G192" s="500"/>
      <c r="H192" s="503"/>
      <c r="I192" s="503"/>
      <c r="J192" s="511"/>
      <c r="K192" s="495"/>
      <c r="L192" s="497"/>
      <c r="M192" s="492"/>
      <c r="N192" s="492"/>
    </row>
    <row r="193" spans="2:14" ht="15.5" thickTop="1" thickBot="1" x14ac:dyDescent="0.4">
      <c r="B193" s="203" t="s">
        <v>196</v>
      </c>
      <c r="C193" s="204" t="s">
        <v>64</v>
      </c>
      <c r="D193" s="204" t="s">
        <v>122</v>
      </c>
      <c r="E193" s="498"/>
      <c r="F193" s="498"/>
      <c r="G193" s="500"/>
      <c r="H193" s="504" t="s">
        <v>149</v>
      </c>
      <c r="I193" s="506" t="s">
        <v>101</v>
      </c>
      <c r="J193" s="510" t="s">
        <v>69</v>
      </c>
      <c r="K193" s="425"/>
      <c r="L193" s="491">
        <f>IFERROR(VLOOKUP($D193,$Y$9:$AB$9,2,FALSE)/IF($D193="Inhalation",IF($J193="Central Tendency",SUMIFS('Inhalation Exposure'!$O$5:$O$164,'Inhalation Exposure'!$B$5:$B$164,$B193,'Inhalation Exposure'!$D$5:$D$164,$C193),SUMIFS('Inhalation Exposure'!$N$5:$N$164,'Inhalation Exposure'!$B$5:$B$164,$B193,'Inhalation Exposure'!$D$5:$D$164,$C193))),"--")</f>
        <v>64.662756598240463</v>
      </c>
      <c r="M193" s="491">
        <f>IFERROR(VLOOKUP($D193,$Y$9:$AB$9,3,FALSE)/IF($D193="Inhalation",IF($J193="Central Tendency",SUMIFS('Inhalation Exposure'!$Q$5:$Q$164,'Inhalation Exposure'!$B$5:$B$164,$B193,'Inhalation Exposure'!$D$5:$D$164,$C193),SUMIFS('Inhalation Exposure'!$P$5:$P$164,'Inhalation Exposure'!$B$5:$B$164,$B193,'Inhalation Exposure'!$D$5:$D$164,$C193))),"--")</f>
        <v>786.73020527859228</v>
      </c>
      <c r="N193" s="491">
        <f>IFERROR(VLOOKUP($D193,$Y$9:$AB$9,4,FALSE)*IF($D193="Inhalation",IF($J193="Central Tendency",SUMIFS('Inhalation Exposure'!$S$5:$S$164,'Inhalation Exposure'!$B$5:$B$164,$B193,'Inhalation Exposure'!$D$5:$D$164,$C193),SUMIFS('Inhalation Exposure'!$R$5:$R$164,'Inhalation Exposure'!$B$5:$B$164,$B193,'Inhalation Exposure'!$D$5:$D$164,$C193))),"--")</f>
        <v>3.8367989696756826E-6</v>
      </c>
    </row>
    <row r="194" spans="2:14" ht="15" thickBot="1" x14ac:dyDescent="0.4">
      <c r="B194" s="203" t="s">
        <v>196</v>
      </c>
      <c r="C194" s="204" t="s">
        <v>64</v>
      </c>
      <c r="D194" s="204" t="s">
        <v>122</v>
      </c>
      <c r="E194" s="498"/>
      <c r="F194" s="498"/>
      <c r="G194" s="500"/>
      <c r="H194" s="502"/>
      <c r="I194" s="502"/>
      <c r="J194" s="513"/>
      <c r="K194" s="425"/>
      <c r="L194" s="492"/>
      <c r="M194" s="492"/>
      <c r="N194" s="492"/>
    </row>
    <row r="195" spans="2:14" ht="15" thickBot="1" x14ac:dyDescent="0.4">
      <c r="B195" s="203" t="s">
        <v>196</v>
      </c>
      <c r="C195" s="204" t="s">
        <v>64</v>
      </c>
      <c r="D195" s="204" t="s">
        <v>122</v>
      </c>
      <c r="E195" s="498"/>
      <c r="F195" s="498"/>
      <c r="G195" s="500"/>
      <c r="H195" s="502"/>
      <c r="I195" s="502"/>
      <c r="J195" s="510" t="s">
        <v>128</v>
      </c>
      <c r="K195" s="425"/>
      <c r="L195" s="491">
        <f>IFERROR(VLOOKUP($D195,$Y$9:$AB$9,2,FALSE)/IF($D195="Inhalation",IF($J195="Central Tendency",SUMIFS('Inhalation Exposure'!$O$5:$O$164,'Inhalation Exposure'!$B$5:$B$164,$B195,'Inhalation Exposure'!$D$5:$D$164,$C195),SUMIFS('Inhalation Exposure'!$N$5:$N$164,'Inhalation Exposure'!$B$5:$B$164,$B195,'Inhalation Exposure'!$D$5:$D$164,$C195))),"--")</f>
        <v>35.621970920840063</v>
      </c>
      <c r="M195" s="491">
        <f>IFERROR(VLOOKUP($D195,$Y$9:$AB$9,3,FALSE)/IF($D195="Inhalation",IF($J195="Central Tendency",SUMIFS('Inhalation Exposure'!$Q$5:$Q$164,'Inhalation Exposure'!$B$5:$B$164,$B195,'Inhalation Exposure'!$D$5:$D$164,$C195),SUMIFS('Inhalation Exposure'!$P$5:$P$164,'Inhalation Exposure'!$B$5:$B$164,$B195,'Inhalation Exposure'!$D$5:$D$164,$C195))),"--")</f>
        <v>433.40064620355417</v>
      </c>
      <c r="N195" s="491">
        <f>IFERROR(VLOOKUP($D195,$Y$9:$AB$9,4,FALSE)*IF($D195="Inhalation",IF($J195="Central Tendency",SUMIFS('Inhalation Exposure'!$S$5:$S$164,'Inhalation Exposure'!$B$5:$B$164,$B195,'Inhalation Exposure'!$D$5:$D$164,$C195),SUMIFS('Inhalation Exposure'!$R$5:$R$164,'Inhalation Exposure'!$B$5:$B$164,$B195,'Inhalation Exposure'!$D$5:$D$164,$C195))),"--")</f>
        <v>8.9867696990984637E-6</v>
      </c>
    </row>
    <row r="196" spans="2:14" ht="15" thickBot="1" x14ac:dyDescent="0.4">
      <c r="B196" s="203" t="s">
        <v>196</v>
      </c>
      <c r="C196" s="204" t="s">
        <v>64</v>
      </c>
      <c r="D196" s="204" t="s">
        <v>122</v>
      </c>
      <c r="E196" s="498"/>
      <c r="F196" s="498"/>
      <c r="G196" s="500"/>
      <c r="H196" s="503"/>
      <c r="I196" s="503"/>
      <c r="J196" s="511"/>
      <c r="K196" s="425"/>
      <c r="L196" s="497"/>
      <c r="M196" s="492"/>
      <c r="N196" s="492"/>
    </row>
    <row r="197" spans="2:14" ht="15.5" thickTop="1" thickBot="1" x14ac:dyDescent="0.4">
      <c r="B197" s="203" t="s">
        <v>197</v>
      </c>
      <c r="C197" s="204" t="s">
        <v>64</v>
      </c>
      <c r="D197" s="204" t="s">
        <v>122</v>
      </c>
      <c r="E197" s="498"/>
      <c r="F197" s="498"/>
      <c r="G197" s="500"/>
      <c r="H197" s="504" t="s">
        <v>151</v>
      </c>
      <c r="I197" s="506" t="s">
        <v>101</v>
      </c>
      <c r="J197" s="510" t="s">
        <v>69</v>
      </c>
      <c r="K197" s="425"/>
      <c r="L197" s="496">
        <f>IFERROR(VLOOKUP($D197,$Y$9:$AB$9,2,FALSE)/IF($D197="Inhalation",IF($J197="Central Tendency",SUMIFS('Inhalation Exposure'!$O$5:$O$164,'Inhalation Exposure'!$B$5:$B$164,$B197,'Inhalation Exposure'!$D$5:$D$164,$C197),SUMIFS('Inhalation Exposure'!$N$5:$N$164,'Inhalation Exposure'!$B$5:$B$164,$B197,'Inhalation Exposure'!$D$5:$D$164,$C197))),"--")</f>
        <v>271.55172413793099</v>
      </c>
      <c r="M197" s="491">
        <f>IFERROR(VLOOKUP($D197,$Y$9:$AB$9,3,FALSE)/IF($D197="Inhalation",IF($J197="Central Tendency",SUMIFS('Inhalation Exposure'!$Q$5:$Q$164,'Inhalation Exposure'!$B$5:$B$164,$B197,'Inhalation Exposure'!$D$5:$D$164,$C197),SUMIFS('Inhalation Exposure'!$P$5:$P$164,'Inhalation Exposure'!$B$5:$B$164,$B197,'Inhalation Exposure'!$D$5:$D$164,$C197))),"--")</f>
        <v>3303.8793103448279</v>
      </c>
      <c r="N197" s="491">
        <f>IFERROR(VLOOKUP($D197,$Y$9:$AB$9,4,FALSE)*IF($D197="Inhalation",IF($J197="Central Tendency",SUMIFS('Inhalation Exposure'!$S$5:$S$164,'Inhalation Exposure'!$B$5:$B$164,$B197,'Inhalation Exposure'!$D$5:$D$164,$C197),SUMIFS('Inhalation Exposure'!$R$5:$R$164,'Inhalation Exposure'!$B$5:$B$164,$B197,'Inhalation Exposure'!$D$5:$D$164,$C197))),"--")</f>
        <v>9.1363072239784564E-7</v>
      </c>
    </row>
    <row r="198" spans="2:14" ht="15" thickBot="1" x14ac:dyDescent="0.4">
      <c r="B198" s="203" t="s">
        <v>197</v>
      </c>
      <c r="C198" s="204" t="s">
        <v>64</v>
      </c>
      <c r="D198" s="204" t="s">
        <v>122</v>
      </c>
      <c r="E198" s="498"/>
      <c r="F198" s="498"/>
      <c r="G198" s="500"/>
      <c r="H198" s="502"/>
      <c r="I198" s="502"/>
      <c r="J198" s="513"/>
      <c r="K198" s="425"/>
      <c r="L198" s="492"/>
      <c r="M198" s="492"/>
      <c r="N198" s="492"/>
    </row>
    <row r="199" spans="2:14" ht="15" thickBot="1" x14ac:dyDescent="0.4">
      <c r="B199" s="203" t="s">
        <v>197</v>
      </c>
      <c r="C199" s="204" t="s">
        <v>64</v>
      </c>
      <c r="D199" s="204" t="s">
        <v>122</v>
      </c>
      <c r="E199" s="498"/>
      <c r="F199" s="498"/>
      <c r="G199" s="500"/>
      <c r="H199" s="502"/>
      <c r="I199" s="502"/>
      <c r="J199" s="510" t="s">
        <v>128</v>
      </c>
      <c r="K199" s="425"/>
      <c r="L199" s="491">
        <f>IFERROR(VLOOKUP($D199,$Y$9:$AB$9,2,FALSE)/IF($D199="Inhalation",IF($J199="Central Tendency",SUMIFS('Inhalation Exposure'!$O$5:$O$164,'Inhalation Exposure'!$B$5:$B$164,$B199,'Inhalation Exposure'!$D$5:$D$164,$C199),SUMIFS('Inhalation Exposure'!$N$5:$N$164,'Inhalation Exposure'!$B$5:$B$164,$B199,'Inhalation Exposure'!$D$5:$D$164,$C199))),"--")</f>
        <v>1.6009351494206139</v>
      </c>
      <c r="M199" s="491">
        <f>IFERROR(VLOOKUP($D199,$Y$9:$AB$9,3,FALSE)/IF($D199="Inhalation",IF($J199="Central Tendency",SUMIFS('Inhalation Exposure'!$Q$5:$Q$164,'Inhalation Exposure'!$B$5:$B$164,$B199,'Inhalation Exposure'!$D$5:$D$164,$C199),SUMIFS('Inhalation Exposure'!$P$5:$P$164,'Inhalation Exposure'!$B$5:$B$164,$B199,'Inhalation Exposure'!$D$5:$D$164,$C199))),"--")</f>
        <v>19.4780443179508</v>
      </c>
      <c r="N199" s="491">
        <f>IFERROR(VLOOKUP($D199,$Y$9:$AB$9,4,FALSE)*IF($D199="Inhalation",IF($J199="Central Tendency",SUMIFS('Inhalation Exposure'!$S$5:$S$164,'Inhalation Exposure'!$B$5:$B$164,$B199,'Inhalation Exposure'!$D$5:$D$164,$C199),SUMIFS('Inhalation Exposure'!$R$5:$R$164,'Inhalation Exposure'!$B$5:$B$164,$B199,'Inhalation Exposure'!$D$5:$D$164,$C199))),"--")</f>
        <v>1.9996215899777543E-4</v>
      </c>
    </row>
    <row r="200" spans="2:14" ht="15" thickBot="1" x14ac:dyDescent="0.4">
      <c r="B200" s="203" t="s">
        <v>197</v>
      </c>
      <c r="C200" s="204" t="s">
        <v>64</v>
      </c>
      <c r="D200" s="204" t="s">
        <v>122</v>
      </c>
      <c r="E200" s="498"/>
      <c r="F200" s="498"/>
      <c r="G200" s="500"/>
      <c r="H200" s="503"/>
      <c r="I200" s="503"/>
      <c r="J200" s="511"/>
      <c r="K200" s="425"/>
      <c r="L200" s="497"/>
      <c r="M200" s="492"/>
      <c r="N200" s="492"/>
    </row>
    <row r="201" spans="2:14" ht="15.5" thickTop="1" thickBot="1" x14ac:dyDescent="0.4">
      <c r="B201" s="203" t="s">
        <v>198</v>
      </c>
      <c r="C201" s="299" t="s">
        <v>64</v>
      </c>
      <c r="D201" s="204" t="s">
        <v>122</v>
      </c>
      <c r="E201" s="498"/>
      <c r="F201" s="498"/>
      <c r="G201" s="500"/>
      <c r="H201" s="504" t="s">
        <v>153</v>
      </c>
      <c r="I201" s="506" t="s">
        <v>101</v>
      </c>
      <c r="J201" s="510" t="s">
        <v>69</v>
      </c>
      <c r="K201" s="493" t="str">
        <f>IFERROR(VLOOKUP($D173,$Y$9:$AB$10,2,FALSE)/IF($D173="Inhalation",IF($J201="Central Tendency",SUMIFS(#REF!,#REF!,$B169,#REF!,$C173),SUMIFS(#REF!,#REF!,$B169,#REF!,$C173))),"--")</f>
        <v>--</v>
      </c>
      <c r="L201" s="491">
        <f>IFERROR(VLOOKUP($D201,$Y$9:$AB$9,2,FALSE)/IF($D201="Inhalation",IF($J201="Central Tendency",SUMIFS('Inhalation Exposure'!$O$5:$O$164,'Inhalation Exposure'!$B$5:$B$164,$B201,'Inhalation Exposure'!$D$5:$D$164,$C201),SUMIFS('Inhalation Exposure'!$N$5:$N$164,'Inhalation Exposure'!$B$5:$B$164,$B201,'Inhalation Exposure'!$D$5:$D$164,$C201))),"--")</f>
        <v>250.56818181818181</v>
      </c>
      <c r="M201" s="491">
        <f>IFERROR(VLOOKUP($D201,$Y$9:$AB$9,3,FALSE)/IF($D201="Inhalation",IF($J201="Central Tendency",SUMIFS('Inhalation Exposure'!$Q$5:$Q$164,'Inhalation Exposure'!$B$5:$B$164,$B201,'Inhalation Exposure'!$D$5:$D$164,$C201),SUMIFS('Inhalation Exposure'!$P$5:$P$164,'Inhalation Exposure'!$B$5:$B$164,$B201,'Inhalation Exposure'!$D$5:$D$164,$C201))),"--")</f>
        <v>257.95673076923072</v>
      </c>
      <c r="N201" s="491">
        <f>IFERROR(VLOOKUP($D201,$Y$9:$AB$9,4,FALSE)*IF($D201="Inhalation",IF($J201="Central Tendency",SUMIFS('Inhalation Exposure'!$S$5:$S$164,'Inhalation Exposure'!$B$5:$B$164,$B201,'Inhalation Exposure'!$D$5:$D$164,$C201),SUMIFS('Inhalation Exposure'!$R$5:$R$164,'Inhalation Exposure'!$B$5:$B$164,$B201,'Inhalation Exposure'!$D$5:$D$164,$C201))),"--")</f>
        <v>1.1701674277016744E-5</v>
      </c>
    </row>
    <row r="202" spans="2:14" ht="15" thickBot="1" x14ac:dyDescent="0.4">
      <c r="B202" s="203" t="s">
        <v>198</v>
      </c>
      <c r="C202" s="299" t="s">
        <v>64</v>
      </c>
      <c r="D202" s="204" t="s">
        <v>122</v>
      </c>
      <c r="E202" s="498"/>
      <c r="F202" s="498"/>
      <c r="G202" s="500"/>
      <c r="H202" s="502"/>
      <c r="I202" s="502"/>
      <c r="J202" s="513"/>
      <c r="K202" s="495"/>
      <c r="L202" s="492"/>
      <c r="M202" s="492"/>
      <c r="N202" s="492"/>
    </row>
    <row r="203" spans="2:14" ht="15" thickBot="1" x14ac:dyDescent="0.4">
      <c r="B203" s="203" t="s">
        <v>198</v>
      </c>
      <c r="C203" s="299" t="s">
        <v>64</v>
      </c>
      <c r="D203" s="204" t="s">
        <v>122</v>
      </c>
      <c r="E203" s="498"/>
      <c r="F203" s="498"/>
      <c r="G203" s="500"/>
      <c r="H203" s="502"/>
      <c r="I203" s="502"/>
      <c r="J203" s="510" t="s">
        <v>128</v>
      </c>
      <c r="K203" s="493" t="str">
        <f>IFERROR(VLOOKUP($D175,$Y$9:$AB$10,2,FALSE)/IF($D175="Inhalation",IF($J203="Central Tendency",SUMIFS(#REF!,#REF!,$B171,#REF!,$C175),SUMIFS(#REF!,#REF!,$B171,#REF!,$C175))),"--")</f>
        <v>--</v>
      </c>
      <c r="L203" s="491">
        <f>IFERROR(VLOOKUP($D203,$Y$9:$AB$9,2,FALSE)/IF($D203="Inhalation",IF($J203="Central Tendency",SUMIFS('Inhalation Exposure'!$O$5:$O$164,'Inhalation Exposure'!$B$5:$B$164,$B203,'Inhalation Exposure'!$D$5:$D$164,$C203),SUMIFS('Inhalation Exposure'!$N$5:$N$164,'Inhalation Exposure'!$B$5:$B$164,$B203,'Inhalation Exposure'!$D$5:$D$164,$C203))),"--")</f>
        <v>25.05681818181818</v>
      </c>
      <c r="M203" s="491">
        <f>IFERROR(VLOOKUP($D203,$Y$9:$AB$9,3,FALSE)/IF($D203="Inhalation",IF($J203="Central Tendency",SUMIFS('Inhalation Exposure'!$Q$5:$Q$164,'Inhalation Exposure'!$B$5:$B$164,$B203,'Inhalation Exposure'!$D$5:$D$164,$C203),SUMIFS('Inhalation Exposure'!$P$5:$P$164,'Inhalation Exposure'!$B$5:$B$164,$B203,'Inhalation Exposure'!$D$5:$D$164,$C203))),"--")</f>
        <v>25.795673076923077</v>
      </c>
      <c r="N203" s="491">
        <f>IFERROR(VLOOKUP($D203,$Y$9:$AB$9,4,FALSE)*IF($D203="Inhalation",IF($J203="Central Tendency",SUMIFS('Inhalation Exposure'!$S$5:$S$164,'Inhalation Exposure'!$B$5:$B$164,$B203,'Inhalation Exposure'!$D$5:$D$164,$C203),SUMIFS('Inhalation Exposure'!$R$5:$R$164,'Inhalation Exposure'!$B$5:$B$164,$B203,'Inhalation Exposure'!$D$5:$D$164,$C203))),"--")</f>
        <v>1.5098934550989343E-4</v>
      </c>
    </row>
    <row r="204" spans="2:14" ht="15" thickBot="1" x14ac:dyDescent="0.4">
      <c r="B204" s="203" t="s">
        <v>198</v>
      </c>
      <c r="C204" s="299" t="s">
        <v>64</v>
      </c>
      <c r="D204" s="204" t="s">
        <v>122</v>
      </c>
      <c r="E204" s="498"/>
      <c r="F204" s="498"/>
      <c r="G204" s="500"/>
      <c r="H204" s="503"/>
      <c r="I204" s="503"/>
      <c r="J204" s="511"/>
      <c r="K204" s="495"/>
      <c r="L204" s="497"/>
      <c r="M204" s="492"/>
      <c r="N204" s="492"/>
    </row>
    <row r="205" spans="2:14" ht="15.5" thickTop="1" thickBot="1" x14ac:dyDescent="0.4">
      <c r="B205" s="203" t="s">
        <v>199</v>
      </c>
      <c r="C205" s="299" t="s">
        <v>64</v>
      </c>
      <c r="D205" s="204" t="s">
        <v>122</v>
      </c>
      <c r="E205" s="498"/>
      <c r="F205" s="498"/>
      <c r="G205" s="500"/>
      <c r="H205" s="504" t="s">
        <v>155</v>
      </c>
      <c r="I205" s="506" t="s">
        <v>101</v>
      </c>
      <c r="J205" s="510" t="s">
        <v>69</v>
      </c>
      <c r="K205" s="425"/>
      <c r="L205" s="496">
        <f>IFERROR(VLOOKUP($D205,$Y$9:$AB$9,2,FALSE)/IF($D205="Inhalation",IF($J205="Central Tendency",SUMIFS('Inhalation Exposure'!$O$5:$O$164,'Inhalation Exposure'!$B$5:$B$164,$B205,'Inhalation Exposure'!$D$5:$D$164,$C205),SUMIFS('Inhalation Exposure'!$N$5:$N$164,'Inhalation Exposure'!$B$5:$B$164,$B205,'Inhalation Exposure'!$D$5:$D$164,$C205))),"--")</f>
        <v>689.0625</v>
      </c>
      <c r="M205" s="491">
        <f>IFERROR(VLOOKUP($D205,$Y$9:$AB$9,3,FALSE)/IF($D205="Inhalation",IF($J205="Central Tendency",SUMIFS('Inhalation Exposure'!$Q$5:$Q$164,'Inhalation Exposure'!$B$5:$B$164,$B205,'Inhalation Exposure'!$D$5:$D$164,$C205),SUMIFS('Inhalation Exposure'!$P$5:$P$164,'Inhalation Exposure'!$B$5:$B$164,$B205,'Inhalation Exposure'!$D$5:$D$164,$C205))),"--")</f>
        <v>8383.59375</v>
      </c>
      <c r="N205" s="491">
        <f>IFERROR(VLOOKUP($D205,$Y$9:$AB$9,4,FALSE)*IF($D205="Inhalation",IF($J205="Central Tendency",SUMIFS('Inhalation Exposure'!$S$5:$S$164,'Inhalation Exposure'!$B$5:$B$164,$B205,'Inhalation Exposure'!$D$5:$D$164,$C205),SUMIFS('Inhalation Exposure'!$R$5:$R$164,'Inhalation Exposure'!$B$5:$B$164,$B205,'Inhalation Exposure'!$D$5:$D$164,$C205))),"--")</f>
        <v>3.6005151621589974E-7</v>
      </c>
    </row>
    <row r="206" spans="2:14" ht="15" thickBot="1" x14ac:dyDescent="0.4">
      <c r="B206" s="203" t="s">
        <v>199</v>
      </c>
      <c r="C206" s="299" t="s">
        <v>64</v>
      </c>
      <c r="D206" s="204" t="s">
        <v>122</v>
      </c>
      <c r="E206" s="498"/>
      <c r="F206" s="498"/>
      <c r="G206" s="500"/>
      <c r="H206" s="502"/>
      <c r="I206" s="502"/>
      <c r="J206" s="513"/>
      <c r="K206" s="425"/>
      <c r="L206" s="492"/>
      <c r="M206" s="492"/>
      <c r="N206" s="492"/>
    </row>
    <row r="207" spans="2:14" ht="15" thickBot="1" x14ac:dyDescent="0.4">
      <c r="B207" s="203" t="s">
        <v>199</v>
      </c>
      <c r="C207" s="299" t="s">
        <v>64</v>
      </c>
      <c r="D207" s="204" t="s">
        <v>122</v>
      </c>
      <c r="E207" s="498"/>
      <c r="F207" s="498"/>
      <c r="G207" s="500"/>
      <c r="H207" s="502"/>
      <c r="I207" s="502"/>
      <c r="J207" s="510" t="s">
        <v>128</v>
      </c>
      <c r="K207" s="425"/>
      <c r="L207" s="491">
        <f>IFERROR(VLOOKUP($D207,$Y$9:$AB$9,2,FALSE)/IF($D207="Inhalation",IF($J207="Central Tendency",SUMIFS('Inhalation Exposure'!$O$5:$O$164,'Inhalation Exposure'!$B$5:$B$164,$B207,'Inhalation Exposure'!$D$5:$D$164,$C207),SUMIFS('Inhalation Exposure'!$N$5:$N$164,'Inhalation Exposure'!$B$5:$B$164,$B207,'Inhalation Exposure'!$D$5:$D$164,$C207))),"--")</f>
        <v>164.55223880597015</v>
      </c>
      <c r="M207" s="491">
        <f>IFERROR(VLOOKUP($D207,$Y$9:$AB$9,3,FALSE)/IF($D207="Inhalation",IF($J207="Central Tendency",SUMIFS('Inhalation Exposure'!$Q$5:$Q$164,'Inhalation Exposure'!$B$5:$B$164,$B207,'Inhalation Exposure'!$D$5:$D$164,$C207),SUMIFS('Inhalation Exposure'!$P$5:$P$164,'Inhalation Exposure'!$B$5:$B$164,$B207,'Inhalation Exposure'!$D$5:$D$164,$C207))),"--")</f>
        <v>2002.0522388059703</v>
      </c>
      <c r="N207" s="491">
        <f>IFERROR(VLOOKUP($D207,$Y$9:$AB$9,4,FALSE)*IF($D207="Inhalation",IF($J207="Central Tendency",SUMIFS('Inhalation Exposure'!$S$5:$S$164,'Inhalation Exposure'!$B$5:$B$164,$B207,'Inhalation Exposure'!$D$5:$D$164,$C207),SUMIFS('Inhalation Exposure'!$R$5:$R$164,'Inhalation Exposure'!$B$5:$B$164,$B207,'Inhalation Exposure'!$D$5:$D$164,$C207))),"--")</f>
        <v>1.945439644069781E-6</v>
      </c>
    </row>
    <row r="208" spans="2:14" ht="15" thickBot="1" x14ac:dyDescent="0.4">
      <c r="B208" s="203" t="s">
        <v>199</v>
      </c>
      <c r="C208" s="299" t="s">
        <v>64</v>
      </c>
      <c r="D208" s="204" t="s">
        <v>122</v>
      </c>
      <c r="E208" s="498"/>
      <c r="F208" s="498"/>
      <c r="G208" s="500"/>
      <c r="H208" s="503"/>
      <c r="I208" s="503"/>
      <c r="J208" s="511"/>
      <c r="K208" s="425"/>
      <c r="L208" s="497"/>
      <c r="M208" s="492"/>
      <c r="N208" s="492"/>
    </row>
    <row r="209" spans="2:14" ht="15.5" thickTop="1" thickBot="1" x14ac:dyDescent="0.4">
      <c r="B209" s="203" t="s">
        <v>200</v>
      </c>
      <c r="C209" s="299" t="s">
        <v>64</v>
      </c>
      <c r="D209" s="204" t="s">
        <v>122</v>
      </c>
      <c r="E209" s="498"/>
      <c r="F209" s="498"/>
      <c r="G209" s="500"/>
      <c r="H209" s="504" t="s">
        <v>157</v>
      </c>
      <c r="I209" s="506" t="s">
        <v>101</v>
      </c>
      <c r="J209" s="510" t="s">
        <v>69</v>
      </c>
      <c r="K209" s="425"/>
      <c r="L209" s="491">
        <f>IFERROR(VLOOKUP($D209,$Y$9:$AB$9,2,FALSE)/IF($D209="Inhalation",IF($J209="Central Tendency",SUMIFS('Inhalation Exposure'!$O$5:$O$164,'Inhalation Exposure'!$B$5:$B$164,$B209,'Inhalation Exposure'!$D$5:$D$164,$C209),SUMIFS('Inhalation Exposure'!$N$5:$N$164,'Inhalation Exposure'!$B$5:$B$164,$B209,'Inhalation Exposure'!$D$5:$D$164,$C209))),"--")</f>
        <v>281.24999999999994</v>
      </c>
      <c r="M209" s="491">
        <f>IFERROR(VLOOKUP($D209,$Y$9:$AB$9,3,FALSE)/IF($D209="Inhalation",IF($J209="Central Tendency",SUMIFS('Inhalation Exposure'!$Q$5:$Q$164,'Inhalation Exposure'!$B$5:$B$164,$B209,'Inhalation Exposure'!$D$5:$D$164,$C209),SUMIFS('Inhalation Exposure'!$P$5:$P$164,'Inhalation Exposure'!$B$5:$B$164,$B209,'Inhalation Exposure'!$D$5:$D$164,$C209))),"--")</f>
        <v>3421.8749999999995</v>
      </c>
      <c r="N209" s="491">
        <f>IFERROR(VLOOKUP($D209,$Y$9:$AB$9,4,FALSE)*IF($D209="Inhalation",IF($J209="Central Tendency",SUMIFS('Inhalation Exposure'!$S$5:$S$164,'Inhalation Exposure'!$B$5:$B$164,$B209,'Inhalation Exposure'!$D$5:$D$164,$C209),SUMIFS('Inhalation Exposure'!$R$5:$R$164,'Inhalation Exposure'!$B$5:$B$164,$B209,'Inhalation Exposure'!$D$5:$D$164,$C209))),"--")</f>
        <v>8.8212621472895455E-7</v>
      </c>
    </row>
    <row r="210" spans="2:14" ht="15" thickBot="1" x14ac:dyDescent="0.4">
      <c r="B210" s="203" t="s">
        <v>200</v>
      </c>
      <c r="C210" s="299" t="s">
        <v>64</v>
      </c>
      <c r="D210" s="204" t="s">
        <v>122</v>
      </c>
      <c r="E210" s="498"/>
      <c r="F210" s="498"/>
      <c r="G210" s="500"/>
      <c r="H210" s="502"/>
      <c r="I210" s="502"/>
      <c r="J210" s="513"/>
      <c r="K210" s="425"/>
      <c r="L210" s="492"/>
      <c r="M210" s="492"/>
      <c r="N210" s="492"/>
    </row>
    <row r="211" spans="2:14" ht="15" thickBot="1" x14ac:dyDescent="0.4">
      <c r="B211" s="203" t="s">
        <v>200</v>
      </c>
      <c r="C211" s="299" t="s">
        <v>64</v>
      </c>
      <c r="D211" s="204" t="s">
        <v>122</v>
      </c>
      <c r="E211" s="498"/>
      <c r="F211" s="498"/>
      <c r="G211" s="500"/>
      <c r="H211" s="502"/>
      <c r="I211" s="502"/>
      <c r="J211" s="510" t="s">
        <v>128</v>
      </c>
      <c r="K211" s="425"/>
      <c r="L211" s="491">
        <f>IFERROR(VLOOKUP($D211,$Y$9:$AB$9,2,FALSE)/IF($D211="Inhalation",IF($J211="Central Tendency",SUMIFS('Inhalation Exposure'!$O$5:$O$164,'Inhalation Exposure'!$B$5:$B$164,$B211,'Inhalation Exposure'!$D$5:$D$164,$C211),SUMIFS('Inhalation Exposure'!$N$5:$N$164,'Inhalation Exposure'!$B$5:$B$164,$B211,'Inhalation Exposure'!$D$5:$D$164,$C211))),"--")</f>
        <v>131.25</v>
      </c>
      <c r="M211" s="491">
        <f>IFERROR(VLOOKUP($D211,$Y$9:$AB$9,3,FALSE)/IF($D211="Inhalation",IF($J211="Central Tendency",SUMIFS('Inhalation Exposure'!$Q$5:$Q$164,'Inhalation Exposure'!$B$5:$B$164,$B211,'Inhalation Exposure'!$D$5:$D$164,$C211),SUMIFS('Inhalation Exposure'!$P$5:$P$164,'Inhalation Exposure'!$B$5:$B$164,$B211,'Inhalation Exposure'!$D$5:$D$164,$C211))),"--")</f>
        <v>1596.8749999999998</v>
      </c>
      <c r="N211" s="491">
        <f>IFERROR(VLOOKUP($D211,$Y$9:$AB$9,4,FALSE)*IF($D211="Inhalation",IF($J211="Central Tendency",SUMIFS('Inhalation Exposure'!$S$5:$S$164,'Inhalation Exposure'!$B$5:$B$164,$B211,'Inhalation Exposure'!$D$5:$D$164,$C211),SUMIFS('Inhalation Exposure'!$R$5:$R$164,'Inhalation Exposure'!$B$5:$B$164,$B211,'Inhalation Exposure'!$D$5:$D$164,$C211))),"--")</f>
        <v>2.4390586582367404E-6</v>
      </c>
    </row>
    <row r="212" spans="2:14" ht="15" thickBot="1" x14ac:dyDescent="0.4">
      <c r="B212" s="203" t="s">
        <v>200</v>
      </c>
      <c r="C212" s="299" t="s">
        <v>64</v>
      </c>
      <c r="D212" s="204" t="s">
        <v>122</v>
      </c>
      <c r="E212" s="498"/>
      <c r="F212" s="498"/>
      <c r="G212" s="500"/>
      <c r="H212" s="503"/>
      <c r="I212" s="503"/>
      <c r="J212" s="511"/>
      <c r="K212" s="425"/>
      <c r="L212" s="497"/>
      <c r="M212" s="492"/>
      <c r="N212" s="492"/>
    </row>
    <row r="213" spans="2:14" ht="15.5" thickTop="1" thickBot="1" x14ac:dyDescent="0.4">
      <c r="B213" s="203" t="s">
        <v>201</v>
      </c>
      <c r="C213" s="299" t="s">
        <v>64</v>
      </c>
      <c r="D213" s="204" t="s">
        <v>122</v>
      </c>
      <c r="E213" s="498"/>
      <c r="F213" s="498"/>
      <c r="G213" s="500"/>
      <c r="H213" s="506" t="s">
        <v>159</v>
      </c>
      <c r="I213" s="506" t="s">
        <v>101</v>
      </c>
      <c r="J213" s="510" t="s">
        <v>69</v>
      </c>
      <c r="K213" s="493" t="str">
        <f>IFERROR(VLOOKUP($D177,$Y$9:$AB$10,2,FALSE)/IF($D177="Inhalation",IF($J213="Central Tendency",SUMIFS(#REF!,#REF!,$B173,#REF!,$C177),SUMIFS(#REF!,#REF!,$B173,#REF!,$C177))),"--")</f>
        <v>--</v>
      </c>
      <c r="L213" s="496">
        <f>IFERROR(VLOOKUP($D213,$Y$9:$AB$9,2,FALSE)/IF($D213="Inhalation",IF($J213="Central Tendency",SUMIFS('Inhalation Exposure'!$O$5:$O$164,'Inhalation Exposure'!$B$5:$B$164,$B213,'Inhalation Exposure'!$D$5:$D$164,$C213),SUMIFS('Inhalation Exposure'!$N$5:$N$164,'Inhalation Exposure'!$B$5:$B$164,$B213,'Inhalation Exposure'!$D$5:$D$164,$C213))),"--")</f>
        <v>131.87799043062202</v>
      </c>
      <c r="M213" s="491">
        <f>IFERROR(VLOOKUP($D213,$Y$9:$AB$9,3,FALSE)/IF($D213="Inhalation",IF($J213="Central Tendency",SUMIFS('Inhalation Exposure'!$Q$5:$Q$164,'Inhalation Exposure'!$B$5:$B$164,$B213,'Inhalation Exposure'!$D$5:$D$164,$C213),SUMIFS('Inhalation Exposure'!$P$5:$P$164,'Inhalation Exposure'!$B$5:$B$164,$B213,'Inhalation Exposure'!$D$5:$D$164,$C213))),"--")</f>
        <v>135.76670040485831</v>
      </c>
      <c r="N213" s="491">
        <f>IFERROR(VLOOKUP($D213,$Y$9:$AB$9,4,FALSE)*IF($D213="Inhalation",IF($J213="Central Tendency",SUMIFS('Inhalation Exposure'!$S$5:$S$164,'Inhalation Exposure'!$B$5:$B$164,$B213,'Inhalation Exposure'!$D$5:$D$164,$C213),SUMIFS('Inhalation Exposure'!$R$5:$R$164,'Inhalation Exposure'!$B$5:$B$164,$B213,'Inhalation Exposure'!$D$5:$D$164,$C213))),"--")</f>
        <v>2.223318112633181E-5</v>
      </c>
    </row>
    <row r="214" spans="2:14" ht="15" thickBot="1" x14ac:dyDescent="0.4">
      <c r="B214" s="203" t="s">
        <v>201</v>
      </c>
      <c r="C214" s="299" t="s">
        <v>64</v>
      </c>
      <c r="D214" s="204" t="s">
        <v>122</v>
      </c>
      <c r="E214" s="498"/>
      <c r="F214" s="498"/>
      <c r="G214" s="500"/>
      <c r="H214" s="502"/>
      <c r="I214" s="502"/>
      <c r="J214" s="513"/>
      <c r="K214" s="495"/>
      <c r="L214" s="492"/>
      <c r="M214" s="492"/>
      <c r="N214" s="492"/>
    </row>
    <row r="215" spans="2:14" ht="15" thickBot="1" x14ac:dyDescent="0.4">
      <c r="B215" s="203" t="s">
        <v>201</v>
      </c>
      <c r="C215" s="299" t="s">
        <v>64</v>
      </c>
      <c r="D215" s="204" t="s">
        <v>122</v>
      </c>
      <c r="E215" s="498"/>
      <c r="F215" s="498"/>
      <c r="G215" s="500"/>
      <c r="H215" s="502"/>
      <c r="I215" s="502"/>
      <c r="J215" s="510" t="s">
        <v>128</v>
      </c>
      <c r="K215" s="493" t="str">
        <f>IFERROR(VLOOKUP($D179,$Y$9:$AB$10,2,FALSE)/IF($D179="Inhalation",IF($J215="Central Tendency",SUMIFS(#REF!,#REF!,$B175,#REF!,$C179),SUMIFS(#REF!,#REF!,$B175,#REF!,$C179))),"--")</f>
        <v>--</v>
      </c>
      <c r="L215" s="491">
        <f>IFERROR(VLOOKUP($D215,$Y$9:$AB$9,2,FALSE)/IF($D215="Inhalation",IF($J215="Central Tendency",SUMIFS('Inhalation Exposure'!$O$5:$O$164,'Inhalation Exposure'!$B$5:$B$164,$B215,'Inhalation Exposure'!$D$5:$D$164,$C215),SUMIFS('Inhalation Exposure'!$N$5:$N$164,'Inhalation Exposure'!$B$5:$B$164,$B215,'Inhalation Exposure'!$D$5:$D$164,$C215))),"--")</f>
        <v>13.767482517482518</v>
      </c>
      <c r="M215" s="491">
        <f>IFERROR(VLOOKUP($D215,$Y$9:$AB$9,3,FALSE)/IF($D215="Inhalation",IF($J215="Central Tendency",SUMIFS('Inhalation Exposure'!$Q$5:$Q$164,'Inhalation Exposure'!$B$5:$B$164,$B215,'Inhalation Exposure'!$D$5:$D$164,$C215),SUMIFS('Inhalation Exposure'!$P$5:$P$164,'Inhalation Exposure'!$B$5:$B$164,$B215,'Inhalation Exposure'!$D$5:$D$164,$C215))),"--")</f>
        <v>14.173446745562131</v>
      </c>
      <c r="N215" s="491">
        <f>IFERROR(VLOOKUP($D215,$Y$9:$AB$9,4,FALSE)*IF($D215="Inhalation",IF($J215="Central Tendency",SUMIFS('Inhalation Exposure'!$S$5:$S$164,'Inhalation Exposure'!$B$5:$B$164,$B215,'Inhalation Exposure'!$D$5:$D$164,$C215),SUMIFS('Inhalation Exposure'!$R$5:$R$164,'Inhalation Exposure'!$B$5:$B$164,$B215,'Inhalation Exposure'!$D$5:$D$164,$C215))),"--")</f>
        <v>2.7480060882800603E-4</v>
      </c>
    </row>
    <row r="216" spans="2:14" ht="15" thickBot="1" x14ac:dyDescent="0.4">
      <c r="B216" s="203" t="s">
        <v>201</v>
      </c>
      <c r="C216" s="299" t="s">
        <v>64</v>
      </c>
      <c r="D216" s="204" t="s">
        <v>122</v>
      </c>
      <c r="E216" s="498"/>
      <c r="F216" s="498"/>
      <c r="G216" s="500"/>
      <c r="H216" s="503"/>
      <c r="I216" s="503"/>
      <c r="J216" s="511"/>
      <c r="K216" s="495"/>
      <c r="L216" s="497"/>
      <c r="M216" s="492"/>
      <c r="N216" s="492"/>
    </row>
    <row r="217" spans="2:14" ht="15.5" thickTop="1" thickBot="1" x14ac:dyDescent="0.4">
      <c r="B217" s="203" t="s">
        <v>202</v>
      </c>
      <c r="C217" s="299" t="s">
        <v>68</v>
      </c>
      <c r="D217" s="204" t="s">
        <v>122</v>
      </c>
      <c r="E217" s="498"/>
      <c r="F217" s="498"/>
      <c r="G217" s="500"/>
      <c r="H217" s="504" t="s">
        <v>68</v>
      </c>
      <c r="I217" s="506" t="s">
        <v>101</v>
      </c>
      <c r="J217" s="510" t="s">
        <v>69</v>
      </c>
      <c r="K217" s="493" t="str">
        <f>IFERROR(VLOOKUP($D181,$Y$9:$AB$10,2,FALSE)/IF($D181="Inhalation",IF($J217="Central Tendency",SUMIFS(#REF!,#REF!,$B177,#REF!,$C181),SUMIFS(#REF!,#REF!,$B177,#REF!,$C181))),"--")</f>
        <v>--</v>
      </c>
      <c r="L217" s="491">
        <f>IFERROR(VLOOKUP($D217,$Y$9:$AB$9,2,FALSE)/IF($D217="Inhalation",IF($J217="Central Tendency",SUMIFS('Inhalation Exposure'!$O$5:$O$164,'Inhalation Exposure'!$B$5:$B$164,$B217,'Inhalation Exposure'!$D$5:$D$164,$C217),SUMIFS('Inhalation Exposure'!$N$5:$N$164,'Inhalation Exposure'!$B$5:$B$164,$B217,'Inhalation Exposure'!$D$5:$D$164,$C217))),"--")</f>
        <v>626.4204545454545</v>
      </c>
      <c r="M217" s="491">
        <f>IFERROR(VLOOKUP($D217,$Y$9:$AB$9,3,FALSE)/IF($D217="Inhalation",IF($J217="Central Tendency",SUMIFS('Inhalation Exposure'!$Q$5:$Q$164,'Inhalation Exposure'!$B$5:$B$164,$B217,'Inhalation Exposure'!$D$5:$D$164,$C217),SUMIFS('Inhalation Exposure'!$P$5:$P$164,'Inhalation Exposure'!$B$5:$B$164,$B217,'Inhalation Exposure'!$D$5:$D$164,$C217))),"--")</f>
        <v>644.89182692307691</v>
      </c>
      <c r="N217" s="491">
        <f>IFERROR(VLOOKUP($D217,$Y$9:$AB$9,4,FALSE)*IF($D217="Inhalation",IF($J217="Central Tendency",SUMIFS('Inhalation Exposure'!$S$5:$S$164,'Inhalation Exposure'!$B$5:$B$164,$B217,'Inhalation Exposure'!$D$5:$D$164,$C217),SUMIFS('Inhalation Exposure'!$R$5:$R$164,'Inhalation Exposure'!$B$5:$B$164,$B217,'Inhalation Exposure'!$D$5:$D$164,$C217))),"--")</f>
        <v>4.6806697108066976E-6</v>
      </c>
    </row>
    <row r="218" spans="2:14" ht="15" thickBot="1" x14ac:dyDescent="0.4">
      <c r="B218" s="203" t="s">
        <v>202</v>
      </c>
      <c r="C218" s="299" t="s">
        <v>68</v>
      </c>
      <c r="D218" s="204" t="s">
        <v>122</v>
      </c>
      <c r="E218" s="498"/>
      <c r="F218" s="498"/>
      <c r="G218" s="500"/>
      <c r="H218" s="502"/>
      <c r="I218" s="502"/>
      <c r="J218" s="513"/>
      <c r="K218" s="495"/>
      <c r="L218" s="492"/>
      <c r="M218" s="492"/>
      <c r="N218" s="492"/>
    </row>
    <row r="219" spans="2:14" ht="15" thickBot="1" x14ac:dyDescent="0.4">
      <c r="B219" s="203" t="s">
        <v>202</v>
      </c>
      <c r="C219" s="299" t="s">
        <v>68</v>
      </c>
      <c r="D219" s="204" t="s">
        <v>122</v>
      </c>
      <c r="E219" s="498"/>
      <c r="F219" s="498"/>
      <c r="G219" s="500"/>
      <c r="H219" s="502"/>
      <c r="I219" s="502"/>
      <c r="J219" s="510" t="s">
        <v>128</v>
      </c>
      <c r="K219" s="493" t="str">
        <f>IFERROR(VLOOKUP($D183,$Y$9:$AB$10,2,FALSE)/IF($D183="Inhalation",IF($J219="Central Tendency",SUMIFS(#REF!,#REF!,$B179,#REF!,$C183),SUMIFS(#REF!,#REF!,$B179,#REF!,$C183))),"--")</f>
        <v>--</v>
      </c>
      <c r="L219" s="491">
        <f>IFERROR(VLOOKUP($D219,$Y$9:$AB$9,2,FALSE)/IF($D219="Inhalation",IF($J219="Central Tendency",SUMIFS('Inhalation Exposure'!$O$5:$O$164,'Inhalation Exposure'!$B$5:$B$164,$B219,'Inhalation Exposure'!$D$5:$D$164,$C219),SUMIFS('Inhalation Exposure'!$N$5:$N$164,'Inhalation Exposure'!$B$5:$B$164,$B219,'Inhalation Exposure'!$D$5:$D$164,$C219))),"--")</f>
        <v>294.78609625668446</v>
      </c>
      <c r="M219" s="491">
        <f>IFERROR(VLOOKUP($D219,$Y$9:$AB$9,3,FALSE)/IF($D219="Inhalation",IF($J219="Central Tendency",SUMIFS('Inhalation Exposure'!$Q$5:$Q$164,'Inhalation Exposure'!$B$5:$B$164,$B219,'Inhalation Exposure'!$D$5:$D$164,$C219),SUMIFS('Inhalation Exposure'!$P$5:$P$164,'Inhalation Exposure'!$B$5:$B$164,$B219,'Inhalation Exposure'!$D$5:$D$164,$C219))),"--")</f>
        <v>303.47850678733033</v>
      </c>
      <c r="N219" s="491">
        <f>IFERROR(VLOOKUP($D219,$Y$9:$AB$9,4,FALSE)*IF($D219="Inhalation",IF($J219="Central Tendency",SUMIFS('Inhalation Exposure'!$S$5:$S$164,'Inhalation Exposure'!$B$5:$B$164,$B219,'Inhalation Exposure'!$D$5:$D$164,$C219),SUMIFS('Inhalation Exposure'!$R$5:$R$164,'Inhalation Exposure'!$B$5:$B$164,$B219,'Inhalation Exposure'!$D$5:$D$164,$C219))),"--")</f>
        <v>1.2834094368340944E-5</v>
      </c>
    </row>
    <row r="220" spans="2:14" ht="15" thickBot="1" x14ac:dyDescent="0.4">
      <c r="B220" s="203" t="s">
        <v>202</v>
      </c>
      <c r="C220" s="299" t="s">
        <v>68</v>
      </c>
      <c r="D220" s="204" t="s">
        <v>122</v>
      </c>
      <c r="E220" s="499"/>
      <c r="F220" s="499"/>
      <c r="G220" s="501"/>
      <c r="H220" s="505"/>
      <c r="I220" s="505"/>
      <c r="J220" s="513"/>
      <c r="K220" s="507"/>
      <c r="L220" s="497"/>
      <c r="M220" s="492"/>
      <c r="N220" s="492"/>
    </row>
    <row r="221" spans="2:14" ht="15.5" thickTop="1" thickBot="1" x14ac:dyDescent="0.4">
      <c r="B221" s="203" t="s">
        <v>203</v>
      </c>
      <c r="C221" s="204" t="s">
        <v>64</v>
      </c>
      <c r="D221" s="204" t="s">
        <v>122</v>
      </c>
      <c r="E221" s="508" t="s">
        <v>204</v>
      </c>
      <c r="F221" s="508" t="s">
        <v>185</v>
      </c>
      <c r="G221" s="509" t="s">
        <v>205</v>
      </c>
      <c r="H221" s="506" t="s">
        <v>126</v>
      </c>
      <c r="I221" s="506" t="s">
        <v>163</v>
      </c>
      <c r="J221" s="510" t="s">
        <v>69</v>
      </c>
      <c r="K221" s="493" t="str">
        <f>IFERROR(VLOOKUP($D221,$Y$9:$AB$10,2,FALSE)/IF($D221="Inhalation",IF($J221="Central Tendency",SUMIFS(#REF!,#REF!,$B221,#REF!,$C221),SUMIFS(#REF!,#REF!,$B221,#REF!,$C221))),"--")</f>
        <v>--</v>
      </c>
      <c r="L221" s="496">
        <f>IFERROR(VLOOKUP($D221,$Y$9:$AB$9,2,FALSE)/IF($D221="Inhalation",IF($J221="Central Tendency",SUMIFS('Inhalation Exposure'!$O$5:$O$164,'Inhalation Exposure'!$B$5:$B$164,$B221,'Inhalation Exposure'!$D$5:$D$164,$C221),SUMIFS('Inhalation Exposure'!$N$5:$N$164,'Inhalation Exposure'!$B$5:$B$164,$B221,'Inhalation Exposure'!$D$5:$D$164,$C221))),"--")</f>
        <v>133.63636363636363</v>
      </c>
      <c r="M221" s="491">
        <f>IFERROR(VLOOKUP($D221,$Y$9:$AB$9,3,FALSE)/IF($D221="Inhalation",IF($J221="Central Tendency",SUMIFS('Inhalation Exposure'!$Q$5:$Q$164,'Inhalation Exposure'!$B$5:$B$164,$B221,'Inhalation Exposure'!$D$5:$D$164,$C221),SUMIFS('Inhalation Exposure'!$P$5:$P$164,'Inhalation Exposure'!$B$5:$B$164,$B221,'Inhalation Exposure'!$D$5:$D$164,$C221))),"--")</f>
        <v>214.19161676646701</v>
      </c>
      <c r="N221" s="491">
        <f>IFERROR(VLOOKUP($D221,$Y$9:$AB$9,4,FALSE)*IF($D221="Inhalation",IF($J221="Central Tendency",SUMIFS('Inhalation Exposure'!$S$5:$S$164,'Inhalation Exposure'!$B$5:$B$164,$B221,'Inhalation Exposure'!$D$5:$D$164,$C221),SUMIFS('Inhalation Exposure'!$R$5:$R$164,'Inhalation Exposure'!$B$5:$B$164,$B221,'Inhalation Exposure'!$D$5:$D$164,$C221))),"--")</f>
        <v>1.4092641376887955E-5</v>
      </c>
    </row>
    <row r="222" spans="2:14" ht="15" thickBot="1" x14ac:dyDescent="0.4">
      <c r="B222" s="203" t="s">
        <v>203</v>
      </c>
      <c r="C222" s="204" t="s">
        <v>64</v>
      </c>
      <c r="D222" s="204" t="s">
        <v>122</v>
      </c>
      <c r="E222" s="498"/>
      <c r="F222" s="498"/>
      <c r="G222" s="500"/>
      <c r="H222" s="502"/>
      <c r="I222" s="502"/>
      <c r="J222" s="513"/>
      <c r="K222" s="495"/>
      <c r="L222" s="492"/>
      <c r="M222" s="492"/>
      <c r="N222" s="492"/>
    </row>
    <row r="223" spans="2:14" ht="15" thickBot="1" x14ac:dyDescent="0.4">
      <c r="B223" s="203" t="s">
        <v>203</v>
      </c>
      <c r="C223" s="204" t="s">
        <v>64</v>
      </c>
      <c r="D223" s="204" t="s">
        <v>122</v>
      </c>
      <c r="E223" s="498"/>
      <c r="F223" s="498"/>
      <c r="G223" s="500"/>
      <c r="H223" s="502"/>
      <c r="I223" s="502"/>
      <c r="J223" s="510" t="s">
        <v>128</v>
      </c>
      <c r="K223" s="493" t="str">
        <f>IFERROR(VLOOKUP($D223,$Y$9:$AB$10,2,FALSE)/IF($D223="Inhalation",IF($J223="Central Tendency",SUMIFS(#REF!,#REF!,$B223,#REF!,$C223),SUMIFS(#REF!,#REF!,$B223,#REF!,$C223))),"--")</f>
        <v>--</v>
      </c>
      <c r="L223" s="491">
        <f>IFERROR(VLOOKUP($D223,$Y$9:$AB$9,2,FALSE)/IF($D223="Inhalation",IF($J223="Central Tendency",SUMIFS('Inhalation Exposure'!$O$5:$O$164,'Inhalation Exposure'!$B$5:$B$164,$B223,'Inhalation Exposure'!$D$5:$D$164,$C223),SUMIFS('Inhalation Exposure'!$N$5:$N$164,'Inhalation Exposure'!$B$5:$B$164,$B223,'Inhalation Exposure'!$D$5:$D$164,$C223))),"--")</f>
        <v>7.4407774853209148</v>
      </c>
      <c r="M223" s="491">
        <f>IFERROR(VLOOKUP($D223,$Y$9:$AB$9,3,FALSE)/IF($D223="Inhalation",IF($J223="Central Tendency",SUMIFS('Inhalation Exposure'!$Q$5:$Q$164,'Inhalation Exposure'!$B$5:$B$164,$B223,'Inhalation Exposure'!$D$5:$D$164,$C223),SUMIFS('Inhalation Exposure'!$P$5:$P$164,'Inhalation Exposure'!$B$5:$B$164,$B223,'Inhalation Exposure'!$D$5:$D$164,$C223))),"--")</f>
        <v>11.926036568288813</v>
      </c>
      <c r="N223" s="491">
        <f>IFERROR(VLOOKUP($D223,$Y$9:$AB$9,4,FALSE)*IF($D223="Inhalation",IF($J223="Central Tendency",SUMIFS('Inhalation Exposure'!$S$5:$S$164,'Inhalation Exposure'!$B$5:$B$164,$B223,'Inhalation Exposure'!$D$5:$D$164,$C223),SUMIFS('Inhalation Exposure'!$R$5:$R$164,'Inhalation Exposure'!$B$5:$B$164,$B223,'Inhalation Exposure'!$D$5:$D$164,$C223))),"--")</f>
        <v>3.2658559887600977E-4</v>
      </c>
    </row>
    <row r="224" spans="2:14" ht="15" thickBot="1" x14ac:dyDescent="0.4">
      <c r="B224" s="203" t="s">
        <v>203</v>
      </c>
      <c r="C224" s="204" t="s">
        <v>64</v>
      </c>
      <c r="D224" s="204" t="s">
        <v>122</v>
      </c>
      <c r="E224" s="498"/>
      <c r="F224" s="498"/>
      <c r="G224" s="500"/>
      <c r="H224" s="503"/>
      <c r="I224" s="503"/>
      <c r="J224" s="511"/>
      <c r="K224" s="495"/>
      <c r="L224" s="497"/>
      <c r="M224" s="492"/>
      <c r="N224" s="492"/>
    </row>
    <row r="225" spans="2:14" ht="15" thickBot="1" x14ac:dyDescent="0.4">
      <c r="B225" s="203" t="s">
        <v>206</v>
      </c>
      <c r="C225" s="204" t="s">
        <v>64</v>
      </c>
      <c r="D225" s="204" t="s">
        <v>122</v>
      </c>
      <c r="E225" s="498"/>
      <c r="F225" s="498"/>
      <c r="G225" s="500"/>
      <c r="H225" s="506" t="s">
        <v>130</v>
      </c>
      <c r="I225" s="506" t="s">
        <v>163</v>
      </c>
      <c r="J225" s="510" t="s">
        <v>69</v>
      </c>
      <c r="K225" s="425"/>
      <c r="L225" s="491">
        <f>IFERROR(VLOOKUP($D225,$Y$9:$AB$9,2,FALSE)/IF($D225="Inhalation",IF($J225="Central Tendency",SUMIFS('Inhalation Exposure'!$O$5:$O$164,'Inhalation Exposure'!$B$5:$B$164,$B225,'Inhalation Exposure'!$D$5:$D$164,$C225),SUMIFS('Inhalation Exposure'!$N$5:$N$164,'Inhalation Exposure'!$B$5:$B$164,$B225,'Inhalation Exposure'!$D$5:$D$164,$C225))),"--")</f>
        <v>39.72972972972974</v>
      </c>
      <c r="M225" s="491">
        <f>IFERROR(VLOOKUP($D225,$Y$9:$AB$9,3,FALSE)/IF($D225="Inhalation",IF($J225="Central Tendency",SUMIFS('Inhalation Exposure'!$Q$5:$Q$164,'Inhalation Exposure'!$B$5:$B$164,$B225,'Inhalation Exposure'!$D$5:$D$164,$C225),SUMIFS('Inhalation Exposure'!$P$5:$P$164,'Inhalation Exposure'!$B$5:$B$164,$B225,'Inhalation Exposure'!$D$5:$D$164,$C225))),"--")</f>
        <v>483.3783783783785</v>
      </c>
      <c r="N225" s="491">
        <f>IFERROR(VLOOKUP($D225,$Y$9:$AB$9,4,FALSE)*IF($D225="Inhalation",IF($J225="Central Tendency",SUMIFS('Inhalation Exposure'!$S$5:$S$164,'Inhalation Exposure'!$B$5:$B$164,$B225,'Inhalation Exposure'!$D$5:$D$164,$C225),SUMIFS('Inhalation Exposure'!$R$5:$R$164,'Inhalation Exposure'!$B$5:$B$164,$B225,'Inhalation Exposure'!$D$5:$D$164,$C225))),"--")</f>
        <v>6.2446434843695089E-6</v>
      </c>
    </row>
    <row r="226" spans="2:14" ht="15" thickBot="1" x14ac:dyDescent="0.4">
      <c r="B226" s="203" t="s">
        <v>206</v>
      </c>
      <c r="C226" s="204" t="s">
        <v>64</v>
      </c>
      <c r="D226" s="204" t="s">
        <v>122</v>
      </c>
      <c r="E226" s="498"/>
      <c r="F226" s="498"/>
      <c r="G226" s="500"/>
      <c r="H226" s="502"/>
      <c r="I226" s="502"/>
      <c r="J226" s="513"/>
      <c r="K226" s="425"/>
      <c r="L226" s="492"/>
      <c r="M226" s="492"/>
      <c r="N226" s="492"/>
    </row>
    <row r="227" spans="2:14" ht="15" thickBot="1" x14ac:dyDescent="0.4">
      <c r="B227" s="203" t="s">
        <v>206</v>
      </c>
      <c r="C227" s="204" t="s">
        <v>64</v>
      </c>
      <c r="D227" s="204" t="s">
        <v>122</v>
      </c>
      <c r="E227" s="498"/>
      <c r="F227" s="498"/>
      <c r="G227" s="500"/>
      <c r="H227" s="502"/>
      <c r="I227" s="502"/>
      <c r="J227" s="510" t="s">
        <v>128</v>
      </c>
      <c r="K227" s="425"/>
      <c r="L227" s="491">
        <f>IFERROR(VLOOKUP($D227,$Y$9:$AB$9,2,FALSE)/IF($D227="Inhalation",IF($J227="Central Tendency",SUMIFS('Inhalation Exposure'!$O$5:$O$164,'Inhalation Exposure'!$B$5:$B$164,$B227,'Inhalation Exposure'!$D$5:$D$164,$C227),SUMIFS('Inhalation Exposure'!$N$5:$N$164,'Inhalation Exposure'!$B$5:$B$164,$B227,'Inhalation Exposure'!$D$5:$D$164,$C227))),"--")</f>
        <v>18.749999999999996</v>
      </c>
      <c r="M227" s="491">
        <f>IFERROR(VLOOKUP($D227,$Y$9:$AB$9,3,FALSE)/IF($D227="Inhalation",IF($J227="Central Tendency",SUMIFS('Inhalation Exposure'!$Q$5:$Q$164,'Inhalation Exposure'!$B$5:$B$164,$B227,'Inhalation Exposure'!$D$5:$D$164,$C227),SUMIFS('Inhalation Exposure'!$P$5:$P$164,'Inhalation Exposure'!$B$5:$B$164,$B227,'Inhalation Exposure'!$D$5:$D$164,$C227))),"--")</f>
        <v>228.12499999999991</v>
      </c>
      <c r="N227" s="491">
        <f>IFERROR(VLOOKUP($D227,$Y$9:$AB$9,4,FALSE)*IF($D227="Inhalation",IF($J227="Central Tendency",SUMIFS('Inhalation Exposure'!$S$5:$S$164,'Inhalation Exposure'!$B$5:$B$164,$B227,'Inhalation Exposure'!$D$5:$D$164,$C227),SUMIFS('Inhalation Exposure'!$R$5:$R$164,'Inhalation Exposure'!$B$5:$B$164,$B227,'Inhalation Exposure'!$D$5:$D$164,$C227))),"--")</f>
        <v>1.7073410607657187E-5</v>
      </c>
    </row>
    <row r="228" spans="2:14" ht="15" thickBot="1" x14ac:dyDescent="0.4">
      <c r="B228" s="203" t="s">
        <v>206</v>
      </c>
      <c r="C228" s="204" t="s">
        <v>64</v>
      </c>
      <c r="D228" s="204" t="s">
        <v>122</v>
      </c>
      <c r="E228" s="498"/>
      <c r="F228" s="498"/>
      <c r="G228" s="500"/>
      <c r="H228" s="503"/>
      <c r="I228" s="503"/>
      <c r="J228" s="511"/>
      <c r="K228" s="425"/>
      <c r="L228" s="497"/>
      <c r="M228" s="492"/>
      <c r="N228" s="492"/>
    </row>
    <row r="229" spans="2:14" ht="15.5" thickTop="1" thickBot="1" x14ac:dyDescent="0.4">
      <c r="B229" s="203" t="s">
        <v>207</v>
      </c>
      <c r="C229" s="204" t="s">
        <v>64</v>
      </c>
      <c r="D229" s="204" t="s">
        <v>122</v>
      </c>
      <c r="E229" s="498"/>
      <c r="F229" s="498"/>
      <c r="G229" s="500"/>
      <c r="H229" s="504" t="s">
        <v>132</v>
      </c>
      <c r="I229" s="506" t="s">
        <v>163</v>
      </c>
      <c r="J229" s="510" t="s">
        <v>69</v>
      </c>
      <c r="K229" s="493" t="str">
        <f>IFERROR(VLOOKUP($D225,$Y$9:$AB$10,2,FALSE)/IF($D225="Inhalation",IF($J229="Central Tendency",SUMIFS(#REF!,#REF!,$B225,#REF!,$C225),SUMIFS(#REF!,#REF!,$B225,#REF!,$C225))),"--")</f>
        <v>--</v>
      </c>
      <c r="L229" s="496">
        <f>IFERROR(VLOOKUP($D229,$Y$9:$AB$9,2,FALSE)/IF($D229="Inhalation",IF($J229="Central Tendency",SUMIFS('Inhalation Exposure'!$O$5:$O$164,'Inhalation Exposure'!$B$5:$B$164,$B229,'Inhalation Exposure'!$D$5:$D$164,$C229),SUMIFS('Inhalation Exposure'!$N$5:$N$164,'Inhalation Exposure'!$B$5:$B$164,$B229,'Inhalation Exposure'!$D$5:$D$164,$C229))),"--")</f>
        <v>167.04545454545456</v>
      </c>
      <c r="M229" s="491">
        <f>IFERROR(VLOOKUP($D229,$Y$9:$AB$9,3,FALSE)/IF($D229="Inhalation",IF($J229="Central Tendency",SUMIFS('Inhalation Exposure'!$Q$5:$Q$164,'Inhalation Exposure'!$B$5:$B$164,$B229,'Inhalation Exposure'!$D$5:$D$164,$C229),SUMIFS('Inhalation Exposure'!$P$5:$P$164,'Inhalation Exposure'!$B$5:$B$164,$B229,'Inhalation Exposure'!$D$5:$D$164,$C229))),"--")</f>
        <v>267.7395209580838</v>
      </c>
      <c r="N229" s="491">
        <f>IFERROR(VLOOKUP($D229,$Y$9:$AB$9,4,FALSE)*IF($D229="Inhalation",IF($J229="Central Tendency",SUMIFS('Inhalation Exposure'!$S$5:$S$164,'Inhalation Exposure'!$B$5:$B$164,$B229,'Inhalation Exposure'!$D$5:$D$164,$C229),SUMIFS('Inhalation Exposure'!$R$5:$R$164,'Inhalation Exposure'!$B$5:$B$164,$B229,'Inhalation Exposure'!$D$5:$D$164,$C229))),"--")</f>
        <v>1.1274113101510361E-5</v>
      </c>
    </row>
    <row r="230" spans="2:14" ht="15" thickBot="1" x14ac:dyDescent="0.4">
      <c r="B230" s="203" t="s">
        <v>207</v>
      </c>
      <c r="C230" s="204" t="s">
        <v>64</v>
      </c>
      <c r="D230" s="204" t="s">
        <v>122</v>
      </c>
      <c r="E230" s="498"/>
      <c r="F230" s="498"/>
      <c r="G230" s="500"/>
      <c r="H230" s="502"/>
      <c r="I230" s="502"/>
      <c r="J230" s="513"/>
      <c r="K230" s="495"/>
      <c r="L230" s="492"/>
      <c r="M230" s="492"/>
      <c r="N230" s="492"/>
    </row>
    <row r="231" spans="2:14" ht="15" thickBot="1" x14ac:dyDescent="0.4">
      <c r="B231" s="203" t="s">
        <v>207</v>
      </c>
      <c r="C231" s="204" t="s">
        <v>64</v>
      </c>
      <c r="D231" s="204" t="s">
        <v>122</v>
      </c>
      <c r="E231" s="498"/>
      <c r="F231" s="498"/>
      <c r="G231" s="500"/>
      <c r="H231" s="502"/>
      <c r="I231" s="502"/>
      <c r="J231" s="510" t="s">
        <v>128</v>
      </c>
      <c r="K231" s="493" t="str">
        <f>IFERROR(VLOOKUP($D227,$Y$9:$AB$10,2,FALSE)/IF($D227="Inhalation",IF($J231="Central Tendency",SUMIFS(#REF!,#REF!,$B227,#REF!,$C227),SUMIFS(#REF!,#REF!,$B227,#REF!,$C227))),"--")</f>
        <v>--</v>
      </c>
      <c r="L231" s="491">
        <f>IFERROR(VLOOKUP($D231,$Y$9:$AB$9,2,FALSE)/IF($D231="Inhalation",IF($J231="Central Tendency",SUMIFS('Inhalation Exposure'!$O$5:$O$164,'Inhalation Exposure'!$B$5:$B$164,$B231,'Inhalation Exposure'!$D$5:$D$164,$C231),SUMIFS('Inhalation Exposure'!$N$5:$N$164,'Inhalation Exposure'!$B$5:$B$164,$B231,'Inhalation Exposure'!$D$5:$D$164,$C231))),"--")</f>
        <v>20.88068181818182</v>
      </c>
      <c r="M231" s="491">
        <f>IFERROR(VLOOKUP($D231,$Y$9:$AB$9,3,FALSE)/IF($D231="Inhalation",IF($J231="Central Tendency",SUMIFS('Inhalation Exposure'!$Q$5:$Q$164,'Inhalation Exposure'!$B$5:$B$164,$B231,'Inhalation Exposure'!$D$5:$D$164,$C231),SUMIFS('Inhalation Exposure'!$P$5:$P$164,'Inhalation Exposure'!$B$5:$B$164,$B231,'Inhalation Exposure'!$D$5:$D$164,$C231))),"--")</f>
        <v>33.467440119760482</v>
      </c>
      <c r="N231" s="491">
        <f>IFERROR(VLOOKUP($D231,$Y$9:$AB$9,4,FALSE)*IF($D231="Inhalation",IF($J231="Central Tendency",SUMIFS('Inhalation Exposure'!$S$5:$S$164,'Inhalation Exposure'!$B$5:$B$164,$B231,'Inhalation Exposure'!$D$5:$D$164,$C231),SUMIFS('Inhalation Exposure'!$R$5:$R$164,'Inhalation Exposure'!$B$5:$B$164,$B231,'Inhalation Exposure'!$D$5:$D$164,$C231))),"--")</f>
        <v>1.1637794169301016E-4</v>
      </c>
    </row>
    <row r="232" spans="2:14" ht="15" thickBot="1" x14ac:dyDescent="0.4">
      <c r="B232" s="203" t="s">
        <v>207</v>
      </c>
      <c r="C232" s="204" t="s">
        <v>64</v>
      </c>
      <c r="D232" s="204" t="s">
        <v>122</v>
      </c>
      <c r="E232" s="498"/>
      <c r="F232" s="498"/>
      <c r="G232" s="500"/>
      <c r="H232" s="503"/>
      <c r="I232" s="503"/>
      <c r="J232" s="511"/>
      <c r="K232" s="495"/>
      <c r="L232" s="497"/>
      <c r="M232" s="492"/>
      <c r="N232" s="492"/>
    </row>
    <row r="233" spans="2:14" ht="15.5" thickTop="1" thickBot="1" x14ac:dyDescent="0.4">
      <c r="B233" s="203" t="s">
        <v>208</v>
      </c>
      <c r="C233" s="204" t="s">
        <v>64</v>
      </c>
      <c r="D233" s="204" t="s">
        <v>122</v>
      </c>
      <c r="E233" s="498"/>
      <c r="F233" s="498"/>
      <c r="G233" s="500"/>
      <c r="H233" s="504" t="s">
        <v>134</v>
      </c>
      <c r="I233" s="506" t="s">
        <v>163</v>
      </c>
      <c r="J233" s="510" t="s">
        <v>69</v>
      </c>
      <c r="K233" s="425"/>
      <c r="L233" s="491">
        <f>IFERROR(VLOOKUP($D233,$Y$9:$AB$9,2,FALSE)/IF($D233="Inhalation",IF($J233="Central Tendency",SUMIFS('Inhalation Exposure'!$O$5:$O$164,'Inhalation Exposure'!$B$5:$B$164,$B233,'Inhalation Exposure'!$D$5:$D$164,$C233),SUMIFS('Inhalation Exposure'!$N$5:$N$164,'Inhalation Exposure'!$B$5:$B$164,$B233,'Inhalation Exposure'!$D$5:$D$164,$C233))),"--")</f>
        <v>326.66666666666663</v>
      </c>
      <c r="M233" s="491">
        <f>IFERROR(VLOOKUP($D233,$Y$9:$AB$9,3,FALSE)/IF($D233="Inhalation",IF($J233="Central Tendency",SUMIFS('Inhalation Exposure'!$Q$5:$Q$164,'Inhalation Exposure'!$B$5:$B$164,$B233,'Inhalation Exposure'!$D$5:$D$164,$C233),SUMIFS('Inhalation Exposure'!$P$5:$P$164,'Inhalation Exposure'!$B$5:$B$164,$B233,'Inhalation Exposure'!$D$5:$D$164,$C233))),"--")</f>
        <v>1375.7692307692305</v>
      </c>
      <c r="N233" s="491">
        <f>IFERROR(VLOOKUP($D233,$Y$9:$AB$9,4,FALSE)*IF($D233="Inhalation",IF($J233="Central Tendency",SUMIFS('Inhalation Exposure'!$S$5:$S$164,'Inhalation Exposure'!$B$5:$B$164,$B233,'Inhalation Exposure'!$D$5:$D$164,$C233),SUMIFS('Inhalation Exposure'!$R$5:$R$164,'Inhalation Exposure'!$B$5:$B$164,$B233,'Inhalation Exposure'!$D$5:$D$164,$C233))),"--")</f>
        <v>2.1940639269406391E-6</v>
      </c>
    </row>
    <row r="234" spans="2:14" ht="15" thickBot="1" x14ac:dyDescent="0.4">
      <c r="B234" s="203" t="s">
        <v>208</v>
      </c>
      <c r="C234" s="204" t="s">
        <v>64</v>
      </c>
      <c r="D234" s="204" t="s">
        <v>122</v>
      </c>
      <c r="E234" s="498"/>
      <c r="F234" s="498"/>
      <c r="G234" s="500"/>
      <c r="H234" s="502"/>
      <c r="I234" s="502"/>
      <c r="J234" s="513"/>
      <c r="K234" s="425"/>
      <c r="L234" s="492"/>
      <c r="M234" s="492"/>
      <c r="N234" s="492"/>
    </row>
    <row r="235" spans="2:14" ht="15" thickBot="1" x14ac:dyDescent="0.4">
      <c r="B235" s="203" t="s">
        <v>208</v>
      </c>
      <c r="C235" s="204" t="s">
        <v>64</v>
      </c>
      <c r="D235" s="204" t="s">
        <v>122</v>
      </c>
      <c r="E235" s="498"/>
      <c r="F235" s="498"/>
      <c r="G235" s="500"/>
      <c r="H235" s="502"/>
      <c r="I235" s="502"/>
      <c r="J235" s="510" t="s">
        <v>128</v>
      </c>
      <c r="K235" s="425"/>
      <c r="L235" s="491">
        <f>IFERROR(VLOOKUP($D235,$Y$9:$AB$9,2,FALSE)/IF($D235="Inhalation",IF($J235="Central Tendency",SUMIFS('Inhalation Exposure'!$O$5:$O$164,'Inhalation Exposure'!$B$5:$B$164,$B235,'Inhalation Exposure'!$D$5:$D$164,$C235),SUMIFS('Inhalation Exposure'!$N$5:$N$164,'Inhalation Exposure'!$B$5:$B$164,$B235,'Inhalation Exposure'!$D$5:$D$164,$C235))),"--")</f>
        <v>163.33333333333331</v>
      </c>
      <c r="M235" s="491">
        <f>IFERROR(VLOOKUP($D235,$Y$9:$AB$9,3,FALSE)/IF($D235="Inhalation",IF($J235="Central Tendency",SUMIFS('Inhalation Exposure'!$Q$5:$Q$164,'Inhalation Exposure'!$B$5:$B$164,$B235,'Inhalation Exposure'!$D$5:$D$164,$C235),SUMIFS('Inhalation Exposure'!$P$5:$P$164,'Inhalation Exposure'!$B$5:$B$164,$B235,'Inhalation Exposure'!$D$5:$D$164,$C235))),"--")</f>
        <v>715.4</v>
      </c>
      <c r="N235" s="491">
        <f>IFERROR(VLOOKUP($D235,$Y$9:$AB$9,4,FALSE)*IF($D235="Inhalation",IF($J235="Central Tendency",SUMIFS('Inhalation Exposure'!$S$5:$S$164,'Inhalation Exposure'!$B$5:$B$164,$B235,'Inhalation Exposure'!$D$5:$D$164,$C235),SUMIFS('Inhalation Exposure'!$R$5:$R$164,'Inhalation Exposure'!$B$5:$B$164,$B235,'Inhalation Exposure'!$D$5:$D$164,$C235))),"--")</f>
        <v>5.4443273621355808E-6</v>
      </c>
    </row>
    <row r="236" spans="2:14" ht="15" thickBot="1" x14ac:dyDescent="0.4">
      <c r="B236" s="203" t="s">
        <v>208</v>
      </c>
      <c r="C236" s="204" t="s">
        <v>64</v>
      </c>
      <c r="D236" s="204" t="s">
        <v>122</v>
      </c>
      <c r="E236" s="498"/>
      <c r="F236" s="498"/>
      <c r="G236" s="500"/>
      <c r="H236" s="503"/>
      <c r="I236" s="503"/>
      <c r="J236" s="511"/>
      <c r="K236" s="425"/>
      <c r="L236" s="497"/>
      <c r="M236" s="492"/>
      <c r="N236" s="492"/>
    </row>
    <row r="237" spans="2:14" ht="15.5" thickTop="1" thickBot="1" x14ac:dyDescent="0.4">
      <c r="B237" s="203" t="s">
        <v>209</v>
      </c>
      <c r="C237" s="204" t="s">
        <v>64</v>
      </c>
      <c r="D237" s="204" t="s">
        <v>122</v>
      </c>
      <c r="E237" s="498"/>
      <c r="F237" s="498"/>
      <c r="G237" s="500"/>
      <c r="H237" s="504" t="s">
        <v>136</v>
      </c>
      <c r="I237" s="506" t="s">
        <v>163</v>
      </c>
      <c r="J237" s="510" t="s">
        <v>69</v>
      </c>
      <c r="K237" s="425"/>
      <c r="L237" s="496">
        <f>IFERROR(VLOOKUP($D237,$Y$9:$AB$9,2,FALSE)/IF($D237="Inhalation",IF($J237="Central Tendency",SUMIFS('Inhalation Exposure'!$O$5:$O$164,'Inhalation Exposure'!$B$5:$B$164,$B237,'Inhalation Exposure'!$D$5:$D$164,$C237),SUMIFS('Inhalation Exposure'!$N$5:$N$164,'Inhalation Exposure'!$B$5:$B$164,$B237,'Inhalation Exposure'!$D$5:$D$164,$C237))),"--")</f>
        <v>308.82352941176464</v>
      </c>
      <c r="M237" s="491">
        <f>IFERROR(VLOOKUP($D237,$Y$9:$AB$9,3,FALSE)/IF($D237="Inhalation",IF($J237="Central Tendency",SUMIFS('Inhalation Exposure'!$Q$5:$Q$164,'Inhalation Exposure'!$B$5:$B$164,$B237,'Inhalation Exposure'!$D$5:$D$164,$C237),SUMIFS('Inhalation Exposure'!$P$5:$P$164,'Inhalation Exposure'!$B$5:$B$164,$B237,'Inhalation Exposure'!$D$5:$D$164,$C237))),"--")</f>
        <v>3757.3529411764698</v>
      </c>
      <c r="N237" s="491">
        <f>IFERROR(VLOOKUP($D237,$Y$9:$AB$9,4,FALSE)*IF($D237="Inhalation",IF($J237="Central Tendency",SUMIFS('Inhalation Exposure'!$S$5:$S$164,'Inhalation Exposure'!$B$5:$B$164,$B237,'Inhalation Exposure'!$D$5:$D$164,$C237),SUMIFS('Inhalation Exposure'!$R$5:$R$164,'Inhalation Exposure'!$B$5:$B$164,$B237,'Inhalation Exposure'!$D$5:$D$164,$C237))),"--")</f>
        <v>8.0336494555672649E-7</v>
      </c>
    </row>
    <row r="238" spans="2:14" ht="15" thickBot="1" x14ac:dyDescent="0.4">
      <c r="B238" s="203" t="s">
        <v>209</v>
      </c>
      <c r="C238" s="204" t="s">
        <v>64</v>
      </c>
      <c r="D238" s="204" t="s">
        <v>122</v>
      </c>
      <c r="E238" s="498"/>
      <c r="F238" s="498"/>
      <c r="G238" s="500"/>
      <c r="H238" s="502"/>
      <c r="I238" s="502"/>
      <c r="J238" s="513"/>
      <c r="K238" s="425"/>
      <c r="L238" s="492"/>
      <c r="M238" s="492"/>
      <c r="N238" s="492"/>
    </row>
    <row r="239" spans="2:14" ht="15" thickBot="1" x14ac:dyDescent="0.4">
      <c r="B239" s="203" t="s">
        <v>209</v>
      </c>
      <c r="C239" s="204" t="s">
        <v>64</v>
      </c>
      <c r="D239" s="204" t="s">
        <v>122</v>
      </c>
      <c r="E239" s="498"/>
      <c r="F239" s="498"/>
      <c r="G239" s="500"/>
      <c r="H239" s="502"/>
      <c r="I239" s="502"/>
      <c r="J239" s="510" t="s">
        <v>128</v>
      </c>
      <c r="K239" s="425"/>
      <c r="L239" s="491">
        <f>IFERROR(VLOOKUP($D239,$Y$9:$AB$9,2,FALSE)/IF($D239="Inhalation",IF($J239="Central Tendency",SUMIFS('Inhalation Exposure'!$O$5:$O$164,'Inhalation Exposure'!$B$5:$B$164,$B239,'Inhalation Exposure'!$D$5:$D$164,$C239),SUMIFS('Inhalation Exposure'!$N$5:$N$164,'Inhalation Exposure'!$B$5:$B$164,$B239,'Inhalation Exposure'!$D$5:$D$164,$C239))),"--")</f>
        <v>37.769784172661865</v>
      </c>
      <c r="M239" s="491">
        <f>IFERROR(VLOOKUP($D239,$Y$9:$AB$9,3,FALSE)/IF($D239="Inhalation",IF($J239="Central Tendency",SUMIFS('Inhalation Exposure'!$Q$5:$Q$164,'Inhalation Exposure'!$B$5:$B$164,$B239,'Inhalation Exposure'!$D$5:$D$164,$C239),SUMIFS('Inhalation Exposure'!$P$5:$P$164,'Inhalation Exposure'!$B$5:$B$164,$B239,'Inhalation Exposure'!$D$5:$D$164,$C239))),"--")</f>
        <v>459.53237410071938</v>
      </c>
      <c r="N239" s="491">
        <f>IFERROR(VLOOKUP($D239,$Y$9:$AB$9,4,FALSE)*IF($D239="Inhalation",IF($J239="Central Tendency",SUMIFS('Inhalation Exposure'!$S$5:$S$164,'Inhalation Exposure'!$B$5:$B$164,$B239,'Inhalation Exposure'!$D$5:$D$164,$C239),SUMIFS('Inhalation Exposure'!$R$5:$R$164,'Inhalation Exposure'!$B$5:$B$164,$B239,'Inhalation Exposure'!$D$5:$D$164,$C239))),"--")</f>
        <v>8.4757288373726745E-6</v>
      </c>
    </row>
    <row r="240" spans="2:14" ht="15" thickBot="1" x14ac:dyDescent="0.4">
      <c r="B240" s="203" t="s">
        <v>209</v>
      </c>
      <c r="C240" s="204" t="s">
        <v>64</v>
      </c>
      <c r="D240" s="204" t="s">
        <v>122</v>
      </c>
      <c r="E240" s="498"/>
      <c r="F240" s="498"/>
      <c r="G240" s="500"/>
      <c r="H240" s="503"/>
      <c r="I240" s="503"/>
      <c r="J240" s="511"/>
      <c r="K240" s="425"/>
      <c r="L240" s="497"/>
      <c r="M240" s="492"/>
      <c r="N240" s="492"/>
    </row>
    <row r="241" spans="2:14" ht="15.5" thickTop="1" thickBot="1" x14ac:dyDescent="0.4">
      <c r="B241" s="203" t="s">
        <v>210</v>
      </c>
      <c r="C241" s="204" t="s">
        <v>64</v>
      </c>
      <c r="D241" s="204" t="s">
        <v>122</v>
      </c>
      <c r="E241" s="498"/>
      <c r="F241" s="498"/>
      <c r="G241" s="500"/>
      <c r="H241" s="504" t="s">
        <v>138</v>
      </c>
      <c r="I241" s="506" t="s">
        <v>163</v>
      </c>
      <c r="J241" s="510" t="s">
        <v>69</v>
      </c>
      <c r="K241" s="493" t="str">
        <f>IFERROR(VLOOKUP($D229,$Y$9:$AB$10,2,FALSE)/IF($D229="Inhalation",IF($J241="Central Tendency",SUMIFS(#REF!,#REF!,#REF!,#REF!,$C229),SUMIFS(#REF!,#REF!,#REF!,#REF!,$C229))),"--")</f>
        <v>--</v>
      </c>
      <c r="L241" s="491">
        <f>IFERROR(VLOOKUP($D241,$Y$9:$AB$9,2,FALSE)/IF($D241="Inhalation",IF($J241="Central Tendency",SUMIFS('Inhalation Exposure'!$O$5:$O$164,'Inhalation Exposure'!$B$5:$B$164,$B241,'Inhalation Exposure'!$D$5:$D$164,$C241),SUMIFS('Inhalation Exposure'!$N$5:$N$164,'Inhalation Exposure'!$B$5:$B$164,$B241,'Inhalation Exposure'!$D$5:$D$164,$C241))),"--")</f>
        <v>133.63636363636363</v>
      </c>
      <c r="M241" s="491">
        <f>IFERROR(VLOOKUP($D241,$Y$9:$AB$9,3,FALSE)/IF($D241="Inhalation",IF($J241="Central Tendency",SUMIFS('Inhalation Exposure'!$Q$5:$Q$164,'Inhalation Exposure'!$B$5:$B$164,$B241,'Inhalation Exposure'!$D$5:$D$164,$C241),SUMIFS('Inhalation Exposure'!$P$5:$P$164,'Inhalation Exposure'!$B$5:$B$164,$B241,'Inhalation Exposure'!$D$5:$D$164,$C241))),"--")</f>
        <v>214.19161676646701</v>
      </c>
      <c r="N241" s="491">
        <f>IFERROR(VLOOKUP($D241,$Y$9:$AB$9,4,FALSE)*IF($D241="Inhalation",IF($J241="Central Tendency",SUMIFS('Inhalation Exposure'!$S$5:$S$164,'Inhalation Exposure'!$B$5:$B$164,$B241,'Inhalation Exposure'!$D$5:$D$164,$C241),SUMIFS('Inhalation Exposure'!$R$5:$R$164,'Inhalation Exposure'!$B$5:$B$164,$B241,'Inhalation Exposure'!$D$5:$D$164,$C241))),"--")</f>
        <v>1.4092641376887955E-5</v>
      </c>
    </row>
    <row r="242" spans="2:14" ht="15" thickBot="1" x14ac:dyDescent="0.4">
      <c r="B242" s="203" t="s">
        <v>210</v>
      </c>
      <c r="C242" s="204" t="s">
        <v>64</v>
      </c>
      <c r="D242" s="204" t="s">
        <v>122</v>
      </c>
      <c r="E242" s="498"/>
      <c r="F242" s="498"/>
      <c r="G242" s="500"/>
      <c r="H242" s="502"/>
      <c r="I242" s="502"/>
      <c r="J242" s="513"/>
      <c r="K242" s="495"/>
      <c r="L242" s="492"/>
      <c r="M242" s="492"/>
      <c r="N242" s="492"/>
    </row>
    <row r="243" spans="2:14" ht="15" thickBot="1" x14ac:dyDescent="0.4">
      <c r="B243" s="203" t="s">
        <v>210</v>
      </c>
      <c r="C243" s="204" t="s">
        <v>64</v>
      </c>
      <c r="D243" s="204" t="s">
        <v>122</v>
      </c>
      <c r="E243" s="498"/>
      <c r="F243" s="498"/>
      <c r="G243" s="500"/>
      <c r="H243" s="502"/>
      <c r="I243" s="502"/>
      <c r="J243" s="510" t="s">
        <v>128</v>
      </c>
      <c r="K243" s="493" t="str">
        <f>IFERROR(VLOOKUP($D231,$Y$9:$AB$10,2,FALSE)/IF($D231="Inhalation",IF($J243="Central Tendency",SUMIFS(#REF!,#REF!,#REF!,#REF!,$C231),SUMIFS(#REF!,#REF!,#REF!,#REF!,$C231))),"--")</f>
        <v>--</v>
      </c>
      <c r="L243" s="491">
        <f>IFERROR(VLOOKUP($D243,$Y$9:$AB$9,2,FALSE)/IF($D243="Inhalation",IF($J243="Central Tendency",SUMIFS('Inhalation Exposure'!$O$5:$O$164,'Inhalation Exposure'!$B$5:$B$164,$B243,'Inhalation Exposure'!$D$5:$D$164,$C243),SUMIFS('Inhalation Exposure'!$N$5:$N$164,'Inhalation Exposure'!$B$5:$B$164,$B243,'Inhalation Exposure'!$D$5:$D$164,$C243))),"--")</f>
        <v>14.216634429400385</v>
      </c>
      <c r="M243" s="491">
        <f>IFERROR(VLOOKUP($D243,$Y$9:$AB$9,3,FALSE)/IF($D243="Inhalation",IF($J243="Central Tendency",SUMIFS('Inhalation Exposure'!$Q$5:$Q$164,'Inhalation Exposure'!$B$5:$B$164,$B243,'Inhalation Exposure'!$D$5:$D$164,$C243),SUMIFS('Inhalation Exposure'!$P$5:$P$164,'Inhalation Exposure'!$B$5:$B$164,$B243,'Inhalation Exposure'!$D$5:$D$164,$C243))),"--")</f>
        <v>22.786342209198622</v>
      </c>
      <c r="N243" s="491">
        <f>IFERROR(VLOOKUP($D243,$Y$9:$AB$9,4,FALSE)*IF($D243="Inhalation",IF($J243="Central Tendency",SUMIFS('Inhalation Exposure'!$S$5:$S$164,'Inhalation Exposure'!$B$5:$B$164,$B243,'Inhalation Exposure'!$D$5:$D$164,$C243),SUMIFS('Inhalation Exposure'!$R$5:$R$164,'Inhalation Exposure'!$B$5:$B$164,$B243,'Inhalation Exposure'!$D$5:$D$164,$C243))),"--")</f>
        <v>1.7093010186160871E-4</v>
      </c>
    </row>
    <row r="244" spans="2:14" ht="15" thickBot="1" x14ac:dyDescent="0.4">
      <c r="B244" s="203" t="s">
        <v>210</v>
      </c>
      <c r="C244" s="204" t="s">
        <v>64</v>
      </c>
      <c r="D244" s="204" t="s">
        <v>122</v>
      </c>
      <c r="E244" s="498"/>
      <c r="F244" s="498"/>
      <c r="G244" s="500"/>
      <c r="H244" s="503"/>
      <c r="I244" s="503"/>
      <c r="J244" s="511"/>
      <c r="K244" s="495"/>
      <c r="L244" s="497"/>
      <c r="M244" s="492"/>
      <c r="N244" s="492"/>
    </row>
    <row r="245" spans="2:14" ht="15.5" thickTop="1" thickBot="1" x14ac:dyDescent="0.4">
      <c r="B245" s="203" t="s">
        <v>211</v>
      </c>
      <c r="C245" s="204" t="s">
        <v>64</v>
      </c>
      <c r="D245" s="204" t="s">
        <v>122</v>
      </c>
      <c r="E245" s="498"/>
      <c r="F245" s="498"/>
      <c r="G245" s="500"/>
      <c r="H245" s="504" t="s">
        <v>140</v>
      </c>
      <c r="I245" s="506" t="s">
        <v>163</v>
      </c>
      <c r="J245" s="510" t="s">
        <v>69</v>
      </c>
      <c r="K245" s="425"/>
      <c r="L245" s="496">
        <f>IFERROR(VLOOKUP($D245,$Y$9:$AB$9,2,FALSE)/IF($D245="Inhalation",IF($J245="Central Tendency",SUMIFS('Inhalation Exposure'!$O$5:$O$164,'Inhalation Exposure'!$B$5:$B$164,$B245,'Inhalation Exposure'!$D$5:$D$164,$C245),SUMIFS('Inhalation Exposure'!$N$5:$N$164,'Inhalation Exposure'!$B$5:$B$164,$B245,'Inhalation Exposure'!$D$5:$D$164,$C245))),"--")</f>
        <v>0.24487756121939031</v>
      </c>
      <c r="M245" s="491">
        <f>IFERROR(VLOOKUP($D245,$Y$9:$AB$9,3,FALSE)/IF($D245="Inhalation",IF($J245="Central Tendency",SUMIFS('Inhalation Exposure'!$Q$5:$Q$164,'Inhalation Exposure'!$B$5:$B$164,$B245,'Inhalation Exposure'!$D$5:$D$164,$C245),SUMIFS('Inhalation Exposure'!$P$5:$P$164,'Inhalation Exposure'!$B$5:$B$164,$B245,'Inhalation Exposure'!$D$5:$D$164,$C245))),"--")</f>
        <v>2.9793436615025817</v>
      </c>
      <c r="N245" s="491">
        <f>IFERROR(VLOOKUP($D245,$Y$9:$AB$9,4,FALSE)*IF($D245="Inhalation",IF($J245="Central Tendency",SUMIFS('Inhalation Exposure'!$S$5:$S$164,'Inhalation Exposure'!$B$5:$B$164,$B245,'Inhalation Exposure'!$D$5:$D$164,$C245),SUMIFS('Inhalation Exposure'!$R$5:$R$164,'Inhalation Exposure'!$B$5:$B$164,$B245,'Inhalation Exposure'!$D$5:$D$164,$C245))),"--")</f>
        <v>1.0131512118018969E-3</v>
      </c>
    </row>
    <row r="246" spans="2:14" ht="15" thickBot="1" x14ac:dyDescent="0.4">
      <c r="B246" s="203" t="s">
        <v>211</v>
      </c>
      <c r="C246" s="204" t="s">
        <v>64</v>
      </c>
      <c r="D246" s="204" t="s">
        <v>122</v>
      </c>
      <c r="E246" s="498"/>
      <c r="F246" s="498"/>
      <c r="G246" s="500"/>
      <c r="H246" s="502"/>
      <c r="I246" s="502"/>
      <c r="J246" s="513"/>
      <c r="K246" s="425"/>
      <c r="L246" s="492"/>
      <c r="M246" s="492"/>
      <c r="N246" s="492"/>
    </row>
    <row r="247" spans="2:14" ht="15" thickBot="1" x14ac:dyDescent="0.4">
      <c r="B247" s="203" t="s">
        <v>211</v>
      </c>
      <c r="C247" s="204" t="s">
        <v>64</v>
      </c>
      <c r="D247" s="204" t="s">
        <v>122</v>
      </c>
      <c r="E247" s="498"/>
      <c r="F247" s="498"/>
      <c r="G247" s="500"/>
      <c r="H247" s="502"/>
      <c r="I247" s="502"/>
      <c r="J247" s="510" t="s">
        <v>128</v>
      </c>
      <c r="K247" s="425"/>
      <c r="L247" s="491">
        <f>IFERROR(VLOOKUP($D247,$Y$9:$AB$9,2,FALSE)/IF($D247="Inhalation",IF($J247="Central Tendency",SUMIFS('Inhalation Exposure'!$O$5:$O$164,'Inhalation Exposure'!$B$5:$B$164,$B247,'Inhalation Exposure'!$D$5:$D$164,$C247),SUMIFS('Inhalation Exposure'!$N$5:$N$164,'Inhalation Exposure'!$B$5:$B$164,$B247,'Inhalation Exposure'!$D$5:$D$164,$C247))),"--")</f>
        <v>0.24487756121939031</v>
      </c>
      <c r="M247" s="491">
        <f>IFERROR(VLOOKUP($D247,$Y$9:$AB$9,3,FALSE)/IF($D247="Inhalation",IF($J247="Central Tendency",SUMIFS('Inhalation Exposure'!$Q$5:$Q$164,'Inhalation Exposure'!$B$5:$B$164,$B247,'Inhalation Exposure'!$D$5:$D$164,$C247),SUMIFS('Inhalation Exposure'!$P$5:$P$164,'Inhalation Exposure'!$B$5:$B$164,$B247,'Inhalation Exposure'!$D$5:$D$164,$C247))),"--")</f>
        <v>2.9793436615025821</v>
      </c>
      <c r="N247" s="491">
        <f>IFERROR(VLOOKUP($D247,$Y$9:$AB$9,4,FALSE)*IF($D247="Inhalation",IF($J247="Central Tendency",SUMIFS('Inhalation Exposure'!$S$5:$S$164,'Inhalation Exposure'!$B$5:$B$164,$B247,'Inhalation Exposure'!$D$5:$D$164,$C247),SUMIFS('Inhalation Exposure'!$R$5:$R$164,'Inhalation Exposure'!$B$5:$B$164,$B247,'Inhalation Exposure'!$D$5:$D$164,$C247))),"--")</f>
        <v>1.3072918861959958E-3</v>
      </c>
    </row>
    <row r="248" spans="2:14" ht="15" thickBot="1" x14ac:dyDescent="0.4">
      <c r="B248" s="203" t="s">
        <v>211</v>
      </c>
      <c r="C248" s="204" t="s">
        <v>64</v>
      </c>
      <c r="D248" s="204" t="s">
        <v>122</v>
      </c>
      <c r="E248" s="498"/>
      <c r="F248" s="498"/>
      <c r="G248" s="500"/>
      <c r="H248" s="503"/>
      <c r="I248" s="503"/>
      <c r="J248" s="511"/>
      <c r="K248" s="425"/>
      <c r="L248" s="497"/>
      <c r="M248" s="492"/>
      <c r="N248" s="492"/>
    </row>
    <row r="249" spans="2:14" ht="15.5" thickTop="1" thickBot="1" x14ac:dyDescent="0.4">
      <c r="B249" s="203" t="s">
        <v>212</v>
      </c>
      <c r="C249" s="204" t="s">
        <v>64</v>
      </c>
      <c r="D249" s="204" t="s">
        <v>122</v>
      </c>
      <c r="E249" s="498"/>
      <c r="F249" s="498"/>
      <c r="G249" s="500"/>
      <c r="H249" s="504" t="s">
        <v>142</v>
      </c>
      <c r="I249" s="506" t="s">
        <v>163</v>
      </c>
      <c r="J249" s="510" t="s">
        <v>69</v>
      </c>
      <c r="K249" s="493" t="str">
        <f>IFERROR(VLOOKUP($D233,$Y$9:$AB$10,2,FALSE)/IF($D233="Inhalation",IF($J249="Central Tendency",SUMIFS(#REF!,#REF!,$B229,#REF!,$C233),SUMIFS(#REF!,#REF!,$B229,#REF!,$C233))),"--")</f>
        <v>--</v>
      </c>
      <c r="L249" s="491">
        <f>IFERROR(VLOOKUP($D249,$Y$9:$AB$9,2,FALSE)/IF($D249="Inhalation",IF($J249="Central Tendency",SUMIFS('Inhalation Exposure'!$O$5:$O$164,'Inhalation Exposure'!$B$5:$B$164,$B249,'Inhalation Exposure'!$D$5:$D$164,$C249),SUMIFS('Inhalation Exposure'!$N$5:$N$164,'Inhalation Exposure'!$B$5:$B$164,$B249,'Inhalation Exposure'!$D$5:$D$164,$C249))),"--")</f>
        <v>556.81818181818176</v>
      </c>
      <c r="M249" s="491">
        <f>IFERROR(VLOOKUP($D249,$Y$9:$AB$9,3,FALSE)/IF($D249="Inhalation",IF($J249="Central Tendency",SUMIFS('Inhalation Exposure'!$Q$5:$Q$164,'Inhalation Exposure'!$B$5:$B$164,$B249,'Inhalation Exposure'!$D$5:$D$164,$C249),SUMIFS('Inhalation Exposure'!$P$5:$P$164,'Inhalation Exposure'!$B$5:$B$164,$B249,'Inhalation Exposure'!$D$5:$D$164,$C249))),"--")</f>
        <v>892.46506986027941</v>
      </c>
      <c r="N249" s="491">
        <f>IFERROR(VLOOKUP($D249,$Y$9:$AB$9,4,FALSE)*IF($D249="Inhalation",IF($J249="Central Tendency",SUMIFS('Inhalation Exposure'!$S$5:$S$164,'Inhalation Exposure'!$B$5:$B$164,$B249,'Inhalation Exposure'!$D$5:$D$164,$C249),SUMIFS('Inhalation Exposure'!$R$5:$R$164,'Inhalation Exposure'!$B$5:$B$164,$B249,'Inhalation Exposure'!$D$5:$D$164,$C249))),"--")</f>
        <v>3.3822339304531089E-6</v>
      </c>
    </row>
    <row r="250" spans="2:14" ht="15" thickBot="1" x14ac:dyDescent="0.4">
      <c r="B250" s="203" t="s">
        <v>212</v>
      </c>
      <c r="C250" s="204" t="s">
        <v>64</v>
      </c>
      <c r="D250" s="204" t="s">
        <v>122</v>
      </c>
      <c r="E250" s="498"/>
      <c r="F250" s="498"/>
      <c r="G250" s="500"/>
      <c r="H250" s="502"/>
      <c r="I250" s="502"/>
      <c r="J250" s="513"/>
      <c r="K250" s="495"/>
      <c r="L250" s="492"/>
      <c r="M250" s="492"/>
      <c r="N250" s="492"/>
    </row>
    <row r="251" spans="2:14" ht="15" thickBot="1" x14ac:dyDescent="0.4">
      <c r="B251" s="203" t="s">
        <v>212</v>
      </c>
      <c r="C251" s="204" t="s">
        <v>64</v>
      </c>
      <c r="D251" s="204" t="s">
        <v>122</v>
      </c>
      <c r="E251" s="498"/>
      <c r="F251" s="498"/>
      <c r="G251" s="500"/>
      <c r="H251" s="502"/>
      <c r="I251" s="502"/>
      <c r="J251" s="510" t="s">
        <v>128</v>
      </c>
      <c r="K251" s="493" t="str">
        <f>IFERROR(VLOOKUP($D235,$Y$9:$AB$10,2,FALSE)/IF($D235="Inhalation",IF($J251="Central Tendency",SUMIFS(#REF!,#REF!,$B231,#REF!,$C235),SUMIFS(#REF!,#REF!,$B231,#REF!,$C235))),"--")</f>
        <v>--</v>
      </c>
      <c r="L251" s="491">
        <f>IFERROR(VLOOKUP($D251,$Y$9:$AB$9,2,FALSE)/IF($D251="Inhalation",IF($J251="Central Tendency",SUMIFS('Inhalation Exposure'!$O$5:$O$164,'Inhalation Exposure'!$B$5:$B$164,$B251,'Inhalation Exposure'!$D$5:$D$164,$C251),SUMIFS('Inhalation Exposure'!$N$5:$N$164,'Inhalation Exposure'!$B$5:$B$164,$B251,'Inhalation Exposure'!$D$5:$D$164,$C251))),"--")</f>
        <v>12.061043649491303</v>
      </c>
      <c r="M251" s="491">
        <f>IFERROR(VLOOKUP($D251,$Y$9:$AB$9,3,FALSE)/IF($D251="Inhalation",IF($J251="Central Tendency",SUMIFS('Inhalation Exposure'!$Q$5:$Q$164,'Inhalation Exposure'!$B$5:$B$164,$B251,'Inhalation Exposure'!$D$5:$D$164,$C251),SUMIFS('Inhalation Exposure'!$P$5:$P$164,'Inhalation Exposure'!$B$5:$B$164,$B251,'Inhalation Exposure'!$D$5:$D$164,$C251))),"--")</f>
        <v>19.331373354374286</v>
      </c>
      <c r="N251" s="491">
        <f>IFERROR(VLOOKUP($D251,$Y$9:$AB$9,4,FALSE)*IF($D251="Inhalation",IF($J251="Central Tendency",SUMIFS('Inhalation Exposure'!$S$5:$S$164,'Inhalation Exposure'!$B$5:$B$164,$B251,'Inhalation Exposure'!$D$5:$D$164,$C251),SUMIFS('Inhalation Exposure'!$R$5:$R$164,'Inhalation Exposure'!$B$5:$B$164,$B251,'Inhalation Exposure'!$D$5:$D$164,$C251))),"--")</f>
        <v>2.0147931155602391E-4</v>
      </c>
    </row>
    <row r="252" spans="2:14" ht="15" thickBot="1" x14ac:dyDescent="0.4">
      <c r="B252" s="203" t="s">
        <v>212</v>
      </c>
      <c r="C252" s="204" t="s">
        <v>64</v>
      </c>
      <c r="D252" s="204" t="s">
        <v>122</v>
      </c>
      <c r="E252" s="498"/>
      <c r="F252" s="498"/>
      <c r="G252" s="500"/>
      <c r="H252" s="503"/>
      <c r="I252" s="503"/>
      <c r="J252" s="511"/>
      <c r="K252" s="495"/>
      <c r="L252" s="497"/>
      <c r="M252" s="492"/>
      <c r="N252" s="492"/>
    </row>
    <row r="253" spans="2:14" ht="15.5" thickTop="1" thickBot="1" x14ac:dyDescent="0.4">
      <c r="B253" s="203" t="s">
        <v>213</v>
      </c>
      <c r="C253" s="204" t="s">
        <v>64</v>
      </c>
      <c r="D253" s="204" t="s">
        <v>122</v>
      </c>
      <c r="E253" s="498"/>
      <c r="F253" s="498"/>
      <c r="G253" s="500"/>
      <c r="H253" s="504" t="s">
        <v>144</v>
      </c>
      <c r="I253" s="506" t="s">
        <v>163</v>
      </c>
      <c r="J253" s="510" t="s">
        <v>69</v>
      </c>
      <c r="K253" s="425"/>
      <c r="L253" s="496">
        <f>IFERROR(VLOOKUP($D253,$Y$9:$AB$9,2,FALSE)/IF($D253="Inhalation",IF($J253="Central Tendency",SUMIFS('Inhalation Exposure'!$O$5:$O$164,'Inhalation Exposure'!$B$5:$B$164,$B253,'Inhalation Exposure'!$D$5:$D$164,$C253),SUMIFS('Inhalation Exposure'!$N$5:$N$164,'Inhalation Exposure'!$B$5:$B$164,$B253,'Inhalation Exposure'!$D$5:$D$164,$C253))),"--")</f>
        <v>656.24999999999989</v>
      </c>
      <c r="M253" s="491">
        <f>IFERROR(VLOOKUP($D253,$Y$9:$AB$9,3,FALSE)/IF($D253="Inhalation",IF($J253="Central Tendency",SUMIFS('Inhalation Exposure'!$Q$5:$Q$164,'Inhalation Exposure'!$B$5:$B$164,$B253,'Inhalation Exposure'!$D$5:$D$164,$C253),SUMIFS('Inhalation Exposure'!$P$5:$P$164,'Inhalation Exposure'!$B$5:$B$164,$B253,'Inhalation Exposure'!$D$5:$D$164,$C253))),"--")</f>
        <v>7984.375</v>
      </c>
      <c r="N253" s="491">
        <f>IFERROR(VLOOKUP($D253,$Y$9:$AB$9,4,FALSE)*IF($D253="Inhalation",IF($J253="Central Tendency",SUMIFS('Inhalation Exposure'!$S$5:$S$164,'Inhalation Exposure'!$B$5:$B$164,$B253,'Inhalation Exposure'!$D$5:$D$164,$C253),SUMIFS('Inhalation Exposure'!$R$5:$R$164,'Inhalation Exposure'!$B$5:$B$164,$B253,'Inhalation Exposure'!$D$5:$D$164,$C253))),"--")</f>
        <v>3.7805409202669477E-7</v>
      </c>
    </row>
    <row r="254" spans="2:14" ht="15" thickBot="1" x14ac:dyDescent="0.4">
      <c r="B254" s="203" t="s">
        <v>213</v>
      </c>
      <c r="C254" s="204" t="s">
        <v>64</v>
      </c>
      <c r="D254" s="204" t="s">
        <v>122</v>
      </c>
      <c r="E254" s="498"/>
      <c r="F254" s="498"/>
      <c r="G254" s="500"/>
      <c r="H254" s="502"/>
      <c r="I254" s="502"/>
      <c r="J254" s="513"/>
      <c r="K254" s="425"/>
      <c r="L254" s="492"/>
      <c r="M254" s="492"/>
      <c r="N254" s="492"/>
    </row>
    <row r="255" spans="2:14" ht="15" thickBot="1" x14ac:dyDescent="0.4">
      <c r="B255" s="203" t="s">
        <v>213</v>
      </c>
      <c r="C255" s="204" t="s">
        <v>64</v>
      </c>
      <c r="D255" s="204" t="s">
        <v>122</v>
      </c>
      <c r="E255" s="498"/>
      <c r="F255" s="498"/>
      <c r="G255" s="500"/>
      <c r="H255" s="502"/>
      <c r="I255" s="502"/>
      <c r="J255" s="510" t="s">
        <v>128</v>
      </c>
      <c r="K255" s="425"/>
      <c r="L255" s="491">
        <f>IFERROR(VLOOKUP($D255,$Y$9:$AB$9,2,FALSE)/IF($D255="Inhalation",IF($J255="Central Tendency",SUMIFS('Inhalation Exposure'!$O$5:$O$164,'Inhalation Exposure'!$B$5:$B$164,$B255,'Inhalation Exposure'!$D$5:$D$164,$C255),SUMIFS('Inhalation Exposure'!$N$5:$N$164,'Inhalation Exposure'!$B$5:$B$164,$B255,'Inhalation Exposure'!$D$5:$D$164,$C255))),"--")</f>
        <v>437.5</v>
      </c>
      <c r="M255" s="491">
        <f>IFERROR(VLOOKUP($D255,$Y$9:$AB$9,3,FALSE)/IF($D255="Inhalation",IF($J255="Central Tendency",SUMIFS('Inhalation Exposure'!$Q$5:$Q$164,'Inhalation Exposure'!$B$5:$B$164,$B255,'Inhalation Exposure'!$D$5:$D$164,$C255),SUMIFS('Inhalation Exposure'!$P$5:$P$164,'Inhalation Exposure'!$B$5:$B$164,$B255,'Inhalation Exposure'!$D$5:$D$164,$C255))),"--")</f>
        <v>5322.916666666667</v>
      </c>
      <c r="N255" s="491">
        <f>IFERROR(VLOOKUP($D255,$Y$9:$AB$9,4,FALSE)*IF($D255="Inhalation",IF($J255="Central Tendency",SUMIFS('Inhalation Exposure'!$S$5:$S$164,'Inhalation Exposure'!$B$5:$B$164,$B255,'Inhalation Exposure'!$D$5:$D$164,$C255),SUMIFS('Inhalation Exposure'!$R$5:$R$164,'Inhalation Exposure'!$B$5:$B$164,$B255,'Inhalation Exposure'!$D$5:$D$164,$C255))),"--")</f>
        <v>7.3171759747102211E-7</v>
      </c>
    </row>
    <row r="256" spans="2:14" ht="15" thickBot="1" x14ac:dyDescent="0.4">
      <c r="B256" s="203" t="s">
        <v>213</v>
      </c>
      <c r="C256" s="204" t="s">
        <v>64</v>
      </c>
      <c r="D256" s="204" t="s">
        <v>122</v>
      </c>
      <c r="E256" s="498"/>
      <c r="F256" s="498"/>
      <c r="G256" s="500"/>
      <c r="H256" s="503"/>
      <c r="I256" s="503"/>
      <c r="J256" s="511"/>
      <c r="K256" s="425"/>
      <c r="L256" s="497"/>
      <c r="M256" s="492"/>
      <c r="N256" s="492"/>
    </row>
    <row r="257" spans="2:14" ht="15.5" thickTop="1" thickBot="1" x14ac:dyDescent="0.4">
      <c r="B257" s="203" t="s">
        <v>214</v>
      </c>
      <c r="C257" s="204" t="s">
        <v>64</v>
      </c>
      <c r="D257" s="204" t="s">
        <v>122</v>
      </c>
      <c r="E257" s="498"/>
      <c r="F257" s="498"/>
      <c r="G257" s="500"/>
      <c r="H257" s="504" t="s">
        <v>147</v>
      </c>
      <c r="I257" s="506" t="s">
        <v>163</v>
      </c>
      <c r="J257" s="510" t="s">
        <v>69</v>
      </c>
      <c r="K257" s="493" t="str">
        <f>IFERROR(VLOOKUP($D237,$Y$9:$AB$10,2,FALSE)/IF($D237="Inhalation",IF($J257="Central Tendency",SUMIFS(#REF!,#REF!,$B233,#REF!,$C237),SUMIFS(#REF!,#REF!,$B233,#REF!,$C237))),"--")</f>
        <v>--</v>
      </c>
      <c r="L257" s="491">
        <f>IFERROR(VLOOKUP($D257,$Y$9:$AB$9,2,FALSE)/IF($D257="Inhalation",IF($J257="Central Tendency",SUMIFS('Inhalation Exposure'!$O$5:$O$164,'Inhalation Exposure'!$B$5:$B$164,$B257,'Inhalation Exposure'!$D$5:$D$164,$C257),SUMIFS('Inhalation Exposure'!$N$5:$N$164,'Inhalation Exposure'!$B$5:$B$164,$B257,'Inhalation Exposure'!$D$5:$D$164,$C257))),"--")</f>
        <v>21.979665071770331</v>
      </c>
      <c r="M257" s="491">
        <f>IFERROR(VLOOKUP($D257,$Y$9:$AB$9,3,FALSE)/IF($D257="Inhalation",IF($J257="Central Tendency",SUMIFS('Inhalation Exposure'!$Q$5:$Q$164,'Inhalation Exposure'!$B$5:$B$164,$B257,'Inhalation Exposure'!$D$5:$D$164,$C257),SUMIFS('Inhalation Exposure'!$P$5:$P$164,'Inhalation Exposure'!$B$5:$B$164,$B257,'Inhalation Exposure'!$D$5:$D$164,$C257))),"--")</f>
        <v>35.228884336589978</v>
      </c>
      <c r="N257" s="491">
        <f>IFERROR(VLOOKUP($D257,$Y$9:$AB$9,4,FALSE)*IF($D257="Inhalation",IF($J257="Central Tendency",SUMIFS('Inhalation Exposure'!$S$5:$S$164,'Inhalation Exposure'!$B$5:$B$164,$B257,'Inhalation Exposure'!$D$5:$D$164,$C257),SUMIFS('Inhalation Exposure'!$R$5:$R$164,'Inhalation Exposure'!$B$5:$B$164,$B257,'Inhalation Exposure'!$D$5:$D$164,$C257))),"--")</f>
        <v>8.5683259571478731E-5</v>
      </c>
    </row>
    <row r="258" spans="2:14" ht="15" thickBot="1" x14ac:dyDescent="0.4">
      <c r="B258" s="203" t="s">
        <v>214</v>
      </c>
      <c r="C258" s="204" t="s">
        <v>64</v>
      </c>
      <c r="D258" s="204" t="s">
        <v>122</v>
      </c>
      <c r="E258" s="498"/>
      <c r="F258" s="498"/>
      <c r="G258" s="500"/>
      <c r="H258" s="502"/>
      <c r="I258" s="502"/>
      <c r="J258" s="513"/>
      <c r="K258" s="495"/>
      <c r="L258" s="492"/>
      <c r="M258" s="492"/>
      <c r="N258" s="492"/>
    </row>
    <row r="259" spans="2:14" ht="15" thickBot="1" x14ac:dyDescent="0.4">
      <c r="B259" s="203" t="s">
        <v>214</v>
      </c>
      <c r="C259" s="204" t="s">
        <v>64</v>
      </c>
      <c r="D259" s="204" t="s">
        <v>122</v>
      </c>
      <c r="E259" s="498"/>
      <c r="F259" s="498"/>
      <c r="G259" s="500"/>
      <c r="H259" s="502"/>
      <c r="I259" s="502"/>
      <c r="J259" s="510" t="s">
        <v>128</v>
      </c>
      <c r="K259" s="493" t="str">
        <f>IFERROR(VLOOKUP($D239,$Y$9:$AB$10,2,FALSE)/IF($D239="Inhalation",IF($J259="Central Tendency",SUMIFS(#REF!,#REF!,$B235,#REF!,$C239),SUMIFS(#REF!,#REF!,$B235,#REF!,$C239))),"--")</f>
        <v>--</v>
      </c>
      <c r="L259" s="491">
        <f>IFERROR(VLOOKUP($D259,$Y$9:$AB$9,2,FALSE)/IF($D259="Inhalation",IF($J259="Central Tendency",SUMIFS('Inhalation Exposure'!$O$5:$O$164,'Inhalation Exposure'!$B$5:$B$164,$B259,'Inhalation Exposure'!$D$5:$D$164,$C259),SUMIFS('Inhalation Exposure'!$N$5:$N$164,'Inhalation Exposure'!$B$5:$B$164,$B259,'Inhalation Exposure'!$D$5:$D$164,$C259))),"--")</f>
        <v>14.277389277389275</v>
      </c>
      <c r="M259" s="491">
        <f>IFERROR(VLOOKUP($D259,$Y$9:$AB$9,3,FALSE)/IF($D259="Inhalation",IF($J259="Central Tendency",SUMIFS('Inhalation Exposure'!$Q$5:$Q$164,'Inhalation Exposure'!$B$5:$B$164,$B259,'Inhalation Exposure'!$D$5:$D$164,$C259),SUMIFS('Inhalation Exposure'!$P$5:$P$164,'Inhalation Exposure'!$B$5:$B$164,$B259,'Inhalation Exposure'!$D$5:$D$164,$C259))),"--")</f>
        <v>22.883719740007162</v>
      </c>
      <c r="N259" s="491">
        <f>IFERROR(VLOOKUP($D259,$Y$9:$AB$9,4,FALSE)*IF($D259="Inhalation",IF($J259="Central Tendency",SUMIFS('Inhalation Exposure'!$S$5:$S$164,'Inhalation Exposure'!$B$5:$B$164,$B259,'Inhalation Exposure'!$D$5:$D$164,$C259),SUMIFS('Inhalation Exposure'!$R$5:$R$164,'Inhalation Exposure'!$B$5:$B$164,$B259,'Inhalation Exposure'!$D$5:$D$164,$C259))),"--")</f>
        <v>1.7020273972602742E-4</v>
      </c>
    </row>
    <row r="260" spans="2:14" ht="15" thickBot="1" x14ac:dyDescent="0.4">
      <c r="B260" s="203" t="s">
        <v>214</v>
      </c>
      <c r="C260" s="204" t="s">
        <v>64</v>
      </c>
      <c r="D260" s="204" t="s">
        <v>122</v>
      </c>
      <c r="E260" s="498"/>
      <c r="F260" s="498"/>
      <c r="G260" s="500"/>
      <c r="H260" s="503"/>
      <c r="I260" s="503"/>
      <c r="J260" s="511"/>
      <c r="K260" s="495"/>
      <c r="L260" s="497"/>
      <c r="M260" s="492"/>
      <c r="N260" s="492"/>
    </row>
    <row r="261" spans="2:14" ht="15.5" thickTop="1" thickBot="1" x14ac:dyDescent="0.4">
      <c r="B261" s="203" t="s">
        <v>215</v>
      </c>
      <c r="C261" s="204" t="s">
        <v>64</v>
      </c>
      <c r="D261" s="204" t="s">
        <v>122</v>
      </c>
      <c r="E261" s="498"/>
      <c r="F261" s="498"/>
      <c r="G261" s="500"/>
      <c r="H261" s="504" t="s">
        <v>149</v>
      </c>
      <c r="I261" s="506" t="s">
        <v>163</v>
      </c>
      <c r="J261" s="510" t="s">
        <v>69</v>
      </c>
      <c r="K261" s="425"/>
      <c r="L261" s="496">
        <f>IFERROR(VLOOKUP($D261,$Y$9:$AB$9,2,FALSE)/IF($D261="Inhalation",IF($J261="Central Tendency",SUMIFS('Inhalation Exposure'!$O$5:$O$164,'Inhalation Exposure'!$B$5:$B$164,$B261,'Inhalation Exposure'!$D$5:$D$164,$C261),SUMIFS('Inhalation Exposure'!$N$5:$N$164,'Inhalation Exposure'!$B$5:$B$164,$B261,'Inhalation Exposure'!$D$5:$D$164,$C261))),"--")</f>
        <v>43.10850439882698</v>
      </c>
      <c r="M261" s="491">
        <f>IFERROR(VLOOKUP($D261,$Y$9:$AB$9,3,FALSE)/IF($D261="Inhalation",IF($J261="Central Tendency",SUMIFS('Inhalation Exposure'!$Q$5:$Q$164,'Inhalation Exposure'!$B$5:$B$164,$B261,'Inhalation Exposure'!$D$5:$D$164,$C261),SUMIFS('Inhalation Exposure'!$P$5:$P$164,'Inhalation Exposure'!$B$5:$B$164,$B261,'Inhalation Exposure'!$D$5:$D$164,$C261))),"--")</f>
        <v>524.4868035190616</v>
      </c>
      <c r="N261" s="491">
        <f>IFERROR(VLOOKUP($D261,$Y$9:$AB$9,4,FALSE)*IF($D261="Inhalation",IF($J261="Central Tendency",SUMIFS('Inhalation Exposure'!$S$5:$S$164,'Inhalation Exposure'!$B$5:$B$164,$B261,'Inhalation Exposure'!$D$5:$D$164,$C261),SUMIFS('Inhalation Exposure'!$R$5:$R$164,'Inhalation Exposure'!$B$5:$B$164,$B261,'Inhalation Exposure'!$D$5:$D$164,$C261))),"--")</f>
        <v>5.7551984545135231E-6</v>
      </c>
    </row>
    <row r="262" spans="2:14" ht="15" thickBot="1" x14ac:dyDescent="0.4">
      <c r="B262" s="203" t="s">
        <v>215</v>
      </c>
      <c r="C262" s="204" t="s">
        <v>64</v>
      </c>
      <c r="D262" s="204" t="s">
        <v>122</v>
      </c>
      <c r="E262" s="498"/>
      <c r="F262" s="498"/>
      <c r="G262" s="500"/>
      <c r="H262" s="502"/>
      <c r="I262" s="502"/>
      <c r="J262" s="513"/>
      <c r="K262" s="425"/>
      <c r="L262" s="492"/>
      <c r="M262" s="492"/>
      <c r="N262" s="492"/>
    </row>
    <row r="263" spans="2:14" ht="15" thickBot="1" x14ac:dyDescent="0.4">
      <c r="B263" s="203" t="s">
        <v>215</v>
      </c>
      <c r="C263" s="204" t="s">
        <v>64</v>
      </c>
      <c r="D263" s="204" t="s">
        <v>122</v>
      </c>
      <c r="E263" s="498"/>
      <c r="F263" s="498"/>
      <c r="G263" s="500"/>
      <c r="H263" s="502"/>
      <c r="I263" s="502"/>
      <c r="J263" s="510" t="s">
        <v>128</v>
      </c>
      <c r="K263" s="425"/>
      <c r="L263" s="491">
        <f>IFERROR(VLOOKUP($D263,$Y$9:$AB$9,2,FALSE)/IF($D263="Inhalation",IF($J263="Central Tendency",SUMIFS('Inhalation Exposure'!$O$5:$O$164,'Inhalation Exposure'!$B$5:$B$164,$B263,'Inhalation Exposure'!$D$5:$D$164,$C263),SUMIFS('Inhalation Exposure'!$N$5:$N$164,'Inhalation Exposure'!$B$5:$B$164,$B263,'Inhalation Exposure'!$D$5:$D$164,$C263))),"--")</f>
        <v>23.747980613893375</v>
      </c>
      <c r="M263" s="491">
        <f>IFERROR(VLOOKUP($D263,$Y$9:$AB$9,3,FALSE)/IF($D263="Inhalation",IF($J263="Central Tendency",SUMIFS('Inhalation Exposure'!$Q$5:$Q$164,'Inhalation Exposure'!$B$5:$B$164,$B263,'Inhalation Exposure'!$D$5:$D$164,$C263),SUMIFS('Inhalation Exposure'!$P$5:$P$164,'Inhalation Exposure'!$B$5:$B$164,$B263,'Inhalation Exposure'!$D$5:$D$164,$C263))),"--")</f>
        <v>288.9337641357028</v>
      </c>
      <c r="N263" s="491">
        <f>IFERROR(VLOOKUP($D263,$Y$9:$AB$9,4,FALSE)*IF($D263="Inhalation",IF($J263="Central Tendency",SUMIFS('Inhalation Exposure'!$S$5:$S$164,'Inhalation Exposure'!$B$5:$B$164,$B263,'Inhalation Exposure'!$D$5:$D$164,$C263),SUMIFS('Inhalation Exposure'!$R$5:$R$164,'Inhalation Exposure'!$B$5:$B$164,$B263,'Inhalation Exposure'!$D$5:$D$164,$C263))),"--")</f>
        <v>1.3480154548647698E-5</v>
      </c>
    </row>
    <row r="264" spans="2:14" ht="15" thickBot="1" x14ac:dyDescent="0.4">
      <c r="B264" s="203" t="s">
        <v>215</v>
      </c>
      <c r="C264" s="204" t="s">
        <v>64</v>
      </c>
      <c r="D264" s="204" t="s">
        <v>122</v>
      </c>
      <c r="E264" s="498"/>
      <c r="F264" s="498"/>
      <c r="G264" s="500"/>
      <c r="H264" s="503"/>
      <c r="I264" s="503"/>
      <c r="J264" s="511"/>
      <c r="K264" s="425"/>
      <c r="L264" s="497"/>
      <c r="M264" s="492"/>
      <c r="N264" s="492"/>
    </row>
    <row r="265" spans="2:14" ht="15.5" thickTop="1" thickBot="1" x14ac:dyDescent="0.4">
      <c r="B265" s="203" t="s">
        <v>216</v>
      </c>
      <c r="C265" s="204" t="s">
        <v>64</v>
      </c>
      <c r="D265" s="204" t="s">
        <v>122</v>
      </c>
      <c r="E265" s="498"/>
      <c r="F265" s="498"/>
      <c r="G265" s="500"/>
      <c r="H265" s="504" t="s">
        <v>151</v>
      </c>
      <c r="I265" s="506" t="s">
        <v>163</v>
      </c>
      <c r="J265" s="510" t="s">
        <v>69</v>
      </c>
      <c r="K265" s="425"/>
      <c r="L265" s="491">
        <f>IFERROR(VLOOKUP($D265,$Y$9:$AB$9,2,FALSE)/IF($D265="Inhalation",IF($J265="Central Tendency",SUMIFS('Inhalation Exposure'!$O$5:$O$164,'Inhalation Exposure'!$B$5:$B$164,$B265,'Inhalation Exposure'!$D$5:$D$164,$C265),SUMIFS('Inhalation Exposure'!$N$5:$N$164,'Inhalation Exposure'!$B$5:$B$164,$B265,'Inhalation Exposure'!$D$5:$D$164,$C265))),"--")</f>
        <v>181.03448275862067</v>
      </c>
      <c r="M265" s="491">
        <f>IFERROR(VLOOKUP($D265,$Y$9:$AB$9,3,FALSE)/IF($D265="Inhalation",IF($J265="Central Tendency",SUMIFS('Inhalation Exposure'!$Q$5:$Q$164,'Inhalation Exposure'!$B$5:$B$164,$B265,'Inhalation Exposure'!$D$5:$D$164,$C265),SUMIFS('Inhalation Exposure'!$P$5:$P$164,'Inhalation Exposure'!$B$5:$B$164,$B265,'Inhalation Exposure'!$D$5:$D$164,$C265))),"--")</f>
        <v>2202.5862068965516</v>
      </c>
      <c r="N265" s="491">
        <f>IFERROR(VLOOKUP($D265,$Y$9:$AB$9,4,FALSE)*IF($D265="Inhalation",IF($J265="Central Tendency",SUMIFS('Inhalation Exposure'!$S$5:$S$164,'Inhalation Exposure'!$B$5:$B$164,$B265,'Inhalation Exposure'!$D$5:$D$164,$C265),SUMIFS('Inhalation Exposure'!$R$5:$R$164,'Inhalation Exposure'!$B$5:$B$164,$B265,'Inhalation Exposure'!$D$5:$D$164,$C265))),"--")</f>
        <v>1.3704460835967686E-6</v>
      </c>
    </row>
    <row r="266" spans="2:14" ht="15" thickBot="1" x14ac:dyDescent="0.4">
      <c r="B266" s="203" t="s">
        <v>216</v>
      </c>
      <c r="C266" s="204" t="s">
        <v>64</v>
      </c>
      <c r="D266" s="204" t="s">
        <v>122</v>
      </c>
      <c r="E266" s="498"/>
      <c r="F266" s="498"/>
      <c r="G266" s="500"/>
      <c r="H266" s="502"/>
      <c r="I266" s="502"/>
      <c r="J266" s="513"/>
      <c r="K266" s="425"/>
      <c r="L266" s="492"/>
      <c r="M266" s="492"/>
      <c r="N266" s="492"/>
    </row>
    <row r="267" spans="2:14" ht="15" thickBot="1" x14ac:dyDescent="0.4">
      <c r="B267" s="203" t="s">
        <v>216</v>
      </c>
      <c r="C267" s="204" t="s">
        <v>64</v>
      </c>
      <c r="D267" s="204" t="s">
        <v>122</v>
      </c>
      <c r="E267" s="498"/>
      <c r="F267" s="498"/>
      <c r="G267" s="500"/>
      <c r="H267" s="502"/>
      <c r="I267" s="502"/>
      <c r="J267" s="510" t="s">
        <v>128</v>
      </c>
      <c r="K267" s="425"/>
      <c r="L267" s="491">
        <f>IFERROR(VLOOKUP($D267,$Y$9:$AB$9,2,FALSE)/IF($D267="Inhalation",IF($J267="Central Tendency",SUMIFS('Inhalation Exposure'!$O$5:$O$164,'Inhalation Exposure'!$B$5:$B$164,$B267,'Inhalation Exposure'!$D$5:$D$164,$C267),SUMIFS('Inhalation Exposure'!$N$5:$N$164,'Inhalation Exposure'!$B$5:$B$164,$B267,'Inhalation Exposure'!$D$5:$D$164,$C267))),"--")</f>
        <v>1.0672900996137429</v>
      </c>
      <c r="M267" s="491">
        <f>IFERROR(VLOOKUP($D267,$Y$9:$AB$9,3,FALSE)/IF($D267="Inhalation",IF($J267="Central Tendency",SUMIFS('Inhalation Exposure'!$Q$5:$Q$164,'Inhalation Exposure'!$B$5:$B$164,$B267,'Inhalation Exposure'!$D$5:$D$164,$C267),SUMIFS('Inhalation Exposure'!$P$5:$P$164,'Inhalation Exposure'!$B$5:$B$164,$B267,'Inhalation Exposure'!$D$5:$D$164,$C267))),"--")</f>
        <v>12.985362878633872</v>
      </c>
      <c r="N267" s="491">
        <f>IFERROR(VLOOKUP($D267,$Y$9:$AB$9,4,FALSE)*IF($D267="Inhalation",IF($J267="Central Tendency",SUMIFS('Inhalation Exposure'!$S$5:$S$164,'Inhalation Exposure'!$B$5:$B$164,$B267,'Inhalation Exposure'!$D$5:$D$164,$C267),SUMIFS('Inhalation Exposure'!$R$5:$R$164,'Inhalation Exposure'!$B$5:$B$164,$B267,'Inhalation Exposure'!$D$5:$D$164,$C267))),"--")</f>
        <v>2.9994323849666312E-4</v>
      </c>
    </row>
    <row r="268" spans="2:14" ht="15" thickBot="1" x14ac:dyDescent="0.4">
      <c r="B268" s="203" t="s">
        <v>216</v>
      </c>
      <c r="C268" s="204" t="s">
        <v>64</v>
      </c>
      <c r="D268" s="204" t="s">
        <v>122</v>
      </c>
      <c r="E268" s="498"/>
      <c r="F268" s="498"/>
      <c r="G268" s="500"/>
      <c r="H268" s="503"/>
      <c r="I268" s="503"/>
      <c r="J268" s="511"/>
      <c r="K268" s="425"/>
      <c r="L268" s="497"/>
      <c r="M268" s="492"/>
      <c r="N268" s="492"/>
    </row>
    <row r="269" spans="2:14" ht="15.5" thickTop="1" thickBot="1" x14ac:dyDescent="0.4">
      <c r="B269" s="203" t="s">
        <v>217</v>
      </c>
      <c r="C269" s="299" t="s">
        <v>64</v>
      </c>
      <c r="D269" s="204" t="s">
        <v>122</v>
      </c>
      <c r="E269" s="498"/>
      <c r="F269" s="498"/>
      <c r="G269" s="500"/>
      <c r="H269" s="504" t="s">
        <v>153</v>
      </c>
      <c r="I269" s="506" t="s">
        <v>163</v>
      </c>
      <c r="J269" s="510" t="s">
        <v>69</v>
      </c>
      <c r="K269" s="493" t="str">
        <f>IFERROR(VLOOKUP($D241,$Y$9:$AB$10,2,FALSE)/IF($D241="Inhalation",IF($J269="Central Tendency",SUMIFS(#REF!,#REF!,$B237,#REF!,$C241),SUMIFS(#REF!,#REF!,$B237,#REF!,$C241))),"--")</f>
        <v>--</v>
      </c>
      <c r="L269" s="496">
        <f>IFERROR(VLOOKUP($D269,$Y$9:$AB$9,2,FALSE)/IF($D269="Inhalation",IF($J269="Central Tendency",SUMIFS('Inhalation Exposure'!$O$5:$O$164,'Inhalation Exposure'!$B$5:$B$164,$B269,'Inhalation Exposure'!$D$5:$D$164,$C269),SUMIFS('Inhalation Exposure'!$N$5:$N$164,'Inhalation Exposure'!$B$5:$B$164,$B269,'Inhalation Exposure'!$D$5:$D$164,$C269))),"--")</f>
        <v>167.04545454545456</v>
      </c>
      <c r="M269" s="491">
        <f>IFERROR(VLOOKUP($D269,$Y$9:$AB$9,3,FALSE)/IF($D269="Inhalation",IF($J269="Central Tendency",SUMIFS('Inhalation Exposure'!$Q$5:$Q$164,'Inhalation Exposure'!$B$5:$B$164,$B269,'Inhalation Exposure'!$D$5:$D$164,$C269),SUMIFS('Inhalation Exposure'!$P$5:$P$164,'Inhalation Exposure'!$B$5:$B$164,$B269,'Inhalation Exposure'!$D$5:$D$164,$C269))),"--")</f>
        <v>267.7395209580838</v>
      </c>
      <c r="N269" s="491">
        <f>IFERROR(VLOOKUP($D269,$Y$9:$AB$9,4,FALSE)*IF($D269="Inhalation",IF($J269="Central Tendency",SUMIFS('Inhalation Exposure'!$S$5:$S$164,'Inhalation Exposure'!$B$5:$B$164,$B269,'Inhalation Exposure'!$D$5:$D$164,$C269),SUMIFS('Inhalation Exposure'!$R$5:$R$164,'Inhalation Exposure'!$B$5:$B$164,$B269,'Inhalation Exposure'!$D$5:$D$164,$C269))),"--")</f>
        <v>1.1274113101510361E-5</v>
      </c>
    </row>
    <row r="270" spans="2:14" ht="15" thickBot="1" x14ac:dyDescent="0.4">
      <c r="B270" s="203" t="s">
        <v>217</v>
      </c>
      <c r="C270" s="299" t="s">
        <v>64</v>
      </c>
      <c r="D270" s="204" t="s">
        <v>122</v>
      </c>
      <c r="E270" s="498"/>
      <c r="F270" s="498"/>
      <c r="G270" s="500"/>
      <c r="H270" s="502"/>
      <c r="I270" s="502"/>
      <c r="J270" s="513"/>
      <c r="K270" s="495"/>
      <c r="L270" s="492"/>
      <c r="M270" s="492"/>
      <c r="N270" s="492"/>
    </row>
    <row r="271" spans="2:14" ht="15" thickBot="1" x14ac:dyDescent="0.4">
      <c r="B271" s="203" t="s">
        <v>217</v>
      </c>
      <c r="C271" s="299" t="s">
        <v>64</v>
      </c>
      <c r="D271" s="204" t="s">
        <v>122</v>
      </c>
      <c r="E271" s="498"/>
      <c r="F271" s="498"/>
      <c r="G271" s="500"/>
      <c r="H271" s="502"/>
      <c r="I271" s="502"/>
      <c r="J271" s="510" t="s">
        <v>128</v>
      </c>
      <c r="K271" s="493" t="str">
        <f>IFERROR(VLOOKUP($D243,$Y$9:$AB$10,2,FALSE)/IF($D243="Inhalation",IF($J271="Central Tendency",SUMIFS(#REF!,#REF!,$B239,#REF!,$C243),SUMIFS(#REF!,#REF!,$B239,#REF!,$C243))),"--")</f>
        <v>--</v>
      </c>
      <c r="L271" s="491">
        <f>IFERROR(VLOOKUP($D271,$Y$9:$AB$9,2,FALSE)/IF($D271="Inhalation",IF($J271="Central Tendency",SUMIFS('Inhalation Exposure'!$O$5:$O$164,'Inhalation Exposure'!$B$5:$B$164,$B271,'Inhalation Exposure'!$D$5:$D$164,$C271),SUMIFS('Inhalation Exposure'!$N$5:$N$164,'Inhalation Exposure'!$B$5:$B$164,$B271,'Inhalation Exposure'!$D$5:$D$164,$C271))),"--")</f>
        <v>16.704545454545453</v>
      </c>
      <c r="M271" s="491">
        <f>IFERROR(VLOOKUP($D271,$Y$9:$AB$9,3,FALSE)/IF($D271="Inhalation",IF($J271="Central Tendency",SUMIFS('Inhalation Exposure'!$Q$5:$Q$164,'Inhalation Exposure'!$B$5:$B$164,$B271,'Inhalation Exposure'!$D$5:$D$164,$C271),SUMIFS('Inhalation Exposure'!$P$5:$P$164,'Inhalation Exposure'!$B$5:$B$164,$B271,'Inhalation Exposure'!$D$5:$D$164,$C271))),"--")</f>
        <v>26.773952095808376</v>
      </c>
      <c r="N271" s="491">
        <f>IFERROR(VLOOKUP($D271,$Y$9:$AB$9,4,FALSE)*IF($D271="Inhalation",IF($J271="Central Tendency",SUMIFS('Inhalation Exposure'!$S$5:$S$164,'Inhalation Exposure'!$B$5:$B$164,$B271,'Inhalation Exposure'!$D$5:$D$164,$C271),SUMIFS('Inhalation Exposure'!$R$5:$R$164,'Inhalation Exposure'!$B$5:$B$164,$B271,'Inhalation Exposure'!$D$5:$D$164,$C271))),"--")</f>
        <v>1.4547242711626277E-4</v>
      </c>
    </row>
    <row r="272" spans="2:14" ht="15" thickBot="1" x14ac:dyDescent="0.4">
      <c r="B272" s="203" t="s">
        <v>217</v>
      </c>
      <c r="C272" s="299" t="s">
        <v>64</v>
      </c>
      <c r="D272" s="204" t="s">
        <v>122</v>
      </c>
      <c r="E272" s="498"/>
      <c r="F272" s="498"/>
      <c r="G272" s="500"/>
      <c r="H272" s="503"/>
      <c r="I272" s="503"/>
      <c r="J272" s="511"/>
      <c r="K272" s="495"/>
      <c r="L272" s="497"/>
      <c r="M272" s="492"/>
      <c r="N272" s="492"/>
    </row>
    <row r="273" spans="2:14" ht="15.5" thickTop="1" thickBot="1" x14ac:dyDescent="0.4">
      <c r="B273" s="203" t="s">
        <v>218</v>
      </c>
      <c r="C273" s="299" t="s">
        <v>64</v>
      </c>
      <c r="D273" s="204" t="s">
        <v>122</v>
      </c>
      <c r="E273" s="498"/>
      <c r="F273" s="498"/>
      <c r="G273" s="500"/>
      <c r="H273" s="504" t="s">
        <v>155</v>
      </c>
      <c r="I273" s="506" t="s">
        <v>163</v>
      </c>
      <c r="J273" s="510" t="s">
        <v>69</v>
      </c>
      <c r="K273" s="425"/>
      <c r="L273" s="491">
        <f>IFERROR(VLOOKUP($D273,$Y$9:$AB$9,2,FALSE)/IF($D273="Inhalation",IF($J273="Central Tendency",SUMIFS('Inhalation Exposure'!$O$5:$O$164,'Inhalation Exposure'!$B$5:$B$164,$B273,'Inhalation Exposure'!$D$5:$D$164,$C273),SUMIFS('Inhalation Exposure'!$N$5:$N$164,'Inhalation Exposure'!$B$5:$B$164,$B273,'Inhalation Exposure'!$D$5:$D$164,$C273))),"--")</f>
        <v>459.37500000000006</v>
      </c>
      <c r="M273" s="491">
        <f>IFERROR(VLOOKUP($D273,$Y$9:$AB$9,3,FALSE)/IF($D273="Inhalation",IF($J273="Central Tendency",SUMIFS('Inhalation Exposure'!$Q$5:$Q$164,'Inhalation Exposure'!$B$5:$B$164,$B273,'Inhalation Exposure'!$D$5:$D$164,$C273),SUMIFS('Inhalation Exposure'!$P$5:$P$164,'Inhalation Exposure'!$B$5:$B$164,$B273,'Inhalation Exposure'!$D$5:$D$164,$C273))),"--")</f>
        <v>5589.0625</v>
      </c>
      <c r="N273" s="491">
        <f>IFERROR(VLOOKUP($D273,$Y$9:$AB$9,4,FALSE)*IF($D273="Inhalation",IF($J273="Central Tendency",SUMIFS('Inhalation Exposure'!$S$5:$S$164,'Inhalation Exposure'!$B$5:$B$164,$B273,'Inhalation Exposure'!$D$5:$D$164,$C273),SUMIFS('Inhalation Exposure'!$R$5:$R$164,'Inhalation Exposure'!$B$5:$B$164,$B273,'Inhalation Exposure'!$D$5:$D$164,$C273))),"--")</f>
        <v>5.4007727432384956E-7</v>
      </c>
    </row>
    <row r="274" spans="2:14" ht="15" thickBot="1" x14ac:dyDescent="0.4">
      <c r="B274" s="203" t="s">
        <v>218</v>
      </c>
      <c r="C274" s="299" t="s">
        <v>64</v>
      </c>
      <c r="D274" s="204" t="s">
        <v>122</v>
      </c>
      <c r="E274" s="498"/>
      <c r="F274" s="498"/>
      <c r="G274" s="500"/>
      <c r="H274" s="502"/>
      <c r="I274" s="502"/>
      <c r="J274" s="513"/>
      <c r="K274" s="425"/>
      <c r="L274" s="492"/>
      <c r="M274" s="492"/>
      <c r="N274" s="492"/>
    </row>
    <row r="275" spans="2:14" ht="15" thickBot="1" x14ac:dyDescent="0.4">
      <c r="B275" s="203" t="s">
        <v>218</v>
      </c>
      <c r="C275" s="299" t="s">
        <v>64</v>
      </c>
      <c r="D275" s="204" t="s">
        <v>122</v>
      </c>
      <c r="E275" s="498"/>
      <c r="F275" s="498"/>
      <c r="G275" s="500"/>
      <c r="H275" s="502"/>
      <c r="I275" s="502"/>
      <c r="J275" s="510" t="s">
        <v>128</v>
      </c>
      <c r="K275" s="425"/>
      <c r="L275" s="491">
        <f>IFERROR(VLOOKUP($D275,$Y$9:$AB$9,2,FALSE)/IF($D275="Inhalation",IF($J275="Central Tendency",SUMIFS('Inhalation Exposure'!$O$5:$O$164,'Inhalation Exposure'!$B$5:$B$164,$B275,'Inhalation Exposure'!$D$5:$D$164,$C275),SUMIFS('Inhalation Exposure'!$N$5:$N$164,'Inhalation Exposure'!$B$5:$B$164,$B275,'Inhalation Exposure'!$D$5:$D$164,$C275))),"--")</f>
        <v>109.70149253731341</v>
      </c>
      <c r="M275" s="491">
        <f>IFERROR(VLOOKUP($D275,$Y$9:$AB$9,3,FALSE)/IF($D275="Inhalation",IF($J275="Central Tendency",SUMIFS('Inhalation Exposure'!$Q$5:$Q$164,'Inhalation Exposure'!$B$5:$B$164,$B275,'Inhalation Exposure'!$D$5:$D$164,$C275),SUMIFS('Inhalation Exposure'!$P$5:$P$164,'Inhalation Exposure'!$B$5:$B$164,$B275,'Inhalation Exposure'!$D$5:$D$164,$C275))),"--")</f>
        <v>1334.7014925373132</v>
      </c>
      <c r="N275" s="491">
        <f>IFERROR(VLOOKUP($D275,$Y$9:$AB$9,4,FALSE)*IF($D275="Inhalation",IF($J275="Central Tendency",SUMIFS('Inhalation Exposure'!$S$5:$S$164,'Inhalation Exposure'!$B$5:$B$164,$B275,'Inhalation Exposure'!$D$5:$D$164,$C275),SUMIFS('Inhalation Exposure'!$R$5:$R$164,'Inhalation Exposure'!$B$5:$B$164,$B275,'Inhalation Exposure'!$D$5:$D$164,$C275))),"--")</f>
        <v>2.9181594661046717E-6</v>
      </c>
    </row>
    <row r="276" spans="2:14" ht="15" thickBot="1" x14ac:dyDescent="0.4">
      <c r="B276" s="203" t="s">
        <v>218</v>
      </c>
      <c r="C276" s="299" t="s">
        <v>64</v>
      </c>
      <c r="D276" s="204" t="s">
        <v>122</v>
      </c>
      <c r="E276" s="498"/>
      <c r="F276" s="498"/>
      <c r="G276" s="500"/>
      <c r="H276" s="503"/>
      <c r="I276" s="503"/>
      <c r="J276" s="511"/>
      <c r="K276" s="425"/>
      <c r="L276" s="497"/>
      <c r="M276" s="492"/>
      <c r="N276" s="492"/>
    </row>
    <row r="277" spans="2:14" ht="15.5" thickTop="1" thickBot="1" x14ac:dyDescent="0.4">
      <c r="B277" s="203" t="s">
        <v>219</v>
      </c>
      <c r="C277" s="299" t="s">
        <v>64</v>
      </c>
      <c r="D277" s="204" t="s">
        <v>122</v>
      </c>
      <c r="E277" s="498"/>
      <c r="F277" s="498"/>
      <c r="G277" s="500"/>
      <c r="H277" s="504" t="s">
        <v>157</v>
      </c>
      <c r="I277" s="506" t="s">
        <v>163</v>
      </c>
      <c r="J277" s="510" t="s">
        <v>69</v>
      </c>
      <c r="K277" s="425"/>
      <c r="L277" s="496">
        <f>IFERROR(VLOOKUP($D277,$Y$9:$AB$9,2,FALSE)/IF($D277="Inhalation",IF($J277="Central Tendency",SUMIFS('Inhalation Exposure'!$O$5:$O$164,'Inhalation Exposure'!$B$5:$B$164,$B277,'Inhalation Exposure'!$D$5:$D$164,$C277),SUMIFS('Inhalation Exposure'!$N$5:$N$164,'Inhalation Exposure'!$B$5:$B$164,$B277,'Inhalation Exposure'!$D$5:$D$164,$C277))),"--")</f>
        <v>187.49999999999997</v>
      </c>
      <c r="M277" s="491">
        <f>IFERROR(VLOOKUP($D277,$Y$9:$AB$9,3,FALSE)/IF($D277="Inhalation",IF($J277="Central Tendency",SUMIFS('Inhalation Exposure'!$Q$5:$Q$164,'Inhalation Exposure'!$B$5:$B$164,$B277,'Inhalation Exposure'!$D$5:$D$164,$C277),SUMIFS('Inhalation Exposure'!$P$5:$P$164,'Inhalation Exposure'!$B$5:$B$164,$B277,'Inhalation Exposure'!$D$5:$D$164,$C277))),"--")</f>
        <v>2281.2499999999995</v>
      </c>
      <c r="N277" s="491">
        <f>IFERROR(VLOOKUP($D277,$Y$9:$AB$9,4,FALSE)*IF($D277="Inhalation",IF($J277="Central Tendency",SUMIFS('Inhalation Exposure'!$S$5:$S$164,'Inhalation Exposure'!$B$5:$B$164,$B277,'Inhalation Exposure'!$D$5:$D$164,$C277),SUMIFS('Inhalation Exposure'!$R$5:$R$164,'Inhalation Exposure'!$B$5:$B$164,$B277,'Inhalation Exposure'!$D$5:$D$164,$C277))),"--")</f>
        <v>1.3231893220934317E-6</v>
      </c>
    </row>
    <row r="278" spans="2:14" ht="15" thickBot="1" x14ac:dyDescent="0.4">
      <c r="B278" s="203" t="s">
        <v>219</v>
      </c>
      <c r="C278" s="299" t="s">
        <v>64</v>
      </c>
      <c r="D278" s="204" t="s">
        <v>122</v>
      </c>
      <c r="E278" s="498"/>
      <c r="F278" s="498"/>
      <c r="G278" s="500"/>
      <c r="H278" s="502"/>
      <c r="I278" s="502"/>
      <c r="J278" s="513"/>
      <c r="K278" s="425"/>
      <c r="L278" s="492"/>
      <c r="M278" s="492"/>
      <c r="N278" s="492"/>
    </row>
    <row r="279" spans="2:14" ht="15" thickBot="1" x14ac:dyDescent="0.4">
      <c r="B279" s="203" t="s">
        <v>219</v>
      </c>
      <c r="C279" s="299" t="s">
        <v>64</v>
      </c>
      <c r="D279" s="204" t="s">
        <v>122</v>
      </c>
      <c r="E279" s="498"/>
      <c r="F279" s="498"/>
      <c r="G279" s="500"/>
      <c r="H279" s="502"/>
      <c r="I279" s="502"/>
      <c r="J279" s="510" t="s">
        <v>128</v>
      </c>
      <c r="K279" s="425"/>
      <c r="L279" s="491">
        <f>IFERROR(VLOOKUP($D279,$Y$9:$AB$9,2,FALSE)/IF($D279="Inhalation",IF($J279="Central Tendency",SUMIFS('Inhalation Exposure'!$O$5:$O$164,'Inhalation Exposure'!$B$5:$B$164,$B279,'Inhalation Exposure'!$D$5:$D$164,$C279),SUMIFS('Inhalation Exposure'!$N$5:$N$164,'Inhalation Exposure'!$B$5:$B$164,$B279,'Inhalation Exposure'!$D$5:$D$164,$C279))),"--")</f>
        <v>87.499999999999986</v>
      </c>
      <c r="M279" s="491">
        <f>IFERROR(VLOOKUP($D279,$Y$9:$AB$9,3,FALSE)/IF($D279="Inhalation",IF($J279="Central Tendency",SUMIFS('Inhalation Exposure'!$Q$5:$Q$164,'Inhalation Exposure'!$B$5:$B$164,$B279,'Inhalation Exposure'!$D$5:$D$164,$C279),SUMIFS('Inhalation Exposure'!$P$5:$P$164,'Inhalation Exposure'!$B$5:$B$164,$B279,'Inhalation Exposure'!$D$5:$D$164,$C279))),"--")</f>
        <v>1064.5833333333333</v>
      </c>
      <c r="N279" s="491">
        <f>IFERROR(VLOOKUP($D279,$Y$9:$AB$9,4,FALSE)*IF($D279="Inhalation",IF($J279="Central Tendency",SUMIFS('Inhalation Exposure'!$S$5:$S$164,'Inhalation Exposure'!$B$5:$B$164,$B279,'Inhalation Exposure'!$D$5:$D$164,$C279),SUMIFS('Inhalation Exposure'!$R$5:$R$164,'Inhalation Exposure'!$B$5:$B$164,$B279,'Inhalation Exposure'!$D$5:$D$164,$C279))),"--")</f>
        <v>3.6585879873551102E-6</v>
      </c>
    </row>
    <row r="280" spans="2:14" ht="15" thickBot="1" x14ac:dyDescent="0.4">
      <c r="B280" s="203" t="s">
        <v>219</v>
      </c>
      <c r="C280" s="299" t="s">
        <v>64</v>
      </c>
      <c r="D280" s="204" t="s">
        <v>122</v>
      </c>
      <c r="E280" s="498"/>
      <c r="F280" s="498"/>
      <c r="G280" s="500"/>
      <c r="H280" s="503"/>
      <c r="I280" s="503"/>
      <c r="J280" s="511"/>
      <c r="K280" s="425"/>
      <c r="L280" s="497"/>
      <c r="M280" s="492"/>
      <c r="N280" s="492"/>
    </row>
    <row r="281" spans="2:14" ht="15" thickBot="1" x14ac:dyDescent="0.4">
      <c r="B281" s="203" t="s">
        <v>220</v>
      </c>
      <c r="C281" s="299" t="s">
        <v>64</v>
      </c>
      <c r="D281" s="204" t="s">
        <v>122</v>
      </c>
      <c r="E281" s="498"/>
      <c r="F281" s="498"/>
      <c r="G281" s="500"/>
      <c r="H281" s="506" t="s">
        <v>159</v>
      </c>
      <c r="I281" s="506" t="s">
        <v>163</v>
      </c>
      <c r="J281" s="510" t="s">
        <v>69</v>
      </c>
      <c r="K281" s="493" t="str">
        <f>IFERROR(VLOOKUP($D245,$Y$9:$AB$10,2,FALSE)/IF($D245="Inhalation",IF($J281="Central Tendency",SUMIFS(#REF!,#REF!,$B241,#REF!,$C245),SUMIFS(#REF!,#REF!,$B241,#REF!,$C245))),"--")</f>
        <v>--</v>
      </c>
      <c r="L281" s="491">
        <f>IFERROR(VLOOKUP($D281,$Y$9:$AB$9,2,FALSE)/IF($D281="Inhalation",IF($J281="Central Tendency",SUMIFS('Inhalation Exposure'!$O$5:$O$164,'Inhalation Exposure'!$B$5:$B$164,$B281,'Inhalation Exposure'!$D$5:$D$164,$C281),SUMIFS('Inhalation Exposure'!$N$5:$N$164,'Inhalation Exposure'!$B$5:$B$164,$B281,'Inhalation Exposure'!$D$5:$D$164,$C281))),"--")</f>
        <v>87.918660287081323</v>
      </c>
      <c r="M281" s="491">
        <f>IFERROR(VLOOKUP($D281,$Y$9:$AB$9,3,FALSE)/IF($D281="Inhalation",IF($J281="Central Tendency",SUMIFS('Inhalation Exposure'!$Q$5:$Q$164,'Inhalation Exposure'!$B$5:$B$164,$B281,'Inhalation Exposure'!$D$5:$D$164,$C281),SUMIFS('Inhalation Exposure'!$P$5:$P$164,'Inhalation Exposure'!$B$5:$B$164,$B281,'Inhalation Exposure'!$D$5:$D$164,$C281))),"--")</f>
        <v>140.91553734635991</v>
      </c>
      <c r="N281" s="491">
        <f>IFERROR(VLOOKUP($D281,$Y$9:$AB$9,4,FALSE)*IF($D281="Inhalation",IF($J281="Central Tendency",SUMIFS('Inhalation Exposure'!$S$5:$S$164,'Inhalation Exposure'!$B$5:$B$164,$B281,'Inhalation Exposure'!$D$5:$D$164,$C281),SUMIFS('Inhalation Exposure'!$R$5:$R$164,'Inhalation Exposure'!$B$5:$B$164,$B281,'Inhalation Exposure'!$D$5:$D$164,$C281))),"--")</f>
        <v>2.1420814892869683E-5</v>
      </c>
    </row>
    <row r="282" spans="2:14" ht="15" thickBot="1" x14ac:dyDescent="0.4">
      <c r="B282" s="203" t="s">
        <v>220</v>
      </c>
      <c r="C282" s="299" t="s">
        <v>64</v>
      </c>
      <c r="D282" s="204" t="s">
        <v>122</v>
      </c>
      <c r="E282" s="498"/>
      <c r="F282" s="498"/>
      <c r="G282" s="500"/>
      <c r="H282" s="502"/>
      <c r="I282" s="502"/>
      <c r="J282" s="513"/>
      <c r="K282" s="495"/>
      <c r="L282" s="492"/>
      <c r="M282" s="492"/>
      <c r="N282" s="492"/>
    </row>
    <row r="283" spans="2:14" ht="15" thickBot="1" x14ac:dyDescent="0.4">
      <c r="B283" s="203" t="s">
        <v>220</v>
      </c>
      <c r="C283" s="299" t="s">
        <v>64</v>
      </c>
      <c r="D283" s="204" t="s">
        <v>122</v>
      </c>
      <c r="E283" s="498"/>
      <c r="F283" s="498"/>
      <c r="G283" s="500"/>
      <c r="H283" s="502"/>
      <c r="I283" s="502"/>
      <c r="J283" s="510" t="s">
        <v>128</v>
      </c>
      <c r="K283" s="493" t="str">
        <f>IFERROR(VLOOKUP($D247,$Y$9:$AB$10,2,FALSE)/IF($D247="Inhalation",IF($J283="Central Tendency",SUMIFS(#REF!,#REF!,$B243,#REF!,$C247),SUMIFS(#REF!,#REF!,$B243,#REF!,$C247))),"--")</f>
        <v>--</v>
      </c>
      <c r="L283" s="491">
        <f>IFERROR(VLOOKUP($D283,$Y$9:$AB$9,2,FALSE)/IF($D283="Inhalation",IF($J283="Central Tendency",SUMIFS('Inhalation Exposure'!$O$5:$O$164,'Inhalation Exposure'!$B$5:$B$164,$B283,'Inhalation Exposure'!$D$5:$D$164,$C283),SUMIFS('Inhalation Exposure'!$N$5:$N$164,'Inhalation Exposure'!$B$5:$B$164,$B283,'Inhalation Exposure'!$D$5:$D$164,$C283))),"--")</f>
        <v>9.1783216783216783</v>
      </c>
      <c r="M283" s="491">
        <f>IFERROR(VLOOKUP($D283,$Y$9:$AB$9,3,FALSE)/IF($D283="Inhalation",IF($J283="Central Tendency",SUMIFS('Inhalation Exposure'!$Q$5:$Q$164,'Inhalation Exposure'!$B$5:$B$164,$B283,'Inhalation Exposure'!$D$5:$D$164,$C283),SUMIFS('Inhalation Exposure'!$P$5:$P$164,'Inhalation Exposure'!$B$5:$B$164,$B283,'Inhalation Exposure'!$D$5:$D$164,$C283))),"--")</f>
        <v>14.710962690004607</v>
      </c>
      <c r="N283" s="491">
        <f>IFERROR(VLOOKUP($D283,$Y$9:$AB$9,4,FALSE)*IF($D283="Inhalation",IF($J283="Central Tendency",SUMIFS('Inhalation Exposure'!$S$5:$S$164,'Inhalation Exposure'!$B$5:$B$164,$B283,'Inhalation Exposure'!$D$5:$D$164,$C283),SUMIFS('Inhalation Exposure'!$R$5:$R$164,'Inhalation Exposure'!$B$5:$B$164,$B283,'Inhalation Exposure'!$D$5:$D$164,$C283))),"--")</f>
        <v>2.6475981735159818E-4</v>
      </c>
    </row>
    <row r="284" spans="2:14" ht="15" thickBot="1" x14ac:dyDescent="0.4">
      <c r="B284" s="203" t="s">
        <v>220</v>
      </c>
      <c r="C284" s="299" t="s">
        <v>64</v>
      </c>
      <c r="D284" s="204" t="s">
        <v>122</v>
      </c>
      <c r="E284" s="498"/>
      <c r="F284" s="498"/>
      <c r="G284" s="500"/>
      <c r="H284" s="503"/>
      <c r="I284" s="503"/>
      <c r="J284" s="511"/>
      <c r="K284" s="495"/>
      <c r="L284" s="497"/>
      <c r="M284" s="492"/>
      <c r="N284" s="492"/>
    </row>
    <row r="285" spans="2:14" ht="15.5" thickTop="1" thickBot="1" x14ac:dyDescent="0.4">
      <c r="B285" s="203" t="s">
        <v>221</v>
      </c>
      <c r="C285" s="299" t="s">
        <v>68</v>
      </c>
      <c r="D285" s="204" t="s">
        <v>122</v>
      </c>
      <c r="E285" s="498"/>
      <c r="F285" s="498"/>
      <c r="G285" s="500"/>
      <c r="H285" s="504" t="s">
        <v>68</v>
      </c>
      <c r="I285" s="506" t="s">
        <v>163</v>
      </c>
      <c r="J285" s="510" t="s">
        <v>69</v>
      </c>
      <c r="K285" s="493" t="str">
        <f>IFERROR(VLOOKUP($D249,$Y$9:$AB$10,2,FALSE)/IF($D249="Inhalation",IF($J285="Central Tendency",SUMIFS(#REF!,#REF!,$B245,#REF!,$C249),SUMIFS(#REF!,#REF!,$B245,#REF!,$C249))),"--")</f>
        <v>--</v>
      </c>
      <c r="L285" s="496">
        <f>IFERROR(VLOOKUP($D285,$Y$9:$AB$9,2,FALSE)/IF($D285="Inhalation",IF($J285="Central Tendency",SUMIFS('Inhalation Exposure'!$O$5:$O$164,'Inhalation Exposure'!$B$5:$B$164,$B285,'Inhalation Exposure'!$D$5:$D$164,$C285),SUMIFS('Inhalation Exposure'!$N$5:$N$164,'Inhalation Exposure'!$B$5:$B$164,$B285,'Inhalation Exposure'!$D$5:$D$164,$C285))),"--")</f>
        <v>417.61363636363632</v>
      </c>
      <c r="M285" s="491">
        <f>IFERROR(VLOOKUP($D285,$Y$9:$AB$9,3,FALSE)/IF($D285="Inhalation",IF($J285="Central Tendency",SUMIFS('Inhalation Exposure'!$Q$5:$Q$164,'Inhalation Exposure'!$B$5:$B$164,$B285,'Inhalation Exposure'!$D$5:$D$164,$C285),SUMIFS('Inhalation Exposure'!$P$5:$P$164,'Inhalation Exposure'!$B$5:$B$164,$B285,'Inhalation Exposure'!$D$5:$D$164,$C285))),"--")</f>
        <v>669.34880239520953</v>
      </c>
      <c r="N285" s="491">
        <f>IFERROR(VLOOKUP($D285,$Y$9:$AB$9,4,FALSE)*IF($D285="Inhalation",IF($J285="Central Tendency",SUMIFS('Inhalation Exposure'!$S$5:$S$164,'Inhalation Exposure'!$B$5:$B$164,$B285,'Inhalation Exposure'!$D$5:$D$164,$C285),SUMIFS('Inhalation Exposure'!$R$5:$R$164,'Inhalation Exposure'!$B$5:$B$164,$B285,'Inhalation Exposure'!$D$5:$D$164,$C285))),"--")</f>
        <v>4.5096452406041452E-6</v>
      </c>
    </row>
    <row r="286" spans="2:14" ht="15" thickBot="1" x14ac:dyDescent="0.4">
      <c r="B286" s="203" t="s">
        <v>221</v>
      </c>
      <c r="C286" s="299" t="s">
        <v>68</v>
      </c>
      <c r="D286" s="204" t="s">
        <v>122</v>
      </c>
      <c r="E286" s="498"/>
      <c r="F286" s="498"/>
      <c r="G286" s="500"/>
      <c r="H286" s="502"/>
      <c r="I286" s="502"/>
      <c r="J286" s="513"/>
      <c r="K286" s="495"/>
      <c r="L286" s="492"/>
      <c r="M286" s="492"/>
      <c r="N286" s="492"/>
    </row>
    <row r="287" spans="2:14" ht="15" thickBot="1" x14ac:dyDescent="0.4">
      <c r="B287" s="203" t="s">
        <v>221</v>
      </c>
      <c r="C287" s="299" t="s">
        <v>68</v>
      </c>
      <c r="D287" s="204" t="s">
        <v>122</v>
      </c>
      <c r="E287" s="498"/>
      <c r="F287" s="498"/>
      <c r="G287" s="500"/>
      <c r="H287" s="502"/>
      <c r="I287" s="502"/>
      <c r="J287" s="510" t="s">
        <v>128</v>
      </c>
      <c r="K287" s="493" t="str">
        <f>IFERROR(VLOOKUP($D251,$Y$9:$AB$10,2,FALSE)/IF($D251="Inhalation",IF($J287="Central Tendency",SUMIFS(#REF!,#REF!,$B247,#REF!,$C251),SUMIFS(#REF!,#REF!,$B247,#REF!,$C251))),"--")</f>
        <v>--</v>
      </c>
      <c r="L287" s="491">
        <f>IFERROR(VLOOKUP($D287,$Y$9:$AB$9,2,FALSE)/IF($D287="Inhalation",IF($J287="Central Tendency",SUMIFS('Inhalation Exposure'!$O$5:$O$164,'Inhalation Exposure'!$B$5:$B$164,$B287,'Inhalation Exposure'!$D$5:$D$164,$C287),SUMIFS('Inhalation Exposure'!$N$5:$N$164,'Inhalation Exposure'!$B$5:$B$164,$B287,'Inhalation Exposure'!$D$5:$D$164,$C287))),"--")</f>
        <v>196.524064171123</v>
      </c>
      <c r="M287" s="491">
        <f>IFERROR(VLOOKUP($D287,$Y$9:$AB$9,3,FALSE)/IF($D287="Inhalation",IF($J287="Central Tendency",SUMIFS('Inhalation Exposure'!$Q$5:$Q$164,'Inhalation Exposure'!$B$5:$B$164,$B287,'Inhalation Exposure'!$D$5:$D$164,$C287),SUMIFS('Inhalation Exposure'!$P$5:$P$164,'Inhalation Exposure'!$B$5:$B$164,$B287,'Inhalation Exposure'!$D$5:$D$164,$C287))),"--")</f>
        <v>314.98767171539265</v>
      </c>
      <c r="N287" s="491">
        <f>IFERROR(VLOOKUP($D287,$Y$9:$AB$9,4,FALSE)*IF($D287="Inhalation",IF($J287="Central Tendency",SUMIFS('Inhalation Exposure'!$S$5:$S$164,'Inhalation Exposure'!$B$5:$B$164,$B287,'Inhalation Exposure'!$D$5:$D$164,$C287),SUMIFS('Inhalation Exposure'!$R$5:$R$164,'Inhalation Exposure'!$B$5:$B$164,$B287,'Inhalation Exposure'!$D$5:$D$164,$C287))),"--")</f>
        <v>1.2365156304882334E-5</v>
      </c>
    </row>
    <row r="288" spans="2:14" ht="15" thickBot="1" x14ac:dyDescent="0.4">
      <c r="B288" s="203" t="s">
        <v>221</v>
      </c>
      <c r="C288" s="299" t="s">
        <v>68</v>
      </c>
      <c r="D288" s="204" t="s">
        <v>122</v>
      </c>
      <c r="E288" s="499"/>
      <c r="F288" s="499"/>
      <c r="G288" s="501"/>
      <c r="H288" s="505"/>
      <c r="I288" s="505"/>
      <c r="J288" s="513"/>
      <c r="K288" s="507"/>
      <c r="L288" s="497"/>
      <c r="M288" s="492"/>
      <c r="N288" s="492"/>
    </row>
    <row r="289" spans="2:14" ht="15" thickBot="1" x14ac:dyDescent="0.4">
      <c r="B289" s="203" t="s">
        <v>222</v>
      </c>
      <c r="C289" s="204" t="s">
        <v>64</v>
      </c>
      <c r="D289" s="204" t="s">
        <v>122</v>
      </c>
      <c r="E289" s="508" t="s">
        <v>223</v>
      </c>
      <c r="F289" s="508" t="s">
        <v>224</v>
      </c>
      <c r="G289" s="509" t="s">
        <v>225</v>
      </c>
      <c r="H289" s="506" t="s">
        <v>126</v>
      </c>
      <c r="I289" s="506" t="s">
        <v>101</v>
      </c>
      <c r="J289" s="510" t="s">
        <v>69</v>
      </c>
      <c r="K289" s="493" t="str">
        <f>IFERROR(VLOOKUP($D289,$Y$9:$AB$10,2,FALSE)/IF($D289="Inhalation",IF($J289="Central Tendency",SUMIFS(#REF!,#REF!,$B289,#REF!,$C289),SUMIFS(#REF!,#REF!,$B289,#REF!,$C289))),"--")</f>
        <v>--</v>
      </c>
      <c r="L289" s="491">
        <f>IFERROR(VLOOKUP($D289,$Y$9:$AB$9,2,FALSE)/IF($D289="Inhalation",IF($J289="Central Tendency",SUMIFS('Inhalation Exposure'!$O$5:$O$164,'Inhalation Exposure'!$B$5:$B$164,$B289,'Inhalation Exposure'!$D$5:$D$164,$C289),SUMIFS('Inhalation Exposure'!$N$5:$N$164,'Inhalation Exposure'!$B$5:$B$164,$B289,'Inhalation Exposure'!$D$5:$D$164,$C289))),"--")</f>
        <v>200.45454545454544</v>
      </c>
      <c r="M289" s="491">
        <f>IFERROR(VLOOKUP($D289,$Y$9:$AB$9,3,FALSE)/IF($D289="Inhalation",IF($J289="Central Tendency",SUMIFS('Inhalation Exposure'!$Q$5:$Q$164,'Inhalation Exposure'!$B$5:$B$164,$B289,'Inhalation Exposure'!$D$5:$D$164,$C289),SUMIFS('Inhalation Exposure'!$P$5:$P$164,'Inhalation Exposure'!$B$5:$B$164,$B289,'Inhalation Exposure'!$D$5:$D$164,$C289))),"--")</f>
        <v>206.36538461538461</v>
      </c>
      <c r="N289" s="491">
        <f>IFERROR(VLOOKUP($D289,$Y$9:$AB$9,4,FALSE)*IF($D289="Inhalation",IF($J289="Central Tendency",SUMIFS('Inhalation Exposure'!$S$5:$S$164,'Inhalation Exposure'!$B$5:$B$164,$B289,'Inhalation Exposure'!$D$5:$D$164,$C289),SUMIFS('Inhalation Exposure'!$R$5:$R$164,'Inhalation Exposure'!$B$5:$B$164,$B289,'Inhalation Exposure'!$D$5:$D$164,$C289))),"--")</f>
        <v>1.4627092846270928E-5</v>
      </c>
    </row>
    <row r="290" spans="2:14" ht="15" thickBot="1" x14ac:dyDescent="0.4">
      <c r="B290" s="203" t="s">
        <v>222</v>
      </c>
      <c r="C290" s="204" t="s">
        <v>64</v>
      </c>
      <c r="D290" s="204" t="s">
        <v>122</v>
      </c>
      <c r="E290" s="498"/>
      <c r="F290" s="498"/>
      <c r="G290" s="500"/>
      <c r="H290" s="502"/>
      <c r="I290" s="502"/>
      <c r="J290" s="513"/>
      <c r="K290" s="495"/>
      <c r="L290" s="492"/>
      <c r="M290" s="492"/>
      <c r="N290" s="492"/>
    </row>
    <row r="291" spans="2:14" ht="15" thickBot="1" x14ac:dyDescent="0.4">
      <c r="B291" s="203" t="s">
        <v>222</v>
      </c>
      <c r="C291" s="204" t="s">
        <v>64</v>
      </c>
      <c r="D291" s="204" t="s">
        <v>122</v>
      </c>
      <c r="E291" s="498"/>
      <c r="F291" s="498"/>
      <c r="G291" s="500"/>
      <c r="H291" s="502"/>
      <c r="I291" s="502"/>
      <c r="J291" s="510" t="s">
        <v>128</v>
      </c>
      <c r="K291" s="493" t="str">
        <f>IFERROR(VLOOKUP($D291,$Y$9:$AB$10,2,FALSE)/IF($D291="Inhalation",IF($J291="Central Tendency",SUMIFS(#REF!,#REF!,$B291,#REF!,$C291),SUMIFS(#REF!,#REF!,$B291,#REF!,$C291))),"--")</f>
        <v>--</v>
      </c>
      <c r="L291" s="491">
        <f>IFERROR(VLOOKUP($D291,$Y$9:$AB$9,2,FALSE)/IF($D291="Inhalation",IF($J291="Central Tendency",SUMIFS('Inhalation Exposure'!$O$5:$O$164,'Inhalation Exposure'!$B$5:$B$164,$B291,'Inhalation Exposure'!$D$5:$D$164,$C291),SUMIFS('Inhalation Exposure'!$N$5:$N$164,'Inhalation Exposure'!$B$5:$B$164,$B291,'Inhalation Exposure'!$D$5:$D$164,$C291))),"--")</f>
        <v>11.161166227981372</v>
      </c>
      <c r="M291" s="491">
        <f>IFERROR(VLOOKUP($D291,$Y$9:$AB$9,3,FALSE)/IF($D291="Inhalation",IF($J291="Central Tendency",SUMIFS('Inhalation Exposure'!$Q$5:$Q$164,'Inhalation Exposure'!$B$5:$B$164,$B291,'Inhalation Exposure'!$D$5:$D$164,$C291),SUMIFS('Inhalation Exposure'!$P$5:$P$164,'Inhalation Exposure'!$B$5:$B$164,$B291,'Inhalation Exposure'!$D$5:$D$164,$C291))),"--")</f>
        <v>11.490277539832105</v>
      </c>
      <c r="N291" s="491">
        <f>IFERROR(VLOOKUP($D291,$Y$9:$AB$9,4,FALSE)*IF($D291="Inhalation",IF($J291="Central Tendency",SUMIFS('Inhalation Exposure'!$S$5:$S$164,'Inhalation Exposure'!$B$5:$B$164,$B291,'Inhalation Exposure'!$D$5:$D$164,$C291),SUMIFS('Inhalation Exposure'!$R$5:$R$164,'Inhalation Exposure'!$B$5:$B$164,$B291,'Inhalation Exposure'!$D$5:$D$164,$C291))),"--")</f>
        <v>3.3897108066971085E-4</v>
      </c>
    </row>
    <row r="292" spans="2:14" ht="15" thickBot="1" x14ac:dyDescent="0.4">
      <c r="B292" s="203" t="s">
        <v>222</v>
      </c>
      <c r="C292" s="204" t="s">
        <v>64</v>
      </c>
      <c r="D292" s="204" t="s">
        <v>122</v>
      </c>
      <c r="E292" s="498"/>
      <c r="F292" s="498"/>
      <c r="G292" s="500"/>
      <c r="H292" s="503"/>
      <c r="I292" s="503"/>
      <c r="J292" s="511"/>
      <c r="K292" s="495"/>
      <c r="L292" s="497"/>
      <c r="M292" s="492"/>
      <c r="N292" s="492"/>
    </row>
    <row r="293" spans="2:14" ht="15.5" thickTop="1" thickBot="1" x14ac:dyDescent="0.4">
      <c r="B293" s="203" t="s">
        <v>226</v>
      </c>
      <c r="C293" s="204" t="s">
        <v>64</v>
      </c>
      <c r="D293" s="204" t="s">
        <v>122</v>
      </c>
      <c r="E293" s="498"/>
      <c r="F293" s="498"/>
      <c r="G293" s="500"/>
      <c r="H293" s="506" t="s">
        <v>130</v>
      </c>
      <c r="I293" s="506" t="s">
        <v>101</v>
      </c>
      <c r="J293" s="510" t="s">
        <v>69</v>
      </c>
      <c r="K293" s="425"/>
      <c r="L293" s="496">
        <f>IFERROR(VLOOKUP($D293,$Y$9:$AB$9,2,FALSE)/IF($D293="Inhalation",IF($J293="Central Tendency",SUMIFS('Inhalation Exposure'!$O$5:$O$164,'Inhalation Exposure'!$B$5:$B$164,$B293,'Inhalation Exposure'!$D$5:$D$164,$C293),SUMIFS('Inhalation Exposure'!$N$5:$N$164,'Inhalation Exposure'!$B$5:$B$164,$B293,'Inhalation Exposure'!$D$5:$D$164,$C293))),"--")</f>
        <v>59.594594594594589</v>
      </c>
      <c r="M293" s="491">
        <f>IFERROR(VLOOKUP($D293,$Y$9:$AB$9,3,FALSE)/IF($D293="Inhalation",IF($J293="Central Tendency",SUMIFS('Inhalation Exposure'!$Q$5:$Q$164,'Inhalation Exposure'!$B$5:$B$164,$B293,'Inhalation Exposure'!$D$5:$D$164,$C293),SUMIFS('Inhalation Exposure'!$P$5:$P$164,'Inhalation Exposure'!$B$5:$B$164,$B293,'Inhalation Exposure'!$D$5:$D$164,$C293))),"--")</f>
        <v>725.06756756756749</v>
      </c>
      <c r="N293" s="491">
        <f>IFERROR(VLOOKUP($D293,$Y$9:$AB$9,4,FALSE)*IF($D293="Inhalation",IF($J293="Central Tendency",SUMIFS('Inhalation Exposure'!$S$5:$S$164,'Inhalation Exposure'!$B$5:$B$164,$B293,'Inhalation Exposure'!$D$5:$D$164,$C293),SUMIFS('Inhalation Exposure'!$R$5:$R$164,'Inhalation Exposure'!$B$5:$B$164,$B293,'Inhalation Exposure'!$D$5:$D$164,$C293))),"--")</f>
        <v>4.1630956562463412E-6</v>
      </c>
    </row>
    <row r="294" spans="2:14" ht="15" thickBot="1" x14ac:dyDescent="0.4">
      <c r="B294" s="203" t="s">
        <v>226</v>
      </c>
      <c r="C294" s="204" t="s">
        <v>64</v>
      </c>
      <c r="D294" s="204" t="s">
        <v>122</v>
      </c>
      <c r="E294" s="498"/>
      <c r="F294" s="498"/>
      <c r="G294" s="500"/>
      <c r="H294" s="502"/>
      <c r="I294" s="502"/>
      <c r="J294" s="513"/>
      <c r="K294" s="425"/>
      <c r="L294" s="492"/>
      <c r="M294" s="492"/>
      <c r="N294" s="492"/>
    </row>
    <row r="295" spans="2:14" ht="15" thickBot="1" x14ac:dyDescent="0.4">
      <c r="B295" s="203" t="s">
        <v>226</v>
      </c>
      <c r="C295" s="204" t="s">
        <v>64</v>
      </c>
      <c r="D295" s="204" t="s">
        <v>122</v>
      </c>
      <c r="E295" s="498"/>
      <c r="F295" s="498"/>
      <c r="G295" s="500"/>
      <c r="H295" s="502"/>
      <c r="I295" s="502"/>
      <c r="J295" s="510" t="s">
        <v>128</v>
      </c>
      <c r="K295" s="425"/>
      <c r="L295" s="491">
        <f>IFERROR(VLOOKUP($D295,$Y$9:$AB$9,2,FALSE)/IF($D295="Inhalation",IF($J295="Central Tendency",SUMIFS('Inhalation Exposure'!$O$5:$O$164,'Inhalation Exposure'!$B$5:$B$164,$B295,'Inhalation Exposure'!$D$5:$D$164,$C295),SUMIFS('Inhalation Exposure'!$N$5:$N$164,'Inhalation Exposure'!$B$5:$B$164,$B295,'Inhalation Exposure'!$D$5:$D$164,$C295))),"--")</f>
        <v>28.125</v>
      </c>
      <c r="M295" s="491">
        <f>IFERROR(VLOOKUP($D295,$Y$9:$AB$9,3,FALSE)/IF($D295="Inhalation",IF($J295="Central Tendency",SUMIFS('Inhalation Exposure'!$Q$5:$Q$164,'Inhalation Exposure'!$B$5:$B$164,$B295,'Inhalation Exposure'!$D$5:$D$164,$C295),SUMIFS('Inhalation Exposure'!$P$5:$P$164,'Inhalation Exposure'!$B$5:$B$164,$B295,'Inhalation Exposure'!$D$5:$D$164,$C295))),"--")</f>
        <v>342.18749999999994</v>
      </c>
      <c r="N295" s="491">
        <f>IFERROR(VLOOKUP($D295,$Y$9:$AB$9,4,FALSE)*IF($D295="Inhalation",IF($J295="Central Tendency",SUMIFS('Inhalation Exposure'!$S$5:$S$164,'Inhalation Exposure'!$B$5:$B$164,$B295,'Inhalation Exposure'!$D$5:$D$164,$C295),SUMIFS('Inhalation Exposure'!$R$5:$R$164,'Inhalation Exposure'!$B$5:$B$164,$B295,'Inhalation Exposure'!$D$5:$D$164,$C295))),"--")</f>
        <v>1.1382273738438123E-5</v>
      </c>
    </row>
    <row r="296" spans="2:14" ht="15" thickBot="1" x14ac:dyDescent="0.4">
      <c r="B296" s="203" t="s">
        <v>226</v>
      </c>
      <c r="C296" s="204" t="s">
        <v>64</v>
      </c>
      <c r="D296" s="204" t="s">
        <v>122</v>
      </c>
      <c r="E296" s="498"/>
      <c r="F296" s="498"/>
      <c r="G296" s="500"/>
      <c r="H296" s="503"/>
      <c r="I296" s="503"/>
      <c r="J296" s="511"/>
      <c r="K296" s="425"/>
      <c r="L296" s="497"/>
      <c r="M296" s="492"/>
      <c r="N296" s="492"/>
    </row>
    <row r="297" spans="2:14" ht="15.5" thickTop="1" thickBot="1" x14ac:dyDescent="0.4">
      <c r="B297" s="203" t="s">
        <v>227</v>
      </c>
      <c r="C297" s="204" t="s">
        <v>64</v>
      </c>
      <c r="D297" s="204" t="s">
        <v>122</v>
      </c>
      <c r="E297" s="498"/>
      <c r="F297" s="498"/>
      <c r="G297" s="500"/>
      <c r="H297" s="504" t="s">
        <v>132</v>
      </c>
      <c r="I297" s="506" t="s">
        <v>101</v>
      </c>
      <c r="J297" s="510" t="s">
        <v>69</v>
      </c>
      <c r="K297" s="493" t="str">
        <f>IFERROR(VLOOKUP($D293,$Y$9:$AB$10,2,FALSE)/IF($D293="Inhalation",IF($J297="Central Tendency",SUMIFS(#REF!,#REF!,$B293,#REF!,$C293),SUMIFS(#REF!,#REF!,$B293,#REF!,$C293))),"--")</f>
        <v>--</v>
      </c>
      <c r="L297" s="491">
        <f>IFERROR(VLOOKUP($D297,$Y$9:$AB$9,2,FALSE)/IF($D297="Inhalation",IF($J297="Central Tendency",SUMIFS('Inhalation Exposure'!$O$5:$O$164,'Inhalation Exposure'!$B$5:$B$164,$B297,'Inhalation Exposure'!$D$5:$D$164,$C297),SUMIFS('Inhalation Exposure'!$N$5:$N$164,'Inhalation Exposure'!$B$5:$B$164,$B297,'Inhalation Exposure'!$D$5:$D$164,$C297))),"--")</f>
        <v>250.56818181818181</v>
      </c>
      <c r="M297" s="491">
        <f>IFERROR(VLOOKUP($D297,$Y$9:$AB$9,3,FALSE)/IF($D297="Inhalation",IF($J297="Central Tendency",SUMIFS('Inhalation Exposure'!$Q$5:$Q$164,'Inhalation Exposure'!$B$5:$B$164,$B297,'Inhalation Exposure'!$D$5:$D$164,$C297),SUMIFS('Inhalation Exposure'!$P$5:$P$164,'Inhalation Exposure'!$B$5:$B$164,$B297,'Inhalation Exposure'!$D$5:$D$164,$C297))),"--")</f>
        <v>257.95673076923072</v>
      </c>
      <c r="N297" s="491">
        <f>IFERROR(VLOOKUP($D297,$Y$9:$AB$9,4,FALSE)*IF($D297="Inhalation",IF($J297="Central Tendency",SUMIFS('Inhalation Exposure'!$S$5:$S$164,'Inhalation Exposure'!$B$5:$B$164,$B297,'Inhalation Exposure'!$D$5:$D$164,$C297),SUMIFS('Inhalation Exposure'!$R$5:$R$164,'Inhalation Exposure'!$B$5:$B$164,$B297,'Inhalation Exposure'!$D$5:$D$164,$C297))),"--")</f>
        <v>1.1701674277016744E-5</v>
      </c>
    </row>
    <row r="298" spans="2:14" ht="15" thickBot="1" x14ac:dyDescent="0.4">
      <c r="B298" s="203" t="s">
        <v>227</v>
      </c>
      <c r="C298" s="204" t="s">
        <v>64</v>
      </c>
      <c r="D298" s="204" t="s">
        <v>122</v>
      </c>
      <c r="E298" s="498"/>
      <c r="F298" s="498"/>
      <c r="G298" s="500"/>
      <c r="H298" s="502"/>
      <c r="I298" s="502"/>
      <c r="J298" s="513"/>
      <c r="K298" s="495"/>
      <c r="L298" s="492"/>
      <c r="M298" s="492"/>
      <c r="N298" s="492"/>
    </row>
    <row r="299" spans="2:14" ht="15" thickBot="1" x14ac:dyDescent="0.4">
      <c r="B299" s="203" t="s">
        <v>227</v>
      </c>
      <c r="C299" s="204" t="s">
        <v>64</v>
      </c>
      <c r="D299" s="204" t="s">
        <v>122</v>
      </c>
      <c r="E299" s="498"/>
      <c r="F299" s="498"/>
      <c r="G299" s="500"/>
      <c r="H299" s="502"/>
      <c r="I299" s="502"/>
      <c r="J299" s="510" t="s">
        <v>128</v>
      </c>
      <c r="K299" s="493" t="str">
        <f>IFERROR(VLOOKUP($D295,$Y$9:$AB$10,2,FALSE)/IF($D295="Inhalation",IF($J299="Central Tendency",SUMIFS(#REF!,#REF!,$B295,#REF!,$C295),SUMIFS(#REF!,#REF!,$B295,#REF!,$C295))),"--")</f>
        <v>--</v>
      </c>
      <c r="L299" s="491">
        <f>IFERROR(VLOOKUP($D299,$Y$9:$AB$9,2,FALSE)/IF($D299="Inhalation",IF($J299="Central Tendency",SUMIFS('Inhalation Exposure'!$O$5:$O$164,'Inhalation Exposure'!$B$5:$B$164,$B299,'Inhalation Exposure'!$D$5:$D$164,$C299),SUMIFS('Inhalation Exposure'!$N$5:$N$164,'Inhalation Exposure'!$B$5:$B$164,$B299,'Inhalation Exposure'!$D$5:$D$164,$C299))),"--")</f>
        <v>31.321022727272727</v>
      </c>
      <c r="M299" s="491">
        <f>IFERROR(VLOOKUP($D299,$Y$9:$AB$9,3,FALSE)/IF($D299="Inhalation",IF($J299="Central Tendency",SUMIFS('Inhalation Exposure'!$Q$5:$Q$164,'Inhalation Exposure'!$B$5:$B$164,$B299,'Inhalation Exposure'!$D$5:$D$164,$C299),SUMIFS('Inhalation Exposure'!$P$5:$P$164,'Inhalation Exposure'!$B$5:$B$164,$B299,'Inhalation Exposure'!$D$5:$D$164,$C299))),"--")</f>
        <v>32.244591346153847</v>
      </c>
      <c r="N299" s="491">
        <f>IFERROR(VLOOKUP($D299,$Y$9:$AB$9,4,FALSE)*IF($D299="Inhalation",IF($J299="Central Tendency",SUMIFS('Inhalation Exposure'!$S$5:$S$164,'Inhalation Exposure'!$B$5:$B$164,$B299,'Inhalation Exposure'!$D$5:$D$164,$C299),SUMIFS('Inhalation Exposure'!$R$5:$R$164,'Inhalation Exposure'!$B$5:$B$164,$B299,'Inhalation Exposure'!$D$5:$D$164,$C299))),"--")</f>
        <v>1.2079147640791478E-4</v>
      </c>
    </row>
    <row r="300" spans="2:14" ht="15" thickBot="1" x14ac:dyDescent="0.4">
      <c r="B300" s="203" t="s">
        <v>227</v>
      </c>
      <c r="C300" s="204" t="s">
        <v>64</v>
      </c>
      <c r="D300" s="204" t="s">
        <v>122</v>
      </c>
      <c r="E300" s="498"/>
      <c r="F300" s="498"/>
      <c r="G300" s="500"/>
      <c r="H300" s="503"/>
      <c r="I300" s="503"/>
      <c r="J300" s="511"/>
      <c r="K300" s="495"/>
      <c r="L300" s="497"/>
      <c r="M300" s="492"/>
      <c r="N300" s="492"/>
    </row>
    <row r="301" spans="2:14" ht="15.5" thickTop="1" thickBot="1" x14ac:dyDescent="0.4">
      <c r="B301" s="203" t="s">
        <v>228</v>
      </c>
      <c r="C301" s="204" t="s">
        <v>64</v>
      </c>
      <c r="D301" s="204" t="s">
        <v>122</v>
      </c>
      <c r="E301" s="498"/>
      <c r="F301" s="498"/>
      <c r="G301" s="500"/>
      <c r="H301" s="504" t="s">
        <v>134</v>
      </c>
      <c r="I301" s="506" t="s">
        <v>101</v>
      </c>
      <c r="J301" s="510" t="s">
        <v>69</v>
      </c>
      <c r="K301" s="425"/>
      <c r="L301" s="496">
        <f>IFERROR(VLOOKUP($D301,$Y$9:$AB$9,2,FALSE)/IF($D301="Inhalation",IF($J301="Central Tendency",SUMIFS('Inhalation Exposure'!$O$5:$O$164,'Inhalation Exposure'!$B$5:$B$164,$B301,'Inhalation Exposure'!$D$5:$D$164,$C301),SUMIFS('Inhalation Exposure'!$N$5:$N$164,'Inhalation Exposure'!$B$5:$B$164,$B301,'Inhalation Exposure'!$D$5:$D$164,$C301))),"--")</f>
        <v>490.00000000000006</v>
      </c>
      <c r="M301" s="491">
        <f>IFERROR(VLOOKUP($D301,$Y$9:$AB$9,3,FALSE)/IF($D301="Inhalation",IF($J301="Central Tendency",SUMIFS('Inhalation Exposure'!$Q$5:$Q$164,'Inhalation Exposure'!$B$5:$B$164,$B301,'Inhalation Exposure'!$D$5:$D$164,$C301),SUMIFS('Inhalation Exposure'!$P$5:$P$164,'Inhalation Exposure'!$B$5:$B$164,$B301,'Inhalation Exposure'!$D$5:$D$164,$C301))),"--")</f>
        <v>2063.6538461538457</v>
      </c>
      <c r="N301" s="491">
        <f>IFERROR(VLOOKUP($D301,$Y$9:$AB$9,4,FALSE)*IF($D301="Inhalation",IF($J301="Central Tendency",SUMIFS('Inhalation Exposure'!$S$5:$S$164,'Inhalation Exposure'!$B$5:$B$164,$B301,'Inhalation Exposure'!$D$5:$D$164,$C301),SUMIFS('Inhalation Exposure'!$R$5:$R$164,'Inhalation Exposure'!$B$5:$B$164,$B301,'Inhalation Exposure'!$D$5:$D$164,$C301))),"--")</f>
        <v>1.462709284627093E-6</v>
      </c>
    </row>
    <row r="302" spans="2:14" ht="15" thickBot="1" x14ac:dyDescent="0.4">
      <c r="B302" s="203" t="s">
        <v>228</v>
      </c>
      <c r="C302" s="204" t="s">
        <v>64</v>
      </c>
      <c r="D302" s="204" t="s">
        <v>122</v>
      </c>
      <c r="E302" s="498"/>
      <c r="F302" s="498"/>
      <c r="G302" s="500"/>
      <c r="H302" s="502"/>
      <c r="I302" s="502"/>
      <c r="J302" s="513"/>
      <c r="K302" s="425"/>
      <c r="L302" s="492"/>
      <c r="M302" s="492"/>
      <c r="N302" s="492"/>
    </row>
    <row r="303" spans="2:14" ht="15" thickBot="1" x14ac:dyDescent="0.4">
      <c r="B303" s="203" t="s">
        <v>228</v>
      </c>
      <c r="C303" s="204" t="s">
        <v>64</v>
      </c>
      <c r="D303" s="204" t="s">
        <v>122</v>
      </c>
      <c r="E303" s="498"/>
      <c r="F303" s="498"/>
      <c r="G303" s="500"/>
      <c r="H303" s="502"/>
      <c r="I303" s="502"/>
      <c r="J303" s="510" t="s">
        <v>128</v>
      </c>
      <c r="K303" s="425"/>
      <c r="L303" s="491">
        <f>IFERROR(VLOOKUP($D303,$Y$9:$AB$9,2,FALSE)/IF($D303="Inhalation",IF($J303="Central Tendency",SUMIFS('Inhalation Exposure'!$O$5:$O$164,'Inhalation Exposure'!$B$5:$B$164,$B303,'Inhalation Exposure'!$D$5:$D$164,$C303),SUMIFS('Inhalation Exposure'!$N$5:$N$164,'Inhalation Exposure'!$B$5:$B$164,$B303,'Inhalation Exposure'!$D$5:$D$164,$C303))),"--")</f>
        <v>245.00000000000003</v>
      </c>
      <c r="M303" s="491">
        <f>IFERROR(VLOOKUP($D303,$Y$9:$AB$9,3,FALSE)/IF($D303="Inhalation",IF($J303="Central Tendency",SUMIFS('Inhalation Exposure'!$Q$5:$Q$164,'Inhalation Exposure'!$B$5:$B$164,$B303,'Inhalation Exposure'!$D$5:$D$164,$C303),SUMIFS('Inhalation Exposure'!$P$5:$P$164,'Inhalation Exposure'!$B$5:$B$164,$B303,'Inhalation Exposure'!$D$5:$D$164,$C303))),"--")</f>
        <v>1073.1000000000001</v>
      </c>
      <c r="N303" s="491">
        <f>IFERROR(VLOOKUP($D303,$Y$9:$AB$9,4,FALSE)*IF($D303="Inhalation",IF($J303="Central Tendency",SUMIFS('Inhalation Exposure'!$S$5:$S$164,'Inhalation Exposure'!$B$5:$B$164,$B303,'Inhalation Exposure'!$D$5:$D$164,$C303),SUMIFS('Inhalation Exposure'!$R$5:$R$164,'Inhalation Exposure'!$B$5:$B$164,$B303,'Inhalation Exposure'!$D$5:$D$164,$C303))),"--")</f>
        <v>3.6295515747570542E-6</v>
      </c>
    </row>
    <row r="304" spans="2:14" ht="15" thickBot="1" x14ac:dyDescent="0.4">
      <c r="B304" s="203" t="s">
        <v>228</v>
      </c>
      <c r="C304" s="204" t="s">
        <v>64</v>
      </c>
      <c r="D304" s="204" t="s">
        <v>122</v>
      </c>
      <c r="E304" s="498"/>
      <c r="F304" s="498"/>
      <c r="G304" s="500"/>
      <c r="H304" s="503"/>
      <c r="I304" s="503"/>
      <c r="J304" s="511"/>
      <c r="K304" s="425"/>
      <c r="L304" s="497"/>
      <c r="M304" s="492"/>
      <c r="N304" s="492"/>
    </row>
    <row r="305" spans="2:14" ht="15.5" thickTop="1" thickBot="1" x14ac:dyDescent="0.4">
      <c r="B305" s="203" t="s">
        <v>229</v>
      </c>
      <c r="C305" s="204" t="s">
        <v>64</v>
      </c>
      <c r="D305" s="204" t="s">
        <v>122</v>
      </c>
      <c r="E305" s="498"/>
      <c r="F305" s="498"/>
      <c r="G305" s="500"/>
      <c r="H305" s="504" t="s">
        <v>136</v>
      </c>
      <c r="I305" s="506" t="s">
        <v>101</v>
      </c>
      <c r="J305" s="510" t="s">
        <v>69</v>
      </c>
      <c r="K305" s="425"/>
      <c r="L305" s="491">
        <f>IFERROR(VLOOKUP($D305,$Y$9:$AB$9,2,FALSE)/IF($D305="Inhalation",IF($J305="Central Tendency",SUMIFS('Inhalation Exposure'!$O$5:$O$164,'Inhalation Exposure'!$B$5:$B$164,$B305,'Inhalation Exposure'!$D$5:$D$164,$C305),SUMIFS('Inhalation Exposure'!$N$5:$N$164,'Inhalation Exposure'!$B$5:$B$164,$B305,'Inhalation Exposure'!$D$5:$D$164,$C305))),"--")</f>
        <v>463.23529411764702</v>
      </c>
      <c r="M305" s="491">
        <f>IFERROR(VLOOKUP($D305,$Y$9:$AB$9,3,FALSE)/IF($D305="Inhalation",IF($J305="Central Tendency",SUMIFS('Inhalation Exposure'!$Q$5:$Q$164,'Inhalation Exposure'!$B$5:$B$164,$B305,'Inhalation Exposure'!$D$5:$D$164,$C305),SUMIFS('Inhalation Exposure'!$P$5:$P$164,'Inhalation Exposure'!$B$5:$B$164,$B305,'Inhalation Exposure'!$D$5:$D$164,$C305))),"--")</f>
        <v>5636.0294117647054</v>
      </c>
      <c r="N305" s="491">
        <f>IFERROR(VLOOKUP($D305,$Y$9:$AB$9,4,FALSE)*IF($D305="Inhalation",IF($J305="Central Tendency",SUMIFS('Inhalation Exposure'!$S$5:$S$164,'Inhalation Exposure'!$B$5:$B$164,$B305,'Inhalation Exposure'!$D$5:$D$164,$C305),SUMIFS('Inhalation Exposure'!$R$5:$R$164,'Inhalation Exposure'!$B$5:$B$164,$B305,'Inhalation Exposure'!$D$5:$D$164,$C305))),"--")</f>
        <v>5.3557663037115092E-7</v>
      </c>
    </row>
    <row r="306" spans="2:14" ht="15" thickBot="1" x14ac:dyDescent="0.4">
      <c r="B306" s="203" t="s">
        <v>229</v>
      </c>
      <c r="C306" s="204" t="s">
        <v>64</v>
      </c>
      <c r="D306" s="204" t="s">
        <v>122</v>
      </c>
      <c r="E306" s="498"/>
      <c r="F306" s="498"/>
      <c r="G306" s="500"/>
      <c r="H306" s="502"/>
      <c r="I306" s="502"/>
      <c r="J306" s="513"/>
      <c r="K306" s="425"/>
      <c r="L306" s="492"/>
      <c r="M306" s="492"/>
      <c r="N306" s="492"/>
    </row>
    <row r="307" spans="2:14" ht="15" thickBot="1" x14ac:dyDescent="0.4">
      <c r="B307" s="203" t="s">
        <v>229</v>
      </c>
      <c r="C307" s="204" t="s">
        <v>64</v>
      </c>
      <c r="D307" s="204" t="s">
        <v>122</v>
      </c>
      <c r="E307" s="498"/>
      <c r="F307" s="498"/>
      <c r="G307" s="500"/>
      <c r="H307" s="502"/>
      <c r="I307" s="502"/>
      <c r="J307" s="510" t="s">
        <v>128</v>
      </c>
      <c r="K307" s="425"/>
      <c r="L307" s="491">
        <f>IFERROR(VLOOKUP($D307,$Y$9:$AB$9,2,FALSE)/IF($D307="Inhalation",IF($J307="Central Tendency",SUMIFS('Inhalation Exposure'!$O$5:$O$164,'Inhalation Exposure'!$B$5:$B$164,$B307,'Inhalation Exposure'!$D$5:$D$164,$C307),SUMIFS('Inhalation Exposure'!$N$5:$N$164,'Inhalation Exposure'!$B$5:$B$164,$B307,'Inhalation Exposure'!$D$5:$D$164,$C307))),"--")</f>
        <v>56.654676258992801</v>
      </c>
      <c r="M307" s="491">
        <f>IFERROR(VLOOKUP($D307,$Y$9:$AB$9,3,FALSE)/IF($D307="Inhalation",IF($J307="Central Tendency",SUMIFS('Inhalation Exposure'!$Q$5:$Q$164,'Inhalation Exposure'!$B$5:$B$164,$B307,'Inhalation Exposure'!$D$5:$D$164,$C307),SUMIFS('Inhalation Exposure'!$P$5:$P$164,'Inhalation Exposure'!$B$5:$B$164,$B307,'Inhalation Exposure'!$D$5:$D$164,$C307))),"--")</f>
        <v>689.29856115107907</v>
      </c>
      <c r="N307" s="491">
        <f>IFERROR(VLOOKUP($D307,$Y$9:$AB$9,4,FALSE)*IF($D307="Inhalation",IF($J307="Central Tendency",SUMIFS('Inhalation Exposure'!$S$5:$S$164,'Inhalation Exposure'!$B$5:$B$164,$B307,'Inhalation Exposure'!$D$5:$D$164,$C307),SUMIFS('Inhalation Exposure'!$R$5:$R$164,'Inhalation Exposure'!$B$5:$B$164,$B307,'Inhalation Exposure'!$D$5:$D$164,$C307))),"--")</f>
        <v>5.6504858915817822E-6</v>
      </c>
    </row>
    <row r="308" spans="2:14" ht="15" thickBot="1" x14ac:dyDescent="0.4">
      <c r="B308" s="203" t="s">
        <v>229</v>
      </c>
      <c r="C308" s="204" t="s">
        <v>64</v>
      </c>
      <c r="D308" s="204" t="s">
        <v>122</v>
      </c>
      <c r="E308" s="498"/>
      <c r="F308" s="498"/>
      <c r="G308" s="500"/>
      <c r="H308" s="503"/>
      <c r="I308" s="503"/>
      <c r="J308" s="511"/>
      <c r="K308" s="425"/>
      <c r="L308" s="497"/>
      <c r="M308" s="492"/>
      <c r="N308" s="492"/>
    </row>
    <row r="309" spans="2:14" ht="15.5" thickTop="1" thickBot="1" x14ac:dyDescent="0.4">
      <c r="B309" s="203" t="s">
        <v>230</v>
      </c>
      <c r="C309" s="204" t="s">
        <v>64</v>
      </c>
      <c r="D309" s="204" t="s">
        <v>122</v>
      </c>
      <c r="E309" s="498"/>
      <c r="F309" s="498"/>
      <c r="G309" s="500"/>
      <c r="H309" s="504" t="s">
        <v>138</v>
      </c>
      <c r="I309" s="506" t="s">
        <v>101</v>
      </c>
      <c r="J309" s="510" t="s">
        <v>69</v>
      </c>
      <c r="K309" s="493" t="str">
        <f>IFERROR(VLOOKUP($D297,$Y$9:$AB$10,2,FALSE)/IF($D297="Inhalation",IF($J309="Central Tendency",SUMIFS(#REF!,#REF!,#REF!,#REF!,$C297),SUMIFS(#REF!,#REF!,#REF!,#REF!,$C297))),"--")</f>
        <v>--</v>
      </c>
      <c r="L309" s="496">
        <f>IFERROR(VLOOKUP($D309,$Y$9:$AB$9,2,FALSE)/IF($D309="Inhalation",IF($J309="Central Tendency",SUMIFS('Inhalation Exposure'!$O$5:$O$164,'Inhalation Exposure'!$B$5:$B$164,$B309,'Inhalation Exposure'!$D$5:$D$164,$C309),SUMIFS('Inhalation Exposure'!$N$5:$N$164,'Inhalation Exposure'!$B$5:$B$164,$B309,'Inhalation Exposure'!$D$5:$D$164,$C309))),"--")</f>
        <v>200.45454545454544</v>
      </c>
      <c r="M309" s="491">
        <f>IFERROR(VLOOKUP($D309,$Y$9:$AB$9,3,FALSE)/IF($D309="Inhalation",IF($J309="Central Tendency",SUMIFS('Inhalation Exposure'!$Q$5:$Q$164,'Inhalation Exposure'!$B$5:$B$164,$B309,'Inhalation Exposure'!$D$5:$D$164,$C309),SUMIFS('Inhalation Exposure'!$P$5:$P$164,'Inhalation Exposure'!$B$5:$B$164,$B309,'Inhalation Exposure'!$D$5:$D$164,$C309))),"--")</f>
        <v>206.36538461538461</v>
      </c>
      <c r="N309" s="491">
        <f>IFERROR(VLOOKUP($D309,$Y$9:$AB$9,4,FALSE)*IF($D309="Inhalation",IF($J309="Central Tendency",SUMIFS('Inhalation Exposure'!$S$5:$S$164,'Inhalation Exposure'!$B$5:$B$164,$B309,'Inhalation Exposure'!$D$5:$D$164,$C309),SUMIFS('Inhalation Exposure'!$R$5:$R$164,'Inhalation Exposure'!$B$5:$B$164,$B309,'Inhalation Exposure'!$D$5:$D$164,$C309))),"--")</f>
        <v>1.4627092846270928E-5</v>
      </c>
    </row>
    <row r="310" spans="2:14" ht="15" thickBot="1" x14ac:dyDescent="0.4">
      <c r="B310" s="203" t="s">
        <v>230</v>
      </c>
      <c r="C310" s="204" t="s">
        <v>64</v>
      </c>
      <c r="D310" s="204" t="s">
        <v>122</v>
      </c>
      <c r="E310" s="498"/>
      <c r="F310" s="498"/>
      <c r="G310" s="500"/>
      <c r="H310" s="502"/>
      <c r="I310" s="502"/>
      <c r="J310" s="513"/>
      <c r="K310" s="495"/>
      <c r="L310" s="492"/>
      <c r="M310" s="492"/>
      <c r="N310" s="492"/>
    </row>
    <row r="311" spans="2:14" ht="15" thickBot="1" x14ac:dyDescent="0.4">
      <c r="B311" s="203" t="s">
        <v>230</v>
      </c>
      <c r="C311" s="204" t="s">
        <v>64</v>
      </c>
      <c r="D311" s="204" t="s">
        <v>122</v>
      </c>
      <c r="E311" s="498"/>
      <c r="F311" s="498"/>
      <c r="G311" s="500"/>
      <c r="H311" s="502"/>
      <c r="I311" s="502"/>
      <c r="J311" s="510" t="s">
        <v>128</v>
      </c>
      <c r="K311" s="493" t="str">
        <f>IFERROR(VLOOKUP($D299,$Y$9:$AB$10,2,FALSE)/IF($D299="Inhalation",IF($J311="Central Tendency",SUMIFS(#REF!,#REF!,#REF!,#REF!,$C299),SUMIFS(#REF!,#REF!,#REF!,#REF!,$C299))),"--")</f>
        <v>--</v>
      </c>
      <c r="L311" s="491">
        <f>IFERROR(VLOOKUP($D311,$Y$9:$AB$9,2,FALSE)/IF($D311="Inhalation",IF($J311="Central Tendency",SUMIFS('Inhalation Exposure'!$O$5:$O$164,'Inhalation Exposure'!$B$5:$B$164,$B311,'Inhalation Exposure'!$D$5:$D$164,$C311),SUMIFS('Inhalation Exposure'!$N$5:$N$164,'Inhalation Exposure'!$B$5:$B$164,$B311,'Inhalation Exposure'!$D$5:$D$164,$C311))),"--")</f>
        <v>21.32495164410058</v>
      </c>
      <c r="M311" s="491">
        <f>IFERROR(VLOOKUP($D311,$Y$9:$AB$9,3,FALSE)/IF($D311="Inhalation",IF($J311="Central Tendency",SUMIFS('Inhalation Exposure'!$Q$5:$Q$164,'Inhalation Exposure'!$B$5:$B$164,$B311,'Inhalation Exposure'!$D$5:$D$164,$C311),SUMIFS('Inhalation Exposure'!$P$5:$P$164,'Inhalation Exposure'!$B$5:$B$164,$B311,'Inhalation Exposure'!$D$5:$D$164,$C311))),"--")</f>
        <v>21.953764320785599</v>
      </c>
      <c r="N311" s="491">
        <f>IFERROR(VLOOKUP($D311,$Y$9:$AB$9,4,FALSE)*IF($D311="Inhalation",IF($J311="Central Tendency",SUMIFS('Inhalation Exposure'!$S$5:$S$164,'Inhalation Exposure'!$B$5:$B$164,$B311,'Inhalation Exposure'!$D$5:$D$164,$C311),SUMIFS('Inhalation Exposure'!$R$5:$R$164,'Inhalation Exposure'!$B$5:$B$164,$B311,'Inhalation Exposure'!$D$5:$D$164,$C311))),"--")</f>
        <v>1.7741248097412481E-4</v>
      </c>
    </row>
    <row r="312" spans="2:14" ht="15" thickBot="1" x14ac:dyDescent="0.4">
      <c r="B312" s="203" t="s">
        <v>230</v>
      </c>
      <c r="C312" s="204" t="s">
        <v>64</v>
      </c>
      <c r="D312" s="204" t="s">
        <v>122</v>
      </c>
      <c r="E312" s="498"/>
      <c r="F312" s="498"/>
      <c r="G312" s="500"/>
      <c r="H312" s="503"/>
      <c r="I312" s="503"/>
      <c r="J312" s="511"/>
      <c r="K312" s="495"/>
      <c r="L312" s="497"/>
      <c r="M312" s="492"/>
      <c r="N312" s="492"/>
    </row>
    <row r="313" spans="2:14" ht="15.5" thickTop="1" thickBot="1" x14ac:dyDescent="0.4">
      <c r="B313" s="203" t="s">
        <v>231</v>
      </c>
      <c r="C313" s="204" t="s">
        <v>64</v>
      </c>
      <c r="D313" s="204" t="s">
        <v>122</v>
      </c>
      <c r="E313" s="498"/>
      <c r="F313" s="498"/>
      <c r="G313" s="500"/>
      <c r="H313" s="504" t="s">
        <v>140</v>
      </c>
      <c r="I313" s="506" t="s">
        <v>101</v>
      </c>
      <c r="J313" s="510" t="s">
        <v>69</v>
      </c>
      <c r="K313" s="425"/>
      <c r="L313" s="491">
        <f>IFERROR(VLOOKUP($D313,$Y$9:$AB$9,2,FALSE)/IF($D313="Inhalation",IF($J313="Central Tendency",SUMIFS('Inhalation Exposure'!$O$5:$O$164,'Inhalation Exposure'!$B$5:$B$164,$B313,'Inhalation Exposure'!$D$5:$D$164,$C313),SUMIFS('Inhalation Exposure'!$N$5:$N$164,'Inhalation Exposure'!$B$5:$B$164,$B313,'Inhalation Exposure'!$D$5:$D$164,$C313))),"--")</f>
        <v>0.36731634182908546</v>
      </c>
      <c r="M313" s="491">
        <f>IFERROR(VLOOKUP($D313,$Y$9:$AB$9,3,FALSE)/IF($D313="Inhalation",IF($J313="Central Tendency",SUMIFS('Inhalation Exposure'!$Q$5:$Q$164,'Inhalation Exposure'!$B$5:$B$164,$B313,'Inhalation Exposure'!$D$5:$D$164,$C313),SUMIFS('Inhalation Exposure'!$P$5:$P$164,'Inhalation Exposure'!$B$5:$B$164,$B313,'Inhalation Exposure'!$D$5:$D$164,$C313))),"--")</f>
        <v>4.469015492253873</v>
      </c>
      <c r="N313" s="491">
        <f>IFERROR(VLOOKUP($D313,$Y$9:$AB$9,4,FALSE)*IF($D313="Inhalation",IF($J313="Central Tendency",SUMIFS('Inhalation Exposure'!$S$5:$S$164,'Inhalation Exposure'!$B$5:$B$164,$B313,'Inhalation Exposure'!$D$5:$D$164,$C313),SUMIFS('Inhalation Exposure'!$R$5:$R$164,'Inhalation Exposure'!$B$5:$B$164,$B313,'Inhalation Exposure'!$D$5:$D$164,$C313))),"--")</f>
        <v>6.7543414120126448E-4</v>
      </c>
    </row>
    <row r="314" spans="2:14" ht="15" thickBot="1" x14ac:dyDescent="0.4">
      <c r="B314" s="203" t="s">
        <v>231</v>
      </c>
      <c r="C314" s="204" t="s">
        <v>64</v>
      </c>
      <c r="D314" s="204" t="s">
        <v>122</v>
      </c>
      <c r="E314" s="498"/>
      <c r="F314" s="498"/>
      <c r="G314" s="500"/>
      <c r="H314" s="502"/>
      <c r="I314" s="502"/>
      <c r="J314" s="513"/>
      <c r="K314" s="425"/>
      <c r="L314" s="492"/>
      <c r="M314" s="492"/>
      <c r="N314" s="492"/>
    </row>
    <row r="315" spans="2:14" ht="15" thickBot="1" x14ac:dyDescent="0.4">
      <c r="B315" s="203" t="s">
        <v>231</v>
      </c>
      <c r="C315" s="204" t="s">
        <v>64</v>
      </c>
      <c r="D315" s="204" t="s">
        <v>122</v>
      </c>
      <c r="E315" s="498"/>
      <c r="F315" s="498"/>
      <c r="G315" s="500"/>
      <c r="H315" s="502"/>
      <c r="I315" s="502"/>
      <c r="J315" s="510" t="s">
        <v>128</v>
      </c>
      <c r="K315" s="425"/>
      <c r="L315" s="491">
        <f>IFERROR(VLOOKUP($D315,$Y$9:$AB$9,2,FALSE)/IF($D315="Inhalation",IF($J315="Central Tendency",SUMIFS('Inhalation Exposure'!$O$5:$O$164,'Inhalation Exposure'!$B$5:$B$164,$B315,'Inhalation Exposure'!$D$5:$D$164,$C315),SUMIFS('Inhalation Exposure'!$N$5:$N$164,'Inhalation Exposure'!$B$5:$B$164,$B315,'Inhalation Exposure'!$D$5:$D$164,$C315))),"--")</f>
        <v>0.36731634182908546</v>
      </c>
      <c r="M315" s="491">
        <f>IFERROR(VLOOKUP($D315,$Y$9:$AB$9,3,FALSE)/IF($D315="Inhalation",IF($J315="Central Tendency",SUMIFS('Inhalation Exposure'!$Q$5:$Q$164,'Inhalation Exposure'!$B$5:$B$164,$B315,'Inhalation Exposure'!$D$5:$D$164,$C315),SUMIFS('Inhalation Exposure'!$P$5:$P$164,'Inhalation Exposure'!$B$5:$B$164,$B315,'Inhalation Exposure'!$D$5:$D$164,$C315))),"--")</f>
        <v>4.469015492253873</v>
      </c>
      <c r="N315" s="491">
        <f>IFERROR(VLOOKUP($D315,$Y$9:$AB$9,4,FALSE)*IF($D315="Inhalation",IF($J315="Central Tendency",SUMIFS('Inhalation Exposure'!$S$5:$S$164,'Inhalation Exposure'!$B$5:$B$164,$B315,'Inhalation Exposure'!$D$5:$D$164,$C315),SUMIFS('Inhalation Exposure'!$R$5:$R$164,'Inhalation Exposure'!$B$5:$B$164,$B315,'Inhalation Exposure'!$D$5:$D$164,$C315))),"--")</f>
        <v>8.715279241306639E-4</v>
      </c>
    </row>
    <row r="316" spans="2:14" ht="15" thickBot="1" x14ac:dyDescent="0.4">
      <c r="B316" s="203" t="s">
        <v>231</v>
      </c>
      <c r="C316" s="204" t="s">
        <v>64</v>
      </c>
      <c r="D316" s="204" t="s">
        <v>122</v>
      </c>
      <c r="E316" s="498"/>
      <c r="F316" s="498"/>
      <c r="G316" s="500"/>
      <c r="H316" s="503"/>
      <c r="I316" s="503"/>
      <c r="J316" s="511"/>
      <c r="K316" s="425"/>
      <c r="L316" s="497"/>
      <c r="M316" s="492"/>
      <c r="N316" s="492"/>
    </row>
    <row r="317" spans="2:14" ht="15.5" thickTop="1" thickBot="1" x14ac:dyDescent="0.4">
      <c r="B317" s="203" t="s">
        <v>232</v>
      </c>
      <c r="C317" s="204" t="s">
        <v>64</v>
      </c>
      <c r="D317" s="204" t="s">
        <v>122</v>
      </c>
      <c r="E317" s="498"/>
      <c r="F317" s="498"/>
      <c r="G317" s="500"/>
      <c r="H317" s="504" t="s">
        <v>142</v>
      </c>
      <c r="I317" s="506" t="s">
        <v>101</v>
      </c>
      <c r="J317" s="510" t="s">
        <v>69</v>
      </c>
      <c r="K317" s="493" t="str">
        <f>IFERROR(VLOOKUP($D301,$Y$9:$AB$10,2,FALSE)/IF($D301="Inhalation",IF($J317="Central Tendency",SUMIFS(#REF!,#REF!,$B297,#REF!,$C301),SUMIFS(#REF!,#REF!,$B297,#REF!,$C301))),"--")</f>
        <v>--</v>
      </c>
      <c r="L317" s="496">
        <f>IFERROR(VLOOKUP($D317,$Y$9:$AB$9,2,FALSE)/IF($D317="Inhalation",IF($J317="Central Tendency",SUMIFS('Inhalation Exposure'!$O$5:$O$164,'Inhalation Exposure'!$B$5:$B$164,$B317,'Inhalation Exposure'!$D$5:$D$164,$C317),SUMIFS('Inhalation Exposure'!$N$5:$N$164,'Inhalation Exposure'!$B$5:$B$164,$B317,'Inhalation Exposure'!$D$5:$D$164,$C317))),"--")</f>
        <v>835.22727272727263</v>
      </c>
      <c r="M317" s="491">
        <f>IFERROR(VLOOKUP($D317,$Y$9:$AB$9,3,FALSE)/IF($D317="Inhalation",IF($J317="Central Tendency",SUMIFS('Inhalation Exposure'!$Q$5:$Q$164,'Inhalation Exposure'!$B$5:$B$164,$B317,'Inhalation Exposure'!$D$5:$D$164,$C317),SUMIFS('Inhalation Exposure'!$P$5:$P$164,'Inhalation Exposure'!$B$5:$B$164,$B317,'Inhalation Exposure'!$D$5:$D$164,$C317))),"--")</f>
        <v>859.85576923076917</v>
      </c>
      <c r="N317" s="491">
        <f>IFERROR(VLOOKUP($D317,$Y$9:$AB$9,4,FALSE)*IF($D317="Inhalation",IF($J317="Central Tendency",SUMIFS('Inhalation Exposure'!$S$5:$S$164,'Inhalation Exposure'!$B$5:$B$164,$B317,'Inhalation Exposure'!$D$5:$D$164,$C317),SUMIFS('Inhalation Exposure'!$R$5:$R$164,'Inhalation Exposure'!$B$5:$B$164,$B317,'Inhalation Exposure'!$D$5:$D$164,$C317))),"--")</f>
        <v>3.5105022831050228E-6</v>
      </c>
    </row>
    <row r="318" spans="2:14" ht="15" thickBot="1" x14ac:dyDescent="0.4">
      <c r="B318" s="203" t="s">
        <v>232</v>
      </c>
      <c r="C318" s="204" t="s">
        <v>64</v>
      </c>
      <c r="D318" s="204" t="s">
        <v>122</v>
      </c>
      <c r="E318" s="498"/>
      <c r="F318" s="498"/>
      <c r="G318" s="500"/>
      <c r="H318" s="502"/>
      <c r="I318" s="502"/>
      <c r="J318" s="513"/>
      <c r="K318" s="495"/>
      <c r="L318" s="492"/>
      <c r="M318" s="492"/>
      <c r="N318" s="492"/>
    </row>
    <row r="319" spans="2:14" ht="15" thickBot="1" x14ac:dyDescent="0.4">
      <c r="B319" s="203" t="s">
        <v>232</v>
      </c>
      <c r="C319" s="204" t="s">
        <v>64</v>
      </c>
      <c r="D319" s="204" t="s">
        <v>122</v>
      </c>
      <c r="E319" s="498"/>
      <c r="F319" s="498"/>
      <c r="G319" s="500"/>
      <c r="H319" s="502"/>
      <c r="I319" s="502"/>
      <c r="J319" s="510" t="s">
        <v>128</v>
      </c>
      <c r="K319" s="493" t="str">
        <f>IFERROR(VLOOKUP($D303,$Y$9:$AB$10,2,FALSE)/IF($D303="Inhalation",IF($J319="Central Tendency",SUMIFS(#REF!,#REF!,$B299,#REF!,$C303),SUMIFS(#REF!,#REF!,$B299,#REF!,$C303))),"--")</f>
        <v>--</v>
      </c>
      <c r="L319" s="491">
        <f>IFERROR(VLOOKUP($D319,$Y$9:$AB$9,2,FALSE)/IF($D319="Inhalation",IF($J319="Central Tendency",SUMIFS('Inhalation Exposure'!$O$5:$O$164,'Inhalation Exposure'!$B$5:$B$164,$B319,'Inhalation Exposure'!$D$5:$D$164,$C319),SUMIFS('Inhalation Exposure'!$N$5:$N$164,'Inhalation Exposure'!$B$5:$B$164,$B319,'Inhalation Exposure'!$D$5:$D$164,$C319))),"--")</f>
        <v>18.091565474236955</v>
      </c>
      <c r="M319" s="491">
        <f>IFERROR(VLOOKUP($D319,$Y$9:$AB$9,3,FALSE)/IF($D319="Inhalation",IF($J319="Central Tendency",SUMIFS('Inhalation Exposure'!$Q$5:$Q$164,'Inhalation Exposure'!$B$5:$B$164,$B319,'Inhalation Exposure'!$D$5:$D$164,$C319),SUMIFS('Inhalation Exposure'!$P$5:$P$164,'Inhalation Exposure'!$B$5:$B$164,$B319,'Inhalation Exposure'!$D$5:$D$164,$C319))),"--")</f>
        <v>18.625034712579836</v>
      </c>
      <c r="N319" s="491">
        <f>IFERROR(VLOOKUP($D319,$Y$9:$AB$9,4,FALSE)*IF($D319="Inhalation",IF($J319="Central Tendency",SUMIFS('Inhalation Exposure'!$S$5:$S$164,'Inhalation Exposure'!$B$5:$B$164,$B319,'Inhalation Exposure'!$D$5:$D$164,$C319),SUMIFS('Inhalation Exposure'!$R$5:$R$164,'Inhalation Exposure'!$B$5:$B$164,$B319,'Inhalation Exposure'!$D$5:$D$164,$C319))),"--")</f>
        <v>2.0912024353120245E-4</v>
      </c>
    </row>
    <row r="320" spans="2:14" ht="15" thickBot="1" x14ac:dyDescent="0.4">
      <c r="B320" s="203" t="s">
        <v>232</v>
      </c>
      <c r="C320" s="204" t="s">
        <v>64</v>
      </c>
      <c r="D320" s="204" t="s">
        <v>122</v>
      </c>
      <c r="E320" s="498"/>
      <c r="F320" s="498"/>
      <c r="G320" s="500"/>
      <c r="H320" s="503"/>
      <c r="I320" s="503"/>
      <c r="J320" s="511"/>
      <c r="K320" s="495"/>
      <c r="L320" s="497"/>
      <c r="M320" s="492"/>
      <c r="N320" s="492"/>
    </row>
    <row r="321" spans="2:14" ht="15.5" thickTop="1" thickBot="1" x14ac:dyDescent="0.4">
      <c r="B321" s="203" t="s">
        <v>233</v>
      </c>
      <c r="C321" s="204" t="s">
        <v>64</v>
      </c>
      <c r="D321" s="204" t="s">
        <v>122</v>
      </c>
      <c r="E321" s="498"/>
      <c r="F321" s="498"/>
      <c r="G321" s="500"/>
      <c r="H321" s="504" t="s">
        <v>144</v>
      </c>
      <c r="I321" s="506" t="s">
        <v>101</v>
      </c>
      <c r="J321" s="510" t="s">
        <v>69</v>
      </c>
      <c r="K321" s="425"/>
      <c r="L321" s="491">
        <f>IFERROR(VLOOKUP($D321,$Y$9:$AB$9,2,FALSE)/IF($D321="Inhalation",IF($J321="Central Tendency",SUMIFS('Inhalation Exposure'!$O$5:$O$164,'Inhalation Exposure'!$B$5:$B$164,$B321,'Inhalation Exposure'!$D$5:$D$164,$C321),SUMIFS('Inhalation Exposure'!$N$5:$N$164,'Inhalation Exposure'!$B$5:$B$164,$B321,'Inhalation Exposure'!$D$5:$D$164,$C321))),"--")</f>
        <v>984.375</v>
      </c>
      <c r="M321" s="491">
        <f>IFERROR(VLOOKUP($D321,$Y$9:$AB$9,3,FALSE)/IF($D321="Inhalation",IF($J321="Central Tendency",SUMIFS('Inhalation Exposure'!$Q$5:$Q$164,'Inhalation Exposure'!$B$5:$B$164,$B321,'Inhalation Exposure'!$D$5:$D$164,$C321),SUMIFS('Inhalation Exposure'!$P$5:$P$164,'Inhalation Exposure'!$B$5:$B$164,$B321,'Inhalation Exposure'!$D$5:$D$164,$C321))),"--")</f>
        <v>11976.5625</v>
      </c>
      <c r="N321" s="491">
        <f>IFERROR(VLOOKUP($D321,$Y$9:$AB$9,4,FALSE)*IF($D321="Inhalation",IF($J321="Central Tendency",SUMIFS('Inhalation Exposure'!$S$5:$S$164,'Inhalation Exposure'!$B$5:$B$164,$B321,'Inhalation Exposure'!$D$5:$D$164,$C321),SUMIFS('Inhalation Exposure'!$R$5:$R$164,'Inhalation Exposure'!$B$5:$B$164,$B321,'Inhalation Exposure'!$D$5:$D$164,$C321))),"--")</f>
        <v>2.5203606135112981E-7</v>
      </c>
    </row>
    <row r="322" spans="2:14" ht="15" thickBot="1" x14ac:dyDescent="0.4">
      <c r="B322" s="203" t="s">
        <v>233</v>
      </c>
      <c r="C322" s="204" t="s">
        <v>64</v>
      </c>
      <c r="D322" s="204" t="s">
        <v>122</v>
      </c>
      <c r="E322" s="498"/>
      <c r="F322" s="498"/>
      <c r="G322" s="500"/>
      <c r="H322" s="502"/>
      <c r="I322" s="502"/>
      <c r="J322" s="513"/>
      <c r="K322" s="425"/>
      <c r="L322" s="492"/>
      <c r="M322" s="492"/>
      <c r="N322" s="492"/>
    </row>
    <row r="323" spans="2:14" ht="15" thickBot="1" x14ac:dyDescent="0.4">
      <c r="B323" s="203" t="s">
        <v>233</v>
      </c>
      <c r="C323" s="204" t="s">
        <v>64</v>
      </c>
      <c r="D323" s="204" t="s">
        <v>122</v>
      </c>
      <c r="E323" s="498"/>
      <c r="F323" s="498"/>
      <c r="G323" s="500"/>
      <c r="H323" s="502"/>
      <c r="I323" s="502"/>
      <c r="J323" s="510" t="s">
        <v>128</v>
      </c>
      <c r="K323" s="425"/>
      <c r="L323" s="491">
        <f>IFERROR(VLOOKUP($D323,$Y$9:$AB$9,2,FALSE)/IF($D323="Inhalation",IF($J323="Central Tendency",SUMIFS('Inhalation Exposure'!$O$5:$O$164,'Inhalation Exposure'!$B$5:$B$164,$B323,'Inhalation Exposure'!$D$5:$D$164,$C323),SUMIFS('Inhalation Exposure'!$N$5:$N$164,'Inhalation Exposure'!$B$5:$B$164,$B323,'Inhalation Exposure'!$D$5:$D$164,$C323))),"--")</f>
        <v>656.24999999999989</v>
      </c>
      <c r="M323" s="491">
        <f>IFERROR(VLOOKUP($D323,$Y$9:$AB$9,3,FALSE)/IF($D323="Inhalation",IF($J323="Central Tendency",SUMIFS('Inhalation Exposure'!$Q$5:$Q$164,'Inhalation Exposure'!$B$5:$B$164,$B323,'Inhalation Exposure'!$D$5:$D$164,$C323),SUMIFS('Inhalation Exposure'!$P$5:$P$164,'Inhalation Exposure'!$B$5:$B$164,$B323,'Inhalation Exposure'!$D$5:$D$164,$C323))),"--")</f>
        <v>7984.3749999999982</v>
      </c>
      <c r="N323" s="491">
        <f>IFERROR(VLOOKUP($D323,$Y$9:$AB$9,4,FALSE)*IF($D323="Inhalation",IF($J323="Central Tendency",SUMIFS('Inhalation Exposure'!$S$5:$S$164,'Inhalation Exposure'!$B$5:$B$164,$B323,'Inhalation Exposure'!$D$5:$D$164,$C323),SUMIFS('Inhalation Exposure'!$R$5:$R$164,'Inhalation Exposure'!$B$5:$B$164,$B323,'Inhalation Exposure'!$D$5:$D$164,$C323))),"--")</f>
        <v>4.8781173164734811E-7</v>
      </c>
    </row>
    <row r="324" spans="2:14" ht="15" thickBot="1" x14ac:dyDescent="0.4">
      <c r="B324" s="203" t="s">
        <v>233</v>
      </c>
      <c r="C324" s="204" t="s">
        <v>64</v>
      </c>
      <c r="D324" s="204" t="s">
        <v>122</v>
      </c>
      <c r="E324" s="498"/>
      <c r="F324" s="498"/>
      <c r="G324" s="500"/>
      <c r="H324" s="503"/>
      <c r="I324" s="503"/>
      <c r="J324" s="511"/>
      <c r="K324" s="425"/>
      <c r="L324" s="497"/>
      <c r="M324" s="492"/>
      <c r="N324" s="492"/>
    </row>
    <row r="325" spans="2:14" ht="15.5" thickTop="1" thickBot="1" x14ac:dyDescent="0.4">
      <c r="B325" s="203" t="s">
        <v>234</v>
      </c>
      <c r="C325" s="204" t="s">
        <v>64</v>
      </c>
      <c r="D325" s="204" t="s">
        <v>122</v>
      </c>
      <c r="E325" s="498"/>
      <c r="F325" s="498"/>
      <c r="G325" s="500"/>
      <c r="H325" s="504" t="s">
        <v>147</v>
      </c>
      <c r="I325" s="506" t="s">
        <v>101</v>
      </c>
      <c r="J325" s="510" t="s">
        <v>69</v>
      </c>
      <c r="K325" s="493" t="str">
        <f>IFERROR(VLOOKUP($D305,$Y$9:$AB$10,2,FALSE)/IF($D305="Inhalation",IF($J325="Central Tendency",SUMIFS(#REF!,#REF!,$B301,#REF!,$C305),SUMIFS(#REF!,#REF!,$B301,#REF!,$C305))),"--")</f>
        <v>--</v>
      </c>
      <c r="L325" s="496">
        <f>IFERROR(VLOOKUP($D325,$Y$9:$AB$9,2,FALSE)/IF($D325="Inhalation",IF($J325="Central Tendency",SUMIFS('Inhalation Exposure'!$O$5:$O$164,'Inhalation Exposure'!$B$5:$B$164,$B325,'Inhalation Exposure'!$D$5:$D$164,$C325),SUMIFS('Inhalation Exposure'!$N$5:$N$164,'Inhalation Exposure'!$B$5:$B$164,$B325,'Inhalation Exposure'!$D$5:$D$164,$C325))),"--")</f>
        <v>32.969497607655505</v>
      </c>
      <c r="M325" s="491">
        <f>IFERROR(VLOOKUP($D325,$Y$9:$AB$9,3,FALSE)/IF($D325="Inhalation",IF($J325="Central Tendency",SUMIFS('Inhalation Exposure'!$Q$5:$Q$164,'Inhalation Exposure'!$B$5:$B$164,$B325,'Inhalation Exposure'!$D$5:$D$164,$C325),SUMIFS('Inhalation Exposure'!$P$5:$P$164,'Inhalation Exposure'!$B$5:$B$164,$B325,'Inhalation Exposure'!$D$5:$D$164,$C325))),"--")</f>
        <v>33.941675101214578</v>
      </c>
      <c r="N325" s="491">
        <f>IFERROR(VLOOKUP($D325,$Y$9:$AB$9,4,FALSE)*IF($D325="Inhalation",IF($J325="Central Tendency",SUMIFS('Inhalation Exposure'!$S$5:$S$164,'Inhalation Exposure'!$B$5:$B$164,$B325,'Inhalation Exposure'!$D$5:$D$164,$C325),SUMIFS('Inhalation Exposure'!$R$5:$R$164,'Inhalation Exposure'!$B$5:$B$164,$B325,'Inhalation Exposure'!$D$5:$D$164,$C325))),"--")</f>
        <v>8.8932724505327241E-5</v>
      </c>
    </row>
    <row r="326" spans="2:14" ht="15" thickBot="1" x14ac:dyDescent="0.4">
      <c r="B326" s="203" t="s">
        <v>234</v>
      </c>
      <c r="C326" s="204" t="s">
        <v>64</v>
      </c>
      <c r="D326" s="204" t="s">
        <v>122</v>
      </c>
      <c r="E326" s="498"/>
      <c r="F326" s="498"/>
      <c r="G326" s="500"/>
      <c r="H326" s="502"/>
      <c r="I326" s="502"/>
      <c r="J326" s="513"/>
      <c r="K326" s="495"/>
      <c r="L326" s="492"/>
      <c r="M326" s="492"/>
      <c r="N326" s="492"/>
    </row>
    <row r="327" spans="2:14" ht="15" thickBot="1" x14ac:dyDescent="0.4">
      <c r="B327" s="203" t="s">
        <v>234</v>
      </c>
      <c r="C327" s="204" t="s">
        <v>64</v>
      </c>
      <c r="D327" s="204" t="s">
        <v>122</v>
      </c>
      <c r="E327" s="498"/>
      <c r="F327" s="498"/>
      <c r="G327" s="500"/>
      <c r="H327" s="502"/>
      <c r="I327" s="502"/>
      <c r="J327" s="510" t="s">
        <v>128</v>
      </c>
      <c r="K327" s="493" t="str">
        <f>IFERROR(VLOOKUP($D307,$Y$9:$AB$10,2,FALSE)/IF($D307="Inhalation",IF($J327="Central Tendency",SUMIFS(#REF!,#REF!,$B303,#REF!,$C307),SUMIFS(#REF!,#REF!,$B303,#REF!,$C307))),"--")</f>
        <v>--</v>
      </c>
      <c r="L327" s="491">
        <f>IFERROR(VLOOKUP($D327,$Y$9:$AB$9,2,FALSE)/IF($D327="Inhalation",IF($J327="Central Tendency",SUMIFS('Inhalation Exposure'!$O$5:$O$164,'Inhalation Exposure'!$B$5:$B$164,$B327,'Inhalation Exposure'!$D$5:$D$164,$C327),SUMIFS('Inhalation Exposure'!$N$5:$N$164,'Inhalation Exposure'!$B$5:$B$164,$B327,'Inhalation Exposure'!$D$5:$D$164,$C327))),"--")</f>
        <v>21.416083916083913</v>
      </c>
      <c r="M327" s="491">
        <f>IFERROR(VLOOKUP($D327,$Y$9:$AB$9,3,FALSE)/IF($D327="Inhalation",IF($J327="Central Tendency",SUMIFS('Inhalation Exposure'!$Q$5:$Q$164,'Inhalation Exposure'!$B$5:$B$164,$B327,'Inhalation Exposure'!$D$5:$D$164,$C327),SUMIFS('Inhalation Exposure'!$P$5:$P$164,'Inhalation Exposure'!$B$5:$B$164,$B327,'Inhalation Exposure'!$D$5:$D$164,$C327))),"--")</f>
        <v>22.047583826429975</v>
      </c>
      <c r="N327" s="491">
        <f>IFERROR(VLOOKUP($D327,$Y$9:$AB$9,4,FALSE)*IF($D327="Inhalation",IF($J327="Central Tendency",SUMIFS('Inhalation Exposure'!$S$5:$S$164,'Inhalation Exposure'!$B$5:$B$164,$B327,'Inhalation Exposure'!$D$5:$D$164,$C327),SUMIFS('Inhalation Exposure'!$R$5:$R$164,'Inhalation Exposure'!$B$5:$B$164,$B327,'Inhalation Exposure'!$D$5:$D$164,$C327))),"--")</f>
        <v>1.7665753424657538E-4</v>
      </c>
    </row>
    <row r="328" spans="2:14" ht="15" thickBot="1" x14ac:dyDescent="0.4">
      <c r="B328" s="203" t="s">
        <v>234</v>
      </c>
      <c r="C328" s="204" t="s">
        <v>64</v>
      </c>
      <c r="D328" s="204" t="s">
        <v>122</v>
      </c>
      <c r="E328" s="498"/>
      <c r="F328" s="498"/>
      <c r="G328" s="500"/>
      <c r="H328" s="503"/>
      <c r="I328" s="503"/>
      <c r="J328" s="511"/>
      <c r="K328" s="495"/>
      <c r="L328" s="497"/>
      <c r="M328" s="492"/>
      <c r="N328" s="492"/>
    </row>
    <row r="329" spans="2:14" ht="15.5" thickTop="1" thickBot="1" x14ac:dyDescent="0.4">
      <c r="B329" s="203" t="s">
        <v>235</v>
      </c>
      <c r="C329" s="204" t="s">
        <v>64</v>
      </c>
      <c r="D329" s="204" t="s">
        <v>122</v>
      </c>
      <c r="E329" s="498"/>
      <c r="F329" s="498"/>
      <c r="G329" s="500"/>
      <c r="H329" s="504" t="s">
        <v>149</v>
      </c>
      <c r="I329" s="506" t="s">
        <v>101</v>
      </c>
      <c r="J329" s="510" t="s">
        <v>69</v>
      </c>
      <c r="K329" s="425"/>
      <c r="L329" s="491">
        <f>IFERROR(VLOOKUP($D329,$Y$9:$AB$9,2,FALSE)/IF($D329="Inhalation",IF($J329="Central Tendency",SUMIFS('Inhalation Exposure'!$O$5:$O$164,'Inhalation Exposure'!$B$5:$B$164,$B329,'Inhalation Exposure'!$D$5:$D$164,$C329),SUMIFS('Inhalation Exposure'!$N$5:$N$164,'Inhalation Exposure'!$B$5:$B$164,$B329,'Inhalation Exposure'!$D$5:$D$164,$C329))),"--")</f>
        <v>64.662756598240463</v>
      </c>
      <c r="M329" s="491">
        <f>IFERROR(VLOOKUP($D329,$Y$9:$AB$9,3,FALSE)/IF($D329="Inhalation",IF($J329="Central Tendency",SUMIFS('Inhalation Exposure'!$Q$5:$Q$164,'Inhalation Exposure'!$B$5:$B$164,$B329,'Inhalation Exposure'!$D$5:$D$164,$C329),SUMIFS('Inhalation Exposure'!$P$5:$P$164,'Inhalation Exposure'!$B$5:$B$164,$B329,'Inhalation Exposure'!$D$5:$D$164,$C329))),"--")</f>
        <v>786.73020527859228</v>
      </c>
      <c r="N329" s="491">
        <f>IFERROR(VLOOKUP($D329,$Y$9:$AB$9,4,FALSE)*IF($D329="Inhalation",IF($J329="Central Tendency",SUMIFS('Inhalation Exposure'!$S$5:$S$164,'Inhalation Exposure'!$B$5:$B$164,$B329,'Inhalation Exposure'!$D$5:$D$164,$C329),SUMIFS('Inhalation Exposure'!$R$5:$R$164,'Inhalation Exposure'!$B$5:$B$164,$B329,'Inhalation Exposure'!$D$5:$D$164,$C329))),"--")</f>
        <v>3.8367989696756826E-6</v>
      </c>
    </row>
    <row r="330" spans="2:14" ht="15" thickBot="1" x14ac:dyDescent="0.4">
      <c r="B330" s="203" t="s">
        <v>235</v>
      </c>
      <c r="C330" s="204" t="s">
        <v>64</v>
      </c>
      <c r="D330" s="204" t="s">
        <v>122</v>
      </c>
      <c r="E330" s="498"/>
      <c r="F330" s="498"/>
      <c r="G330" s="500"/>
      <c r="H330" s="502"/>
      <c r="I330" s="502"/>
      <c r="J330" s="513"/>
      <c r="K330" s="425"/>
      <c r="L330" s="492"/>
      <c r="M330" s="492"/>
      <c r="N330" s="492"/>
    </row>
    <row r="331" spans="2:14" ht="15" thickBot="1" x14ac:dyDescent="0.4">
      <c r="B331" s="203" t="s">
        <v>235</v>
      </c>
      <c r="C331" s="204" t="s">
        <v>64</v>
      </c>
      <c r="D331" s="204" t="s">
        <v>122</v>
      </c>
      <c r="E331" s="498"/>
      <c r="F331" s="498"/>
      <c r="G331" s="500"/>
      <c r="H331" s="502"/>
      <c r="I331" s="502"/>
      <c r="J331" s="510" t="s">
        <v>128</v>
      </c>
      <c r="K331" s="425"/>
      <c r="L331" s="491">
        <f>IFERROR(VLOOKUP($D331,$Y$9:$AB$9,2,FALSE)/IF($D331="Inhalation",IF($J331="Central Tendency",SUMIFS('Inhalation Exposure'!$O$5:$O$164,'Inhalation Exposure'!$B$5:$B$164,$B331,'Inhalation Exposure'!$D$5:$D$164,$C331),SUMIFS('Inhalation Exposure'!$N$5:$N$164,'Inhalation Exposure'!$B$5:$B$164,$B331,'Inhalation Exposure'!$D$5:$D$164,$C331))),"--")</f>
        <v>35.621970920840063</v>
      </c>
      <c r="M331" s="491">
        <f>IFERROR(VLOOKUP($D331,$Y$9:$AB$9,3,FALSE)/IF($D331="Inhalation",IF($J331="Central Tendency",SUMIFS('Inhalation Exposure'!$Q$5:$Q$164,'Inhalation Exposure'!$B$5:$B$164,$B331,'Inhalation Exposure'!$D$5:$D$164,$C331),SUMIFS('Inhalation Exposure'!$P$5:$P$164,'Inhalation Exposure'!$B$5:$B$164,$B331,'Inhalation Exposure'!$D$5:$D$164,$C331))),"--")</f>
        <v>433.40064620355417</v>
      </c>
      <c r="N331" s="491">
        <f>IFERROR(VLOOKUP($D331,$Y$9:$AB$9,4,FALSE)*IF($D331="Inhalation",IF($J331="Central Tendency",SUMIFS('Inhalation Exposure'!$S$5:$S$164,'Inhalation Exposure'!$B$5:$B$164,$B331,'Inhalation Exposure'!$D$5:$D$164,$C331),SUMIFS('Inhalation Exposure'!$R$5:$R$164,'Inhalation Exposure'!$B$5:$B$164,$B331,'Inhalation Exposure'!$D$5:$D$164,$C331))),"--")</f>
        <v>8.9867696990984637E-6</v>
      </c>
    </row>
    <row r="332" spans="2:14" ht="15" thickBot="1" x14ac:dyDescent="0.4">
      <c r="B332" s="203" t="s">
        <v>235</v>
      </c>
      <c r="C332" s="204" t="s">
        <v>64</v>
      </c>
      <c r="D332" s="204" t="s">
        <v>122</v>
      </c>
      <c r="E332" s="498"/>
      <c r="F332" s="498"/>
      <c r="G332" s="500"/>
      <c r="H332" s="503"/>
      <c r="I332" s="503"/>
      <c r="J332" s="511"/>
      <c r="K332" s="425"/>
      <c r="L332" s="497"/>
      <c r="M332" s="492"/>
      <c r="N332" s="492"/>
    </row>
    <row r="333" spans="2:14" ht="15.5" thickTop="1" thickBot="1" x14ac:dyDescent="0.4">
      <c r="B333" s="203" t="s">
        <v>236</v>
      </c>
      <c r="C333" s="204" t="s">
        <v>64</v>
      </c>
      <c r="D333" s="204" t="s">
        <v>122</v>
      </c>
      <c r="E333" s="498"/>
      <c r="F333" s="498"/>
      <c r="G333" s="500"/>
      <c r="H333" s="504" t="s">
        <v>151</v>
      </c>
      <c r="I333" s="506" t="s">
        <v>101</v>
      </c>
      <c r="J333" s="510" t="s">
        <v>69</v>
      </c>
      <c r="K333" s="425"/>
      <c r="L333" s="496">
        <f>IFERROR(VLOOKUP($D333,$Y$9:$AB$9,2,FALSE)/IF($D333="Inhalation",IF($J333="Central Tendency",SUMIFS('Inhalation Exposure'!$O$5:$O$164,'Inhalation Exposure'!$B$5:$B$164,$B333,'Inhalation Exposure'!$D$5:$D$164,$C333),SUMIFS('Inhalation Exposure'!$N$5:$N$164,'Inhalation Exposure'!$B$5:$B$164,$B333,'Inhalation Exposure'!$D$5:$D$164,$C333))),"--")</f>
        <v>271.55172413793099</v>
      </c>
      <c r="M333" s="491">
        <f>IFERROR(VLOOKUP($D333,$Y$9:$AB$9,3,FALSE)/IF($D333="Inhalation",IF($J333="Central Tendency",SUMIFS('Inhalation Exposure'!$Q$5:$Q$164,'Inhalation Exposure'!$B$5:$B$164,$B333,'Inhalation Exposure'!$D$5:$D$164,$C333),SUMIFS('Inhalation Exposure'!$P$5:$P$164,'Inhalation Exposure'!$B$5:$B$164,$B333,'Inhalation Exposure'!$D$5:$D$164,$C333))),"--")</f>
        <v>3303.8793103448279</v>
      </c>
      <c r="N333" s="491">
        <f>IFERROR(VLOOKUP($D333,$Y$9:$AB$9,4,FALSE)*IF($D333="Inhalation",IF($J333="Central Tendency",SUMIFS('Inhalation Exposure'!$S$5:$S$164,'Inhalation Exposure'!$B$5:$B$164,$B333,'Inhalation Exposure'!$D$5:$D$164,$C333),SUMIFS('Inhalation Exposure'!$R$5:$R$164,'Inhalation Exposure'!$B$5:$B$164,$B333,'Inhalation Exposure'!$D$5:$D$164,$C333))),"--")</f>
        <v>9.1363072239784564E-7</v>
      </c>
    </row>
    <row r="334" spans="2:14" ht="15" thickBot="1" x14ac:dyDescent="0.4">
      <c r="B334" s="203" t="s">
        <v>236</v>
      </c>
      <c r="C334" s="204" t="s">
        <v>64</v>
      </c>
      <c r="D334" s="204" t="s">
        <v>122</v>
      </c>
      <c r="E334" s="498"/>
      <c r="F334" s="498"/>
      <c r="G334" s="500"/>
      <c r="H334" s="502"/>
      <c r="I334" s="502"/>
      <c r="J334" s="513"/>
      <c r="K334" s="425"/>
      <c r="L334" s="492"/>
      <c r="M334" s="492"/>
      <c r="N334" s="492"/>
    </row>
    <row r="335" spans="2:14" ht="15" thickBot="1" x14ac:dyDescent="0.4">
      <c r="B335" s="203" t="s">
        <v>236</v>
      </c>
      <c r="C335" s="204" t="s">
        <v>64</v>
      </c>
      <c r="D335" s="204" t="s">
        <v>122</v>
      </c>
      <c r="E335" s="498"/>
      <c r="F335" s="498"/>
      <c r="G335" s="500"/>
      <c r="H335" s="502"/>
      <c r="I335" s="502"/>
      <c r="J335" s="510" t="s">
        <v>128</v>
      </c>
      <c r="K335" s="425"/>
      <c r="L335" s="491">
        <f>IFERROR(VLOOKUP($D335,$Y$9:$AB$9,2,FALSE)/IF($D335="Inhalation",IF($J335="Central Tendency",SUMIFS('Inhalation Exposure'!$O$5:$O$164,'Inhalation Exposure'!$B$5:$B$164,$B335,'Inhalation Exposure'!$D$5:$D$164,$C335),SUMIFS('Inhalation Exposure'!$N$5:$N$164,'Inhalation Exposure'!$B$5:$B$164,$B335,'Inhalation Exposure'!$D$5:$D$164,$C335))),"--")</f>
        <v>1.6009351494206139</v>
      </c>
      <c r="M335" s="491">
        <f>IFERROR(VLOOKUP($D335,$Y$9:$AB$9,3,FALSE)/IF($D335="Inhalation",IF($J335="Central Tendency",SUMIFS('Inhalation Exposure'!$Q$5:$Q$164,'Inhalation Exposure'!$B$5:$B$164,$B335,'Inhalation Exposure'!$D$5:$D$164,$C335),SUMIFS('Inhalation Exposure'!$P$5:$P$164,'Inhalation Exposure'!$B$5:$B$164,$B335,'Inhalation Exposure'!$D$5:$D$164,$C335))),"--")</f>
        <v>19.4780443179508</v>
      </c>
      <c r="N335" s="491">
        <f>IFERROR(VLOOKUP($D335,$Y$9:$AB$9,4,FALSE)*IF($D335="Inhalation",IF($J335="Central Tendency",SUMIFS('Inhalation Exposure'!$S$5:$S$164,'Inhalation Exposure'!$B$5:$B$164,$B335,'Inhalation Exposure'!$D$5:$D$164,$C335),SUMIFS('Inhalation Exposure'!$R$5:$R$164,'Inhalation Exposure'!$B$5:$B$164,$B335,'Inhalation Exposure'!$D$5:$D$164,$C335))),"--")</f>
        <v>1.9996215899777543E-4</v>
      </c>
    </row>
    <row r="336" spans="2:14" ht="15" thickBot="1" x14ac:dyDescent="0.4">
      <c r="B336" s="203" t="s">
        <v>236</v>
      </c>
      <c r="C336" s="204" t="s">
        <v>64</v>
      </c>
      <c r="D336" s="204" t="s">
        <v>122</v>
      </c>
      <c r="E336" s="498"/>
      <c r="F336" s="498"/>
      <c r="G336" s="500"/>
      <c r="H336" s="503"/>
      <c r="I336" s="503"/>
      <c r="J336" s="511"/>
      <c r="K336" s="425"/>
      <c r="L336" s="497"/>
      <c r="M336" s="492"/>
      <c r="N336" s="492"/>
    </row>
    <row r="337" spans="2:14" ht="15.5" thickTop="1" thickBot="1" x14ac:dyDescent="0.4">
      <c r="B337" s="203" t="s">
        <v>237</v>
      </c>
      <c r="C337" s="299" t="s">
        <v>64</v>
      </c>
      <c r="D337" s="204" t="s">
        <v>122</v>
      </c>
      <c r="E337" s="498"/>
      <c r="F337" s="498"/>
      <c r="G337" s="500"/>
      <c r="H337" s="504" t="s">
        <v>153</v>
      </c>
      <c r="I337" s="506" t="s">
        <v>101</v>
      </c>
      <c r="J337" s="510" t="s">
        <v>69</v>
      </c>
      <c r="K337" s="493" t="str">
        <f>IFERROR(VLOOKUP($D309,$Y$9:$AB$10,2,FALSE)/IF($D309="Inhalation",IF($J337="Central Tendency",SUMIFS(#REF!,#REF!,$B305,#REF!,$C309),SUMIFS(#REF!,#REF!,$B305,#REF!,$C309))),"--")</f>
        <v>--</v>
      </c>
      <c r="L337" s="491">
        <f>IFERROR(VLOOKUP($D337,$Y$9:$AB$9,2,FALSE)/IF($D337="Inhalation",IF($J337="Central Tendency",SUMIFS('Inhalation Exposure'!$O$5:$O$164,'Inhalation Exposure'!$B$5:$B$164,$B337,'Inhalation Exposure'!$D$5:$D$164,$C337),SUMIFS('Inhalation Exposure'!$N$5:$N$164,'Inhalation Exposure'!$B$5:$B$164,$B337,'Inhalation Exposure'!$D$5:$D$164,$C337))),"--")</f>
        <v>250.56818181818181</v>
      </c>
      <c r="M337" s="491">
        <f>IFERROR(VLOOKUP($D337,$Y$9:$AB$9,3,FALSE)/IF($D337="Inhalation",IF($J337="Central Tendency",SUMIFS('Inhalation Exposure'!$Q$5:$Q$164,'Inhalation Exposure'!$B$5:$B$164,$B337,'Inhalation Exposure'!$D$5:$D$164,$C337),SUMIFS('Inhalation Exposure'!$P$5:$P$164,'Inhalation Exposure'!$B$5:$B$164,$B337,'Inhalation Exposure'!$D$5:$D$164,$C337))),"--")</f>
        <v>257.95673076923072</v>
      </c>
      <c r="N337" s="491">
        <f>IFERROR(VLOOKUP($D337,$Y$9:$AB$9,4,FALSE)*IF($D337="Inhalation",IF($J337="Central Tendency",SUMIFS('Inhalation Exposure'!$S$5:$S$164,'Inhalation Exposure'!$B$5:$B$164,$B337,'Inhalation Exposure'!$D$5:$D$164,$C337),SUMIFS('Inhalation Exposure'!$R$5:$R$164,'Inhalation Exposure'!$B$5:$B$164,$B337,'Inhalation Exposure'!$D$5:$D$164,$C337))),"--")</f>
        <v>1.1701674277016744E-5</v>
      </c>
    </row>
    <row r="338" spans="2:14" ht="15" thickBot="1" x14ac:dyDescent="0.4">
      <c r="B338" s="203" t="s">
        <v>237</v>
      </c>
      <c r="C338" s="299" t="s">
        <v>64</v>
      </c>
      <c r="D338" s="204" t="s">
        <v>122</v>
      </c>
      <c r="E338" s="498"/>
      <c r="F338" s="498"/>
      <c r="G338" s="500"/>
      <c r="H338" s="502"/>
      <c r="I338" s="502"/>
      <c r="J338" s="513"/>
      <c r="K338" s="495"/>
      <c r="L338" s="492"/>
      <c r="M338" s="492"/>
      <c r="N338" s="492"/>
    </row>
    <row r="339" spans="2:14" ht="15" thickBot="1" x14ac:dyDescent="0.4">
      <c r="B339" s="203" t="s">
        <v>237</v>
      </c>
      <c r="C339" s="299" t="s">
        <v>64</v>
      </c>
      <c r="D339" s="204" t="s">
        <v>122</v>
      </c>
      <c r="E339" s="498"/>
      <c r="F339" s="498"/>
      <c r="G339" s="500"/>
      <c r="H339" s="502"/>
      <c r="I339" s="502"/>
      <c r="J339" s="510" t="s">
        <v>128</v>
      </c>
      <c r="K339" s="493" t="str">
        <f>IFERROR(VLOOKUP($D311,$Y$9:$AB$10,2,FALSE)/IF($D311="Inhalation",IF($J339="Central Tendency",SUMIFS(#REF!,#REF!,$B307,#REF!,$C311),SUMIFS(#REF!,#REF!,$B307,#REF!,$C311))),"--")</f>
        <v>--</v>
      </c>
      <c r="L339" s="491">
        <f>IFERROR(VLOOKUP($D339,$Y$9:$AB$9,2,FALSE)/IF($D339="Inhalation",IF($J339="Central Tendency",SUMIFS('Inhalation Exposure'!$O$5:$O$164,'Inhalation Exposure'!$B$5:$B$164,$B339,'Inhalation Exposure'!$D$5:$D$164,$C339),SUMIFS('Inhalation Exposure'!$N$5:$N$164,'Inhalation Exposure'!$B$5:$B$164,$B339,'Inhalation Exposure'!$D$5:$D$164,$C339))),"--")</f>
        <v>25.05681818181818</v>
      </c>
      <c r="M339" s="491">
        <f>IFERROR(VLOOKUP($D339,$Y$9:$AB$9,3,FALSE)/IF($D339="Inhalation",IF($J339="Central Tendency",SUMIFS('Inhalation Exposure'!$Q$5:$Q$164,'Inhalation Exposure'!$B$5:$B$164,$B339,'Inhalation Exposure'!$D$5:$D$164,$C339),SUMIFS('Inhalation Exposure'!$P$5:$P$164,'Inhalation Exposure'!$B$5:$B$164,$B339,'Inhalation Exposure'!$D$5:$D$164,$C339))),"--")</f>
        <v>25.795673076923077</v>
      </c>
      <c r="N339" s="491">
        <f>IFERROR(VLOOKUP($D339,$Y$9:$AB$9,4,FALSE)*IF($D339="Inhalation",IF($J339="Central Tendency",SUMIFS('Inhalation Exposure'!$S$5:$S$164,'Inhalation Exposure'!$B$5:$B$164,$B339,'Inhalation Exposure'!$D$5:$D$164,$C339),SUMIFS('Inhalation Exposure'!$R$5:$R$164,'Inhalation Exposure'!$B$5:$B$164,$B339,'Inhalation Exposure'!$D$5:$D$164,$C339))),"--")</f>
        <v>1.5098934550989343E-4</v>
      </c>
    </row>
    <row r="340" spans="2:14" ht="15" thickBot="1" x14ac:dyDescent="0.4">
      <c r="B340" s="203" t="s">
        <v>237</v>
      </c>
      <c r="C340" s="299" t="s">
        <v>64</v>
      </c>
      <c r="D340" s="204" t="s">
        <v>122</v>
      </c>
      <c r="E340" s="498"/>
      <c r="F340" s="498"/>
      <c r="G340" s="500"/>
      <c r="H340" s="503"/>
      <c r="I340" s="503"/>
      <c r="J340" s="511"/>
      <c r="K340" s="495"/>
      <c r="L340" s="497"/>
      <c r="M340" s="492"/>
      <c r="N340" s="492"/>
    </row>
    <row r="341" spans="2:14" ht="15.5" thickTop="1" thickBot="1" x14ac:dyDescent="0.4">
      <c r="B341" s="203" t="s">
        <v>238</v>
      </c>
      <c r="C341" s="299" t="s">
        <v>64</v>
      </c>
      <c r="D341" s="204" t="s">
        <v>122</v>
      </c>
      <c r="E341" s="498"/>
      <c r="F341" s="498"/>
      <c r="G341" s="500"/>
      <c r="H341" s="504" t="s">
        <v>155</v>
      </c>
      <c r="I341" s="506" t="s">
        <v>101</v>
      </c>
      <c r="J341" s="510" t="s">
        <v>69</v>
      </c>
      <c r="K341" s="425"/>
      <c r="L341" s="496">
        <f>IFERROR(VLOOKUP($D341,$Y$9:$AB$9,2,FALSE)/IF($D341="Inhalation",IF($J341="Central Tendency",SUMIFS('Inhalation Exposure'!$O$5:$O$164,'Inhalation Exposure'!$B$5:$B$164,$B341,'Inhalation Exposure'!$D$5:$D$164,$C341),SUMIFS('Inhalation Exposure'!$N$5:$N$164,'Inhalation Exposure'!$B$5:$B$164,$B341,'Inhalation Exposure'!$D$5:$D$164,$C341))),"--")</f>
        <v>689.0625</v>
      </c>
      <c r="M341" s="491">
        <f>IFERROR(VLOOKUP($D341,$Y$9:$AB$9,3,FALSE)/IF($D341="Inhalation",IF($J341="Central Tendency",SUMIFS('Inhalation Exposure'!$Q$5:$Q$164,'Inhalation Exposure'!$B$5:$B$164,$B341,'Inhalation Exposure'!$D$5:$D$164,$C341),SUMIFS('Inhalation Exposure'!$P$5:$P$164,'Inhalation Exposure'!$B$5:$B$164,$B341,'Inhalation Exposure'!$D$5:$D$164,$C341))),"--")</f>
        <v>8383.59375</v>
      </c>
      <c r="N341" s="491">
        <f>IFERROR(VLOOKUP($D341,$Y$9:$AB$9,4,FALSE)*IF($D341="Inhalation",IF($J341="Central Tendency",SUMIFS('Inhalation Exposure'!$S$5:$S$164,'Inhalation Exposure'!$B$5:$B$164,$B341,'Inhalation Exposure'!$D$5:$D$164,$C341),SUMIFS('Inhalation Exposure'!$R$5:$R$164,'Inhalation Exposure'!$B$5:$B$164,$B341,'Inhalation Exposure'!$D$5:$D$164,$C341))),"--")</f>
        <v>3.6005151621589974E-7</v>
      </c>
    </row>
    <row r="342" spans="2:14" ht="15" thickBot="1" x14ac:dyDescent="0.4">
      <c r="B342" s="203" t="s">
        <v>238</v>
      </c>
      <c r="C342" s="299" t="s">
        <v>64</v>
      </c>
      <c r="D342" s="204" t="s">
        <v>122</v>
      </c>
      <c r="E342" s="498"/>
      <c r="F342" s="498"/>
      <c r="G342" s="500"/>
      <c r="H342" s="502"/>
      <c r="I342" s="502"/>
      <c r="J342" s="513"/>
      <c r="K342" s="425"/>
      <c r="L342" s="492"/>
      <c r="M342" s="492"/>
      <c r="N342" s="492"/>
    </row>
    <row r="343" spans="2:14" ht="15" thickBot="1" x14ac:dyDescent="0.4">
      <c r="B343" s="203" t="s">
        <v>238</v>
      </c>
      <c r="C343" s="299" t="s">
        <v>64</v>
      </c>
      <c r="D343" s="204" t="s">
        <v>122</v>
      </c>
      <c r="E343" s="498"/>
      <c r="F343" s="498"/>
      <c r="G343" s="500"/>
      <c r="H343" s="502"/>
      <c r="I343" s="502"/>
      <c r="J343" s="510" t="s">
        <v>128</v>
      </c>
      <c r="K343" s="425"/>
      <c r="L343" s="491">
        <f>IFERROR(VLOOKUP($D343,$Y$9:$AB$9,2,FALSE)/IF($D343="Inhalation",IF($J343="Central Tendency",SUMIFS('Inhalation Exposure'!$O$5:$O$164,'Inhalation Exposure'!$B$5:$B$164,$B343,'Inhalation Exposure'!$D$5:$D$164,$C343),SUMIFS('Inhalation Exposure'!$N$5:$N$164,'Inhalation Exposure'!$B$5:$B$164,$B343,'Inhalation Exposure'!$D$5:$D$164,$C343))),"--")</f>
        <v>164.55223880597015</v>
      </c>
      <c r="M343" s="491">
        <f>IFERROR(VLOOKUP($D343,$Y$9:$AB$9,3,FALSE)/IF($D343="Inhalation",IF($J343="Central Tendency",SUMIFS('Inhalation Exposure'!$Q$5:$Q$164,'Inhalation Exposure'!$B$5:$B$164,$B343,'Inhalation Exposure'!$D$5:$D$164,$C343),SUMIFS('Inhalation Exposure'!$P$5:$P$164,'Inhalation Exposure'!$B$5:$B$164,$B343,'Inhalation Exposure'!$D$5:$D$164,$C343))),"--")</f>
        <v>2002.0522388059703</v>
      </c>
      <c r="N343" s="491">
        <f>IFERROR(VLOOKUP($D343,$Y$9:$AB$9,4,FALSE)*IF($D343="Inhalation",IF($J343="Central Tendency",SUMIFS('Inhalation Exposure'!$S$5:$S$164,'Inhalation Exposure'!$B$5:$B$164,$B343,'Inhalation Exposure'!$D$5:$D$164,$C343),SUMIFS('Inhalation Exposure'!$R$5:$R$164,'Inhalation Exposure'!$B$5:$B$164,$B343,'Inhalation Exposure'!$D$5:$D$164,$C343))),"--")</f>
        <v>1.945439644069781E-6</v>
      </c>
    </row>
    <row r="344" spans="2:14" ht="15" thickBot="1" x14ac:dyDescent="0.4">
      <c r="B344" s="203" t="s">
        <v>238</v>
      </c>
      <c r="C344" s="299" t="s">
        <v>64</v>
      </c>
      <c r="D344" s="204" t="s">
        <v>122</v>
      </c>
      <c r="E344" s="498"/>
      <c r="F344" s="498"/>
      <c r="G344" s="500"/>
      <c r="H344" s="503"/>
      <c r="I344" s="503"/>
      <c r="J344" s="511"/>
      <c r="K344" s="425"/>
      <c r="L344" s="497"/>
      <c r="M344" s="492"/>
      <c r="N344" s="492"/>
    </row>
    <row r="345" spans="2:14" ht="15.5" thickTop="1" thickBot="1" x14ac:dyDescent="0.4">
      <c r="B345" s="203" t="s">
        <v>239</v>
      </c>
      <c r="C345" s="299" t="s">
        <v>64</v>
      </c>
      <c r="D345" s="204" t="s">
        <v>122</v>
      </c>
      <c r="E345" s="498"/>
      <c r="F345" s="498"/>
      <c r="G345" s="500"/>
      <c r="H345" s="504" t="s">
        <v>157</v>
      </c>
      <c r="I345" s="506" t="s">
        <v>101</v>
      </c>
      <c r="J345" s="510" t="s">
        <v>69</v>
      </c>
      <c r="K345" s="425"/>
      <c r="L345" s="491">
        <f>IFERROR(VLOOKUP($D345,$Y$9:$AB$9,2,FALSE)/IF($D345="Inhalation",IF($J345="Central Tendency",SUMIFS('Inhalation Exposure'!$O$5:$O$164,'Inhalation Exposure'!$B$5:$B$164,$B345,'Inhalation Exposure'!$D$5:$D$164,$C345),SUMIFS('Inhalation Exposure'!$N$5:$N$164,'Inhalation Exposure'!$B$5:$B$164,$B345,'Inhalation Exposure'!$D$5:$D$164,$C345))),"--")</f>
        <v>281.24999999999994</v>
      </c>
      <c r="M345" s="491">
        <f>IFERROR(VLOOKUP($D345,$Y$9:$AB$9,3,FALSE)/IF($D345="Inhalation",IF($J345="Central Tendency",SUMIFS('Inhalation Exposure'!$Q$5:$Q$164,'Inhalation Exposure'!$B$5:$B$164,$B345,'Inhalation Exposure'!$D$5:$D$164,$C345),SUMIFS('Inhalation Exposure'!$P$5:$P$164,'Inhalation Exposure'!$B$5:$B$164,$B345,'Inhalation Exposure'!$D$5:$D$164,$C345))),"--")</f>
        <v>3421.8749999999995</v>
      </c>
      <c r="N345" s="491">
        <f>IFERROR(VLOOKUP($D345,$Y$9:$AB$9,4,FALSE)*IF($D345="Inhalation",IF($J345="Central Tendency",SUMIFS('Inhalation Exposure'!$S$5:$S$164,'Inhalation Exposure'!$B$5:$B$164,$B345,'Inhalation Exposure'!$D$5:$D$164,$C345),SUMIFS('Inhalation Exposure'!$R$5:$R$164,'Inhalation Exposure'!$B$5:$B$164,$B345,'Inhalation Exposure'!$D$5:$D$164,$C345))),"--")</f>
        <v>8.8212621472895455E-7</v>
      </c>
    </row>
    <row r="346" spans="2:14" ht="15" thickBot="1" x14ac:dyDescent="0.4">
      <c r="B346" s="203" t="s">
        <v>239</v>
      </c>
      <c r="C346" s="299" t="s">
        <v>64</v>
      </c>
      <c r="D346" s="204" t="s">
        <v>122</v>
      </c>
      <c r="E346" s="498"/>
      <c r="F346" s="498"/>
      <c r="G346" s="500"/>
      <c r="H346" s="502"/>
      <c r="I346" s="502"/>
      <c r="J346" s="513"/>
      <c r="K346" s="425"/>
      <c r="L346" s="492"/>
      <c r="M346" s="492"/>
      <c r="N346" s="492"/>
    </row>
    <row r="347" spans="2:14" ht="15" thickBot="1" x14ac:dyDescent="0.4">
      <c r="B347" s="203" t="s">
        <v>239</v>
      </c>
      <c r="C347" s="299" t="s">
        <v>64</v>
      </c>
      <c r="D347" s="204" t="s">
        <v>122</v>
      </c>
      <c r="E347" s="498"/>
      <c r="F347" s="498"/>
      <c r="G347" s="500"/>
      <c r="H347" s="502"/>
      <c r="I347" s="502"/>
      <c r="J347" s="510" t="s">
        <v>128</v>
      </c>
      <c r="K347" s="425"/>
      <c r="L347" s="491">
        <f>IFERROR(VLOOKUP($D347,$Y$9:$AB$9,2,FALSE)/IF($D347="Inhalation",IF($J347="Central Tendency",SUMIFS('Inhalation Exposure'!$O$5:$O$164,'Inhalation Exposure'!$B$5:$B$164,$B347,'Inhalation Exposure'!$D$5:$D$164,$C347),SUMIFS('Inhalation Exposure'!$N$5:$N$164,'Inhalation Exposure'!$B$5:$B$164,$B347,'Inhalation Exposure'!$D$5:$D$164,$C347))),"--")</f>
        <v>131.25</v>
      </c>
      <c r="M347" s="491">
        <f>IFERROR(VLOOKUP($D347,$Y$9:$AB$9,3,FALSE)/IF($D347="Inhalation",IF($J347="Central Tendency",SUMIFS('Inhalation Exposure'!$Q$5:$Q$164,'Inhalation Exposure'!$B$5:$B$164,$B347,'Inhalation Exposure'!$D$5:$D$164,$C347),SUMIFS('Inhalation Exposure'!$P$5:$P$164,'Inhalation Exposure'!$B$5:$B$164,$B347,'Inhalation Exposure'!$D$5:$D$164,$C347))),"--")</f>
        <v>1596.8749999999998</v>
      </c>
      <c r="N347" s="491">
        <f>IFERROR(VLOOKUP($D347,$Y$9:$AB$9,4,FALSE)*IF($D347="Inhalation",IF($J347="Central Tendency",SUMIFS('Inhalation Exposure'!$S$5:$S$164,'Inhalation Exposure'!$B$5:$B$164,$B347,'Inhalation Exposure'!$D$5:$D$164,$C347),SUMIFS('Inhalation Exposure'!$R$5:$R$164,'Inhalation Exposure'!$B$5:$B$164,$B347,'Inhalation Exposure'!$D$5:$D$164,$C347))),"--")</f>
        <v>2.4390586582367404E-6</v>
      </c>
    </row>
    <row r="348" spans="2:14" ht="15" thickBot="1" x14ac:dyDescent="0.4">
      <c r="B348" s="203" t="s">
        <v>239</v>
      </c>
      <c r="C348" s="299" t="s">
        <v>64</v>
      </c>
      <c r="D348" s="204" t="s">
        <v>122</v>
      </c>
      <c r="E348" s="498"/>
      <c r="F348" s="498"/>
      <c r="G348" s="500"/>
      <c r="H348" s="503"/>
      <c r="I348" s="503"/>
      <c r="J348" s="511"/>
      <c r="K348" s="425"/>
      <c r="L348" s="497"/>
      <c r="M348" s="492"/>
      <c r="N348" s="492"/>
    </row>
    <row r="349" spans="2:14" ht="15.5" thickTop="1" thickBot="1" x14ac:dyDescent="0.4">
      <c r="B349" s="203" t="s">
        <v>240</v>
      </c>
      <c r="C349" s="299" t="s">
        <v>64</v>
      </c>
      <c r="D349" s="204" t="s">
        <v>122</v>
      </c>
      <c r="E349" s="498"/>
      <c r="F349" s="498"/>
      <c r="G349" s="500"/>
      <c r="H349" s="506" t="s">
        <v>159</v>
      </c>
      <c r="I349" s="506" t="s">
        <v>101</v>
      </c>
      <c r="J349" s="510" t="s">
        <v>69</v>
      </c>
      <c r="K349" s="493" t="str">
        <f>IFERROR(VLOOKUP($D313,$Y$9:$AB$10,2,FALSE)/IF($D313="Inhalation",IF($J349="Central Tendency",SUMIFS(#REF!,#REF!,$B309,#REF!,$C313),SUMIFS(#REF!,#REF!,$B309,#REF!,$C313))),"--")</f>
        <v>--</v>
      </c>
      <c r="L349" s="496">
        <f>IFERROR(VLOOKUP($D349,$Y$9:$AB$9,2,FALSE)/IF($D349="Inhalation",IF($J349="Central Tendency",SUMIFS('Inhalation Exposure'!$O$5:$O$164,'Inhalation Exposure'!$B$5:$B$164,$B349,'Inhalation Exposure'!$D$5:$D$164,$C349),SUMIFS('Inhalation Exposure'!$N$5:$N$164,'Inhalation Exposure'!$B$5:$B$164,$B349,'Inhalation Exposure'!$D$5:$D$164,$C349))),"--")</f>
        <v>131.87799043062202</v>
      </c>
      <c r="M349" s="491">
        <f>IFERROR(VLOOKUP($D349,$Y$9:$AB$9,3,FALSE)/IF($D349="Inhalation",IF($J349="Central Tendency",SUMIFS('Inhalation Exposure'!$Q$5:$Q$164,'Inhalation Exposure'!$B$5:$B$164,$B349,'Inhalation Exposure'!$D$5:$D$164,$C349),SUMIFS('Inhalation Exposure'!$P$5:$P$164,'Inhalation Exposure'!$B$5:$B$164,$B349,'Inhalation Exposure'!$D$5:$D$164,$C349))),"--")</f>
        <v>135.76670040485831</v>
      </c>
      <c r="N349" s="491">
        <f>IFERROR(VLOOKUP($D349,$Y$9:$AB$9,4,FALSE)*IF($D349="Inhalation",IF($J349="Central Tendency",SUMIFS('Inhalation Exposure'!$S$5:$S$164,'Inhalation Exposure'!$B$5:$B$164,$B349,'Inhalation Exposure'!$D$5:$D$164,$C349),SUMIFS('Inhalation Exposure'!$R$5:$R$164,'Inhalation Exposure'!$B$5:$B$164,$B349,'Inhalation Exposure'!$D$5:$D$164,$C349))),"--")</f>
        <v>2.223318112633181E-5</v>
      </c>
    </row>
    <row r="350" spans="2:14" ht="15" thickBot="1" x14ac:dyDescent="0.4">
      <c r="B350" s="203" t="s">
        <v>240</v>
      </c>
      <c r="C350" s="299" t="s">
        <v>64</v>
      </c>
      <c r="D350" s="204" t="s">
        <v>122</v>
      </c>
      <c r="E350" s="498"/>
      <c r="F350" s="498"/>
      <c r="G350" s="500"/>
      <c r="H350" s="502"/>
      <c r="I350" s="502"/>
      <c r="J350" s="513"/>
      <c r="K350" s="495"/>
      <c r="L350" s="492"/>
      <c r="M350" s="492"/>
      <c r="N350" s="492"/>
    </row>
    <row r="351" spans="2:14" ht="15" thickBot="1" x14ac:dyDescent="0.4">
      <c r="B351" s="203" t="s">
        <v>240</v>
      </c>
      <c r="C351" s="299" t="s">
        <v>64</v>
      </c>
      <c r="D351" s="204" t="s">
        <v>122</v>
      </c>
      <c r="E351" s="498"/>
      <c r="F351" s="498"/>
      <c r="G351" s="500"/>
      <c r="H351" s="502"/>
      <c r="I351" s="502"/>
      <c r="J351" s="510" t="s">
        <v>128</v>
      </c>
      <c r="K351" s="493" t="str">
        <f>IFERROR(VLOOKUP($D315,$Y$9:$AB$10,2,FALSE)/IF($D315="Inhalation",IF($J351="Central Tendency",SUMIFS(#REF!,#REF!,$B311,#REF!,$C315),SUMIFS(#REF!,#REF!,$B311,#REF!,$C315))),"--")</f>
        <v>--</v>
      </c>
      <c r="L351" s="491">
        <f>IFERROR(VLOOKUP($D351,$Y$9:$AB$9,2,FALSE)/IF($D351="Inhalation",IF($J351="Central Tendency",SUMIFS('Inhalation Exposure'!$O$5:$O$164,'Inhalation Exposure'!$B$5:$B$164,$B351,'Inhalation Exposure'!$D$5:$D$164,$C351),SUMIFS('Inhalation Exposure'!$N$5:$N$164,'Inhalation Exposure'!$B$5:$B$164,$B351,'Inhalation Exposure'!$D$5:$D$164,$C351))),"--")</f>
        <v>13.767482517482518</v>
      </c>
      <c r="M351" s="491">
        <f>IFERROR(VLOOKUP($D351,$Y$9:$AB$9,3,FALSE)/IF($D351="Inhalation",IF($J351="Central Tendency",SUMIFS('Inhalation Exposure'!$Q$5:$Q$164,'Inhalation Exposure'!$B$5:$B$164,$B351,'Inhalation Exposure'!$D$5:$D$164,$C351),SUMIFS('Inhalation Exposure'!$P$5:$P$164,'Inhalation Exposure'!$B$5:$B$164,$B351,'Inhalation Exposure'!$D$5:$D$164,$C351))),"--")</f>
        <v>14.173446745562131</v>
      </c>
      <c r="N351" s="491">
        <f>IFERROR(VLOOKUP($D351,$Y$9:$AB$9,4,FALSE)*IF($D351="Inhalation",IF($J351="Central Tendency",SUMIFS('Inhalation Exposure'!$S$5:$S$164,'Inhalation Exposure'!$B$5:$B$164,$B351,'Inhalation Exposure'!$D$5:$D$164,$C351),SUMIFS('Inhalation Exposure'!$R$5:$R$164,'Inhalation Exposure'!$B$5:$B$164,$B351,'Inhalation Exposure'!$D$5:$D$164,$C351))),"--")</f>
        <v>2.7480060882800603E-4</v>
      </c>
    </row>
    <row r="352" spans="2:14" ht="15" thickBot="1" x14ac:dyDescent="0.4">
      <c r="B352" s="203" t="s">
        <v>240</v>
      </c>
      <c r="C352" s="299" t="s">
        <v>64</v>
      </c>
      <c r="D352" s="204" t="s">
        <v>122</v>
      </c>
      <c r="E352" s="498"/>
      <c r="F352" s="498"/>
      <c r="G352" s="500"/>
      <c r="H352" s="503"/>
      <c r="I352" s="503"/>
      <c r="J352" s="511"/>
      <c r="K352" s="495"/>
      <c r="L352" s="497"/>
      <c r="M352" s="492"/>
      <c r="N352" s="492"/>
    </row>
    <row r="353" spans="2:14" ht="15.5" thickTop="1" thickBot="1" x14ac:dyDescent="0.4">
      <c r="B353" s="203" t="s">
        <v>241</v>
      </c>
      <c r="C353" s="299" t="s">
        <v>68</v>
      </c>
      <c r="D353" s="204" t="s">
        <v>122</v>
      </c>
      <c r="E353" s="498"/>
      <c r="F353" s="498"/>
      <c r="G353" s="500"/>
      <c r="H353" s="504" t="s">
        <v>68</v>
      </c>
      <c r="I353" s="506" t="s">
        <v>101</v>
      </c>
      <c r="J353" s="510" t="s">
        <v>69</v>
      </c>
      <c r="K353" s="493" t="str">
        <f>IFERROR(VLOOKUP($D317,$Y$9:$AB$10,2,FALSE)/IF($D317="Inhalation",IF($J353="Central Tendency",SUMIFS(#REF!,#REF!,$B313,#REF!,$C317),SUMIFS(#REF!,#REF!,$B313,#REF!,$C317))),"--")</f>
        <v>--</v>
      </c>
      <c r="L353" s="491">
        <f>IFERROR(VLOOKUP($D353,$Y$9:$AB$9,2,FALSE)/IF($D353="Inhalation",IF($J353="Central Tendency",SUMIFS('Inhalation Exposure'!$O$5:$O$164,'Inhalation Exposure'!$B$5:$B$164,$B353,'Inhalation Exposure'!$D$5:$D$164,$C353),SUMIFS('Inhalation Exposure'!$N$5:$N$164,'Inhalation Exposure'!$B$5:$B$164,$B353,'Inhalation Exposure'!$D$5:$D$164,$C353))),"--")</f>
        <v>626.4204545454545</v>
      </c>
      <c r="M353" s="491">
        <f>IFERROR(VLOOKUP($D353,$Y$9:$AB$9,3,FALSE)/IF($D353="Inhalation",IF($J353="Central Tendency",SUMIFS('Inhalation Exposure'!$Q$5:$Q$164,'Inhalation Exposure'!$B$5:$B$164,$B353,'Inhalation Exposure'!$D$5:$D$164,$C353),SUMIFS('Inhalation Exposure'!$P$5:$P$164,'Inhalation Exposure'!$B$5:$B$164,$B353,'Inhalation Exposure'!$D$5:$D$164,$C353))),"--")</f>
        <v>644.89182692307691</v>
      </c>
      <c r="N353" s="491">
        <f>IFERROR(VLOOKUP($D353,$Y$9:$AB$9,4,FALSE)*IF($D353="Inhalation",IF($J353="Central Tendency",SUMIFS('Inhalation Exposure'!$S$5:$S$164,'Inhalation Exposure'!$B$5:$B$164,$B353,'Inhalation Exposure'!$D$5:$D$164,$C353),SUMIFS('Inhalation Exposure'!$R$5:$R$164,'Inhalation Exposure'!$B$5:$B$164,$B353,'Inhalation Exposure'!$D$5:$D$164,$C353))),"--")</f>
        <v>4.6806697108066976E-6</v>
      </c>
    </row>
    <row r="354" spans="2:14" ht="15" thickBot="1" x14ac:dyDescent="0.4">
      <c r="B354" s="203" t="s">
        <v>241</v>
      </c>
      <c r="C354" s="299" t="s">
        <v>68</v>
      </c>
      <c r="D354" s="204" t="s">
        <v>122</v>
      </c>
      <c r="E354" s="498"/>
      <c r="F354" s="498"/>
      <c r="G354" s="500"/>
      <c r="H354" s="502"/>
      <c r="I354" s="502"/>
      <c r="J354" s="513"/>
      <c r="K354" s="495"/>
      <c r="L354" s="492"/>
      <c r="M354" s="492"/>
      <c r="N354" s="492"/>
    </row>
    <row r="355" spans="2:14" ht="15" thickBot="1" x14ac:dyDescent="0.4">
      <c r="B355" s="203" t="s">
        <v>241</v>
      </c>
      <c r="C355" s="299" t="s">
        <v>68</v>
      </c>
      <c r="D355" s="204" t="s">
        <v>122</v>
      </c>
      <c r="E355" s="498"/>
      <c r="F355" s="498"/>
      <c r="G355" s="500"/>
      <c r="H355" s="502"/>
      <c r="I355" s="502"/>
      <c r="J355" s="510" t="s">
        <v>128</v>
      </c>
      <c r="K355" s="493" t="str">
        <f>IFERROR(VLOOKUP($D319,$Y$9:$AB$10,2,FALSE)/IF($D319="Inhalation",IF($J355="Central Tendency",SUMIFS(#REF!,#REF!,$B315,#REF!,$C319),SUMIFS(#REF!,#REF!,$B315,#REF!,$C319))),"--")</f>
        <v>--</v>
      </c>
      <c r="L355" s="491">
        <f>IFERROR(VLOOKUP($D355,$Y$9:$AB$9,2,FALSE)/IF($D355="Inhalation",IF($J355="Central Tendency",SUMIFS('Inhalation Exposure'!$O$5:$O$164,'Inhalation Exposure'!$B$5:$B$164,$B355,'Inhalation Exposure'!$D$5:$D$164,$C355),SUMIFS('Inhalation Exposure'!$N$5:$N$164,'Inhalation Exposure'!$B$5:$B$164,$B355,'Inhalation Exposure'!$D$5:$D$164,$C355))),"--")</f>
        <v>294.78609625668446</v>
      </c>
      <c r="M355" s="491">
        <f>IFERROR(VLOOKUP($D355,$Y$9:$AB$9,3,FALSE)/IF($D355="Inhalation",IF($J355="Central Tendency",SUMIFS('Inhalation Exposure'!$Q$5:$Q$164,'Inhalation Exposure'!$B$5:$B$164,$B355,'Inhalation Exposure'!$D$5:$D$164,$C355),SUMIFS('Inhalation Exposure'!$P$5:$P$164,'Inhalation Exposure'!$B$5:$B$164,$B355,'Inhalation Exposure'!$D$5:$D$164,$C355))),"--")</f>
        <v>303.47850678733033</v>
      </c>
      <c r="N355" s="491">
        <f>IFERROR(VLOOKUP($D355,$Y$9:$AB$9,4,FALSE)*IF($D355="Inhalation",IF($J355="Central Tendency",SUMIFS('Inhalation Exposure'!$S$5:$S$164,'Inhalation Exposure'!$B$5:$B$164,$B355,'Inhalation Exposure'!$D$5:$D$164,$C355),SUMIFS('Inhalation Exposure'!$R$5:$R$164,'Inhalation Exposure'!$B$5:$B$164,$B355,'Inhalation Exposure'!$D$5:$D$164,$C355))),"--")</f>
        <v>1.2834094368340944E-5</v>
      </c>
    </row>
    <row r="356" spans="2:14" ht="15" thickBot="1" x14ac:dyDescent="0.4">
      <c r="B356" s="203" t="s">
        <v>241</v>
      </c>
      <c r="C356" s="299" t="s">
        <v>68</v>
      </c>
      <c r="D356" s="204" t="s">
        <v>122</v>
      </c>
      <c r="E356" s="499"/>
      <c r="F356" s="499"/>
      <c r="G356" s="501"/>
      <c r="H356" s="505"/>
      <c r="I356" s="505"/>
      <c r="J356" s="513"/>
      <c r="K356" s="507"/>
      <c r="L356" s="497"/>
      <c r="M356" s="492"/>
      <c r="N356" s="492"/>
    </row>
    <row r="357" spans="2:14" ht="15" customHeight="1" thickTop="1" thickBot="1" x14ac:dyDescent="0.4">
      <c r="B357" s="203" t="s">
        <v>242</v>
      </c>
      <c r="C357" s="204" t="s">
        <v>64</v>
      </c>
      <c r="D357" s="204" t="s">
        <v>122</v>
      </c>
      <c r="E357" s="498" t="s">
        <v>223</v>
      </c>
      <c r="F357" s="498" t="s">
        <v>224</v>
      </c>
      <c r="G357" s="500" t="s">
        <v>243</v>
      </c>
      <c r="H357" s="502" t="s">
        <v>126</v>
      </c>
      <c r="I357" s="502" t="s">
        <v>163</v>
      </c>
      <c r="J357" s="512" t="s">
        <v>69</v>
      </c>
      <c r="K357" s="494" t="str">
        <f>IFERROR(VLOOKUP($D357,$Y$9:$AB$10,2,FALSE)/IF($D357="Inhalation",IF($J357="Central Tendency",SUMIFS(#REF!,#REF!,$B357,#REF!,$C357),SUMIFS(#REF!,#REF!,$B357,#REF!,$C357))),"--")</f>
        <v>--</v>
      </c>
      <c r="L357" s="496">
        <f>IFERROR(VLOOKUP($D357,$Y$9:$AB$9,2,FALSE)/IF($D357="Inhalation",IF($J357="Central Tendency",SUMIFS('Inhalation Exposure'!$O$5:$O$164,'Inhalation Exposure'!$B$5:$B$164,$B357,'Inhalation Exposure'!$D$5:$D$164,$C357),SUMIFS('Inhalation Exposure'!$N$5:$N$164,'Inhalation Exposure'!$B$5:$B$164,$B357,'Inhalation Exposure'!$D$5:$D$164,$C357))),"--")</f>
        <v>133.63636363636363</v>
      </c>
      <c r="M357" s="491">
        <f>IFERROR(VLOOKUP($D357,$Y$9:$AB$9,3,FALSE)/IF($D357="Inhalation",IF($J357="Central Tendency",SUMIFS('Inhalation Exposure'!$Q$5:$Q$164,'Inhalation Exposure'!$B$5:$B$164,$B357,'Inhalation Exposure'!$D$5:$D$164,$C357),SUMIFS('Inhalation Exposure'!$P$5:$P$164,'Inhalation Exposure'!$B$5:$B$164,$B357,'Inhalation Exposure'!$D$5:$D$164,$C357))),"--")</f>
        <v>214.19161676646701</v>
      </c>
      <c r="N357" s="491">
        <f>IFERROR(VLOOKUP($D357,$Y$9:$AB$9,4,FALSE)*IF($D357="Inhalation",IF($J357="Central Tendency",SUMIFS('Inhalation Exposure'!$S$5:$S$164,'Inhalation Exposure'!$B$5:$B$164,$B357,'Inhalation Exposure'!$D$5:$D$164,$C357),SUMIFS('Inhalation Exposure'!$R$5:$R$164,'Inhalation Exposure'!$B$5:$B$164,$B357,'Inhalation Exposure'!$D$5:$D$164,$C357))),"--")</f>
        <v>1.4092641376887955E-5</v>
      </c>
    </row>
    <row r="358" spans="2:14" ht="15" thickBot="1" x14ac:dyDescent="0.4">
      <c r="B358" s="203" t="s">
        <v>242</v>
      </c>
      <c r="C358" s="204" t="s">
        <v>64</v>
      </c>
      <c r="D358" s="204" t="s">
        <v>122</v>
      </c>
      <c r="E358" s="498"/>
      <c r="F358" s="498"/>
      <c r="G358" s="500"/>
      <c r="H358" s="502"/>
      <c r="I358" s="502"/>
      <c r="J358" s="513"/>
      <c r="K358" s="495"/>
      <c r="L358" s="492"/>
      <c r="M358" s="492"/>
      <c r="N358" s="492"/>
    </row>
    <row r="359" spans="2:14" ht="15" thickBot="1" x14ac:dyDescent="0.4">
      <c r="B359" s="203" t="s">
        <v>242</v>
      </c>
      <c r="C359" s="204" t="s">
        <v>64</v>
      </c>
      <c r="D359" s="204" t="s">
        <v>122</v>
      </c>
      <c r="E359" s="498"/>
      <c r="F359" s="498"/>
      <c r="G359" s="500"/>
      <c r="H359" s="502"/>
      <c r="I359" s="502"/>
      <c r="J359" s="510" t="s">
        <v>128</v>
      </c>
      <c r="K359" s="493" t="str">
        <f>IFERROR(VLOOKUP($D359,$Y$9:$AB$10,2,FALSE)/IF($D359="Inhalation",IF($J359="Central Tendency",SUMIFS(#REF!,#REF!,$B359,#REF!,$C359),SUMIFS(#REF!,#REF!,$B359,#REF!,$C359))),"--")</f>
        <v>--</v>
      </c>
      <c r="L359" s="491">
        <f>IFERROR(VLOOKUP($D359,$Y$9:$AB$9,2,FALSE)/IF($D359="Inhalation",IF($J359="Central Tendency",SUMIFS('Inhalation Exposure'!$O$5:$O$164,'Inhalation Exposure'!$B$5:$B$164,$B359,'Inhalation Exposure'!$D$5:$D$164,$C359),SUMIFS('Inhalation Exposure'!$N$5:$N$164,'Inhalation Exposure'!$B$5:$B$164,$B359,'Inhalation Exposure'!$D$5:$D$164,$C359))),"--")</f>
        <v>7.4407774853209148</v>
      </c>
      <c r="M359" s="491">
        <f>IFERROR(VLOOKUP($D359,$Y$9:$AB$9,3,FALSE)/IF($D359="Inhalation",IF($J359="Central Tendency",SUMIFS('Inhalation Exposure'!$Q$5:$Q$164,'Inhalation Exposure'!$B$5:$B$164,$B359,'Inhalation Exposure'!$D$5:$D$164,$C359),SUMIFS('Inhalation Exposure'!$P$5:$P$164,'Inhalation Exposure'!$B$5:$B$164,$B359,'Inhalation Exposure'!$D$5:$D$164,$C359))),"--")</f>
        <v>11.926036568288813</v>
      </c>
      <c r="N359" s="491">
        <f>IFERROR(VLOOKUP($D359,$Y$9:$AB$9,4,FALSE)*IF($D359="Inhalation",IF($J359="Central Tendency",SUMIFS('Inhalation Exposure'!$S$5:$S$164,'Inhalation Exposure'!$B$5:$B$164,$B359,'Inhalation Exposure'!$D$5:$D$164,$C359),SUMIFS('Inhalation Exposure'!$R$5:$R$164,'Inhalation Exposure'!$B$5:$B$164,$B359,'Inhalation Exposure'!$D$5:$D$164,$C359))),"--")</f>
        <v>3.2658559887600977E-4</v>
      </c>
    </row>
    <row r="360" spans="2:14" ht="15" thickBot="1" x14ac:dyDescent="0.4">
      <c r="B360" s="203" t="s">
        <v>242</v>
      </c>
      <c r="C360" s="204" t="s">
        <v>64</v>
      </c>
      <c r="D360" s="204" t="s">
        <v>122</v>
      </c>
      <c r="E360" s="498"/>
      <c r="F360" s="498"/>
      <c r="G360" s="500"/>
      <c r="H360" s="503"/>
      <c r="I360" s="503"/>
      <c r="J360" s="511"/>
      <c r="K360" s="495"/>
      <c r="L360" s="497"/>
      <c r="M360" s="492"/>
      <c r="N360" s="492"/>
    </row>
    <row r="361" spans="2:14" ht="15" thickBot="1" x14ac:dyDescent="0.4">
      <c r="B361" s="203" t="s">
        <v>244</v>
      </c>
      <c r="C361" s="204" t="s">
        <v>64</v>
      </c>
      <c r="D361" s="204" t="s">
        <v>122</v>
      </c>
      <c r="E361" s="498"/>
      <c r="F361" s="498"/>
      <c r="G361" s="500"/>
      <c r="H361" s="506" t="s">
        <v>130</v>
      </c>
      <c r="I361" s="506" t="s">
        <v>163</v>
      </c>
      <c r="J361" s="510" t="s">
        <v>69</v>
      </c>
      <c r="K361" s="425"/>
      <c r="L361" s="491">
        <f>IFERROR(VLOOKUP($D361,$Y$9:$AB$9,2,FALSE)/IF($D361="Inhalation",IF($J361="Central Tendency",SUMIFS('Inhalation Exposure'!$O$5:$O$164,'Inhalation Exposure'!$B$5:$B$164,$B361,'Inhalation Exposure'!$D$5:$D$164,$C361),SUMIFS('Inhalation Exposure'!$N$5:$N$164,'Inhalation Exposure'!$B$5:$B$164,$B361,'Inhalation Exposure'!$D$5:$D$164,$C361))),"--")</f>
        <v>39.72972972972974</v>
      </c>
      <c r="M361" s="491">
        <f>IFERROR(VLOOKUP($D361,$Y$9:$AB$9,3,FALSE)/IF($D361="Inhalation",IF($J361="Central Tendency",SUMIFS('Inhalation Exposure'!$Q$5:$Q$164,'Inhalation Exposure'!$B$5:$B$164,$B361,'Inhalation Exposure'!$D$5:$D$164,$C361),SUMIFS('Inhalation Exposure'!$P$5:$P$164,'Inhalation Exposure'!$B$5:$B$164,$B361,'Inhalation Exposure'!$D$5:$D$164,$C361))),"--")</f>
        <v>483.3783783783785</v>
      </c>
      <c r="N361" s="491">
        <f>IFERROR(VLOOKUP($D361,$Y$9:$AB$9,4,FALSE)*IF($D361="Inhalation",IF($J361="Central Tendency",SUMIFS('Inhalation Exposure'!$S$5:$S$164,'Inhalation Exposure'!$B$5:$B$164,$B361,'Inhalation Exposure'!$D$5:$D$164,$C361),SUMIFS('Inhalation Exposure'!$R$5:$R$164,'Inhalation Exposure'!$B$5:$B$164,$B361,'Inhalation Exposure'!$D$5:$D$164,$C361))),"--")</f>
        <v>6.2446434843695089E-6</v>
      </c>
    </row>
    <row r="362" spans="2:14" ht="15" thickBot="1" x14ac:dyDescent="0.4">
      <c r="B362" s="203" t="s">
        <v>244</v>
      </c>
      <c r="C362" s="204" t="s">
        <v>64</v>
      </c>
      <c r="D362" s="204" t="s">
        <v>122</v>
      </c>
      <c r="E362" s="498"/>
      <c r="F362" s="498"/>
      <c r="G362" s="500"/>
      <c r="H362" s="502"/>
      <c r="I362" s="502"/>
      <c r="J362" s="513"/>
      <c r="K362" s="425"/>
      <c r="L362" s="492"/>
      <c r="M362" s="492"/>
      <c r="N362" s="492"/>
    </row>
    <row r="363" spans="2:14" ht="15" thickBot="1" x14ac:dyDescent="0.4">
      <c r="B363" s="203" t="s">
        <v>244</v>
      </c>
      <c r="C363" s="204" t="s">
        <v>64</v>
      </c>
      <c r="D363" s="204" t="s">
        <v>122</v>
      </c>
      <c r="E363" s="498"/>
      <c r="F363" s="498"/>
      <c r="G363" s="500"/>
      <c r="H363" s="502"/>
      <c r="I363" s="502"/>
      <c r="J363" s="510" t="s">
        <v>128</v>
      </c>
      <c r="K363" s="425"/>
      <c r="L363" s="491">
        <f>IFERROR(VLOOKUP($D363,$Y$9:$AB$9,2,FALSE)/IF($D363="Inhalation",IF($J363="Central Tendency",SUMIFS('Inhalation Exposure'!$O$5:$O$164,'Inhalation Exposure'!$B$5:$B$164,$B363,'Inhalation Exposure'!$D$5:$D$164,$C363),SUMIFS('Inhalation Exposure'!$N$5:$N$164,'Inhalation Exposure'!$B$5:$B$164,$B363,'Inhalation Exposure'!$D$5:$D$164,$C363))),"--")</f>
        <v>18.749999999999996</v>
      </c>
      <c r="M363" s="491">
        <f>IFERROR(VLOOKUP($D363,$Y$9:$AB$9,3,FALSE)/IF($D363="Inhalation",IF($J363="Central Tendency",SUMIFS('Inhalation Exposure'!$Q$5:$Q$164,'Inhalation Exposure'!$B$5:$B$164,$B363,'Inhalation Exposure'!$D$5:$D$164,$C363),SUMIFS('Inhalation Exposure'!$P$5:$P$164,'Inhalation Exposure'!$B$5:$B$164,$B363,'Inhalation Exposure'!$D$5:$D$164,$C363))),"--")</f>
        <v>228.12499999999991</v>
      </c>
      <c r="N363" s="491">
        <f>IFERROR(VLOOKUP($D363,$Y$9:$AB$9,4,FALSE)*IF($D363="Inhalation",IF($J363="Central Tendency",SUMIFS('Inhalation Exposure'!$S$5:$S$164,'Inhalation Exposure'!$B$5:$B$164,$B363,'Inhalation Exposure'!$D$5:$D$164,$C363),SUMIFS('Inhalation Exposure'!$R$5:$R$164,'Inhalation Exposure'!$B$5:$B$164,$B363,'Inhalation Exposure'!$D$5:$D$164,$C363))),"--")</f>
        <v>1.7073410607657187E-5</v>
      </c>
    </row>
    <row r="364" spans="2:14" ht="15" thickBot="1" x14ac:dyDescent="0.4">
      <c r="B364" s="203" t="s">
        <v>244</v>
      </c>
      <c r="C364" s="204" t="s">
        <v>64</v>
      </c>
      <c r="D364" s="204" t="s">
        <v>122</v>
      </c>
      <c r="E364" s="498"/>
      <c r="F364" s="498"/>
      <c r="G364" s="500"/>
      <c r="H364" s="503"/>
      <c r="I364" s="503"/>
      <c r="J364" s="511"/>
      <c r="K364" s="425"/>
      <c r="L364" s="497"/>
      <c r="M364" s="492"/>
      <c r="N364" s="492"/>
    </row>
    <row r="365" spans="2:14" ht="15.5" thickTop="1" thickBot="1" x14ac:dyDescent="0.4">
      <c r="B365" s="203" t="s">
        <v>245</v>
      </c>
      <c r="C365" s="204" t="s">
        <v>64</v>
      </c>
      <c r="D365" s="204" t="s">
        <v>122</v>
      </c>
      <c r="E365" s="498"/>
      <c r="F365" s="498"/>
      <c r="G365" s="500"/>
      <c r="H365" s="504" t="s">
        <v>132</v>
      </c>
      <c r="I365" s="506" t="s">
        <v>163</v>
      </c>
      <c r="J365" s="510" t="s">
        <v>69</v>
      </c>
      <c r="K365" s="493" t="str">
        <f>IFERROR(VLOOKUP($D361,$Y$9:$AB$10,2,FALSE)/IF($D361="Inhalation",IF($J365="Central Tendency",SUMIFS(#REF!,#REF!,$B361,#REF!,$C361),SUMIFS(#REF!,#REF!,$B361,#REF!,$C361))),"--")</f>
        <v>--</v>
      </c>
      <c r="L365" s="496">
        <f>IFERROR(VLOOKUP($D365,$Y$9:$AB$9,2,FALSE)/IF($D365="Inhalation",IF($J365="Central Tendency",SUMIFS('Inhalation Exposure'!$O$5:$O$164,'Inhalation Exposure'!$B$5:$B$164,$B365,'Inhalation Exposure'!$D$5:$D$164,$C365),SUMIFS('Inhalation Exposure'!$N$5:$N$164,'Inhalation Exposure'!$B$5:$B$164,$B365,'Inhalation Exposure'!$D$5:$D$164,$C365))),"--")</f>
        <v>167.04545454545456</v>
      </c>
      <c r="M365" s="491">
        <f>IFERROR(VLOOKUP($D365,$Y$9:$AB$9,3,FALSE)/IF($D365="Inhalation",IF($J365="Central Tendency",SUMIFS('Inhalation Exposure'!$Q$5:$Q$164,'Inhalation Exposure'!$B$5:$B$164,$B365,'Inhalation Exposure'!$D$5:$D$164,$C365),SUMIFS('Inhalation Exposure'!$P$5:$P$164,'Inhalation Exposure'!$B$5:$B$164,$B365,'Inhalation Exposure'!$D$5:$D$164,$C365))),"--")</f>
        <v>267.7395209580838</v>
      </c>
      <c r="N365" s="491">
        <f>IFERROR(VLOOKUP($D365,$Y$9:$AB$9,4,FALSE)*IF($D365="Inhalation",IF($J365="Central Tendency",SUMIFS('Inhalation Exposure'!$S$5:$S$164,'Inhalation Exposure'!$B$5:$B$164,$B365,'Inhalation Exposure'!$D$5:$D$164,$C365),SUMIFS('Inhalation Exposure'!$R$5:$R$164,'Inhalation Exposure'!$B$5:$B$164,$B365,'Inhalation Exposure'!$D$5:$D$164,$C365))),"--")</f>
        <v>1.1274113101510361E-5</v>
      </c>
    </row>
    <row r="366" spans="2:14" ht="15" thickBot="1" x14ac:dyDescent="0.4">
      <c r="B366" s="203" t="s">
        <v>245</v>
      </c>
      <c r="C366" s="204" t="s">
        <v>64</v>
      </c>
      <c r="D366" s="204" t="s">
        <v>122</v>
      </c>
      <c r="E366" s="498"/>
      <c r="F366" s="498"/>
      <c r="G366" s="500"/>
      <c r="H366" s="502"/>
      <c r="I366" s="502"/>
      <c r="J366" s="513"/>
      <c r="K366" s="495"/>
      <c r="L366" s="492"/>
      <c r="M366" s="492"/>
      <c r="N366" s="492"/>
    </row>
    <row r="367" spans="2:14" ht="15" thickBot="1" x14ac:dyDescent="0.4">
      <c r="B367" s="203" t="s">
        <v>245</v>
      </c>
      <c r="C367" s="204" t="s">
        <v>64</v>
      </c>
      <c r="D367" s="204" t="s">
        <v>122</v>
      </c>
      <c r="E367" s="498"/>
      <c r="F367" s="498"/>
      <c r="G367" s="500"/>
      <c r="H367" s="502"/>
      <c r="I367" s="502"/>
      <c r="J367" s="510" t="s">
        <v>128</v>
      </c>
      <c r="K367" s="493" t="str">
        <f>IFERROR(VLOOKUP($D363,$Y$9:$AB$10,2,FALSE)/IF($D363="Inhalation",IF($J367="Central Tendency",SUMIFS(#REF!,#REF!,$B363,#REF!,$C363),SUMIFS(#REF!,#REF!,$B363,#REF!,$C363))),"--")</f>
        <v>--</v>
      </c>
      <c r="L367" s="491">
        <f>IFERROR(VLOOKUP($D367,$Y$9:$AB$9,2,FALSE)/IF($D367="Inhalation",IF($J367="Central Tendency",SUMIFS('Inhalation Exposure'!$O$5:$O$164,'Inhalation Exposure'!$B$5:$B$164,$B367,'Inhalation Exposure'!$D$5:$D$164,$C367),SUMIFS('Inhalation Exposure'!$N$5:$N$164,'Inhalation Exposure'!$B$5:$B$164,$B367,'Inhalation Exposure'!$D$5:$D$164,$C367))),"--")</f>
        <v>20.88068181818182</v>
      </c>
      <c r="M367" s="491">
        <f>IFERROR(VLOOKUP($D367,$Y$9:$AB$9,3,FALSE)/IF($D367="Inhalation",IF($J367="Central Tendency",SUMIFS('Inhalation Exposure'!$Q$5:$Q$164,'Inhalation Exposure'!$B$5:$B$164,$B367,'Inhalation Exposure'!$D$5:$D$164,$C367),SUMIFS('Inhalation Exposure'!$P$5:$P$164,'Inhalation Exposure'!$B$5:$B$164,$B367,'Inhalation Exposure'!$D$5:$D$164,$C367))),"--")</f>
        <v>33.467440119760482</v>
      </c>
      <c r="N367" s="491">
        <f>IFERROR(VLOOKUP($D367,$Y$9:$AB$9,4,FALSE)*IF($D367="Inhalation",IF($J367="Central Tendency",SUMIFS('Inhalation Exposure'!$S$5:$S$164,'Inhalation Exposure'!$B$5:$B$164,$B367,'Inhalation Exposure'!$D$5:$D$164,$C367),SUMIFS('Inhalation Exposure'!$R$5:$R$164,'Inhalation Exposure'!$B$5:$B$164,$B367,'Inhalation Exposure'!$D$5:$D$164,$C367))),"--")</f>
        <v>1.1637794169301016E-4</v>
      </c>
    </row>
    <row r="368" spans="2:14" ht="15" thickBot="1" x14ac:dyDescent="0.4">
      <c r="B368" s="203" t="s">
        <v>245</v>
      </c>
      <c r="C368" s="204" t="s">
        <v>64</v>
      </c>
      <c r="D368" s="204" t="s">
        <v>122</v>
      </c>
      <c r="E368" s="498"/>
      <c r="F368" s="498"/>
      <c r="G368" s="500"/>
      <c r="H368" s="503"/>
      <c r="I368" s="503"/>
      <c r="J368" s="511"/>
      <c r="K368" s="495"/>
      <c r="L368" s="497"/>
      <c r="M368" s="492"/>
      <c r="N368" s="492"/>
    </row>
    <row r="369" spans="2:14" ht="15.5" thickTop="1" thickBot="1" x14ac:dyDescent="0.4">
      <c r="B369" s="203" t="s">
        <v>246</v>
      </c>
      <c r="C369" s="204" t="s">
        <v>64</v>
      </c>
      <c r="D369" s="204" t="s">
        <v>122</v>
      </c>
      <c r="E369" s="498"/>
      <c r="F369" s="498"/>
      <c r="G369" s="500"/>
      <c r="H369" s="504" t="s">
        <v>134</v>
      </c>
      <c r="I369" s="506" t="s">
        <v>163</v>
      </c>
      <c r="J369" s="510" t="s">
        <v>69</v>
      </c>
      <c r="K369" s="425"/>
      <c r="L369" s="491">
        <f>IFERROR(VLOOKUP($D369,$Y$9:$AB$9,2,FALSE)/IF($D369="Inhalation",IF($J369="Central Tendency",SUMIFS('Inhalation Exposure'!$O$5:$O$164,'Inhalation Exposure'!$B$5:$B$164,$B369,'Inhalation Exposure'!$D$5:$D$164,$C369),SUMIFS('Inhalation Exposure'!$N$5:$N$164,'Inhalation Exposure'!$B$5:$B$164,$B369,'Inhalation Exposure'!$D$5:$D$164,$C369))),"--")</f>
        <v>326.66666666666663</v>
      </c>
      <c r="M369" s="491">
        <f>IFERROR(VLOOKUP($D369,$Y$9:$AB$9,3,FALSE)/IF($D369="Inhalation",IF($J369="Central Tendency",SUMIFS('Inhalation Exposure'!$Q$5:$Q$164,'Inhalation Exposure'!$B$5:$B$164,$B369,'Inhalation Exposure'!$D$5:$D$164,$C369),SUMIFS('Inhalation Exposure'!$P$5:$P$164,'Inhalation Exposure'!$B$5:$B$164,$B369,'Inhalation Exposure'!$D$5:$D$164,$C369))),"--")</f>
        <v>1375.7692307692305</v>
      </c>
      <c r="N369" s="491">
        <f>IFERROR(VLOOKUP($D369,$Y$9:$AB$9,4,FALSE)*IF($D369="Inhalation",IF($J369="Central Tendency",SUMIFS('Inhalation Exposure'!$S$5:$S$164,'Inhalation Exposure'!$B$5:$B$164,$B369,'Inhalation Exposure'!$D$5:$D$164,$C369),SUMIFS('Inhalation Exposure'!$R$5:$R$164,'Inhalation Exposure'!$B$5:$B$164,$B369,'Inhalation Exposure'!$D$5:$D$164,$C369))),"--")</f>
        <v>2.1940639269406391E-6</v>
      </c>
    </row>
    <row r="370" spans="2:14" ht="15" thickBot="1" x14ac:dyDescent="0.4">
      <c r="B370" s="203" t="s">
        <v>246</v>
      </c>
      <c r="C370" s="204" t="s">
        <v>64</v>
      </c>
      <c r="D370" s="204" t="s">
        <v>122</v>
      </c>
      <c r="E370" s="498"/>
      <c r="F370" s="498"/>
      <c r="G370" s="500"/>
      <c r="H370" s="502"/>
      <c r="I370" s="502"/>
      <c r="J370" s="513"/>
      <c r="K370" s="425"/>
      <c r="L370" s="492"/>
      <c r="M370" s="492"/>
      <c r="N370" s="492"/>
    </row>
    <row r="371" spans="2:14" ht="15" thickBot="1" x14ac:dyDescent="0.4">
      <c r="B371" s="203" t="s">
        <v>246</v>
      </c>
      <c r="C371" s="204" t="s">
        <v>64</v>
      </c>
      <c r="D371" s="204" t="s">
        <v>122</v>
      </c>
      <c r="E371" s="498"/>
      <c r="F371" s="498"/>
      <c r="G371" s="500"/>
      <c r="H371" s="502"/>
      <c r="I371" s="502"/>
      <c r="J371" s="510" t="s">
        <v>128</v>
      </c>
      <c r="K371" s="425"/>
      <c r="L371" s="491">
        <f>IFERROR(VLOOKUP($D371,$Y$9:$AB$9,2,FALSE)/IF($D371="Inhalation",IF($J371="Central Tendency",SUMIFS('Inhalation Exposure'!$O$5:$O$164,'Inhalation Exposure'!$B$5:$B$164,$B371,'Inhalation Exposure'!$D$5:$D$164,$C371),SUMIFS('Inhalation Exposure'!$N$5:$N$164,'Inhalation Exposure'!$B$5:$B$164,$B371,'Inhalation Exposure'!$D$5:$D$164,$C371))),"--")</f>
        <v>163.33333333333331</v>
      </c>
      <c r="M371" s="491">
        <f>IFERROR(VLOOKUP($D371,$Y$9:$AB$9,3,FALSE)/IF($D371="Inhalation",IF($J371="Central Tendency",SUMIFS('Inhalation Exposure'!$Q$5:$Q$164,'Inhalation Exposure'!$B$5:$B$164,$B371,'Inhalation Exposure'!$D$5:$D$164,$C371),SUMIFS('Inhalation Exposure'!$P$5:$P$164,'Inhalation Exposure'!$B$5:$B$164,$B371,'Inhalation Exposure'!$D$5:$D$164,$C371))),"--")</f>
        <v>715.4</v>
      </c>
      <c r="N371" s="491">
        <f>IFERROR(VLOOKUP($D371,$Y$9:$AB$9,4,FALSE)*IF($D371="Inhalation",IF($J371="Central Tendency",SUMIFS('Inhalation Exposure'!$S$5:$S$164,'Inhalation Exposure'!$B$5:$B$164,$B371,'Inhalation Exposure'!$D$5:$D$164,$C371),SUMIFS('Inhalation Exposure'!$R$5:$R$164,'Inhalation Exposure'!$B$5:$B$164,$B371,'Inhalation Exposure'!$D$5:$D$164,$C371))),"--")</f>
        <v>5.4443273621355808E-6</v>
      </c>
    </row>
    <row r="372" spans="2:14" ht="15" thickBot="1" x14ac:dyDescent="0.4">
      <c r="B372" s="203" t="s">
        <v>246</v>
      </c>
      <c r="C372" s="204" t="s">
        <v>64</v>
      </c>
      <c r="D372" s="204" t="s">
        <v>122</v>
      </c>
      <c r="E372" s="498"/>
      <c r="F372" s="498"/>
      <c r="G372" s="500"/>
      <c r="H372" s="503"/>
      <c r="I372" s="503"/>
      <c r="J372" s="511"/>
      <c r="K372" s="425"/>
      <c r="L372" s="497"/>
      <c r="M372" s="492"/>
      <c r="N372" s="492"/>
    </row>
    <row r="373" spans="2:14" ht="15.5" thickTop="1" thickBot="1" x14ac:dyDescent="0.4">
      <c r="B373" s="203" t="s">
        <v>247</v>
      </c>
      <c r="C373" s="204" t="s">
        <v>64</v>
      </c>
      <c r="D373" s="204" t="s">
        <v>122</v>
      </c>
      <c r="E373" s="498"/>
      <c r="F373" s="498"/>
      <c r="G373" s="500"/>
      <c r="H373" s="504" t="s">
        <v>136</v>
      </c>
      <c r="I373" s="506" t="s">
        <v>163</v>
      </c>
      <c r="J373" s="510" t="s">
        <v>69</v>
      </c>
      <c r="K373" s="425"/>
      <c r="L373" s="496">
        <f>IFERROR(VLOOKUP($D373,$Y$9:$AB$9,2,FALSE)/IF($D373="Inhalation",IF($J373="Central Tendency",SUMIFS('Inhalation Exposure'!$O$5:$O$164,'Inhalation Exposure'!$B$5:$B$164,$B373,'Inhalation Exposure'!$D$5:$D$164,$C373),SUMIFS('Inhalation Exposure'!$N$5:$N$164,'Inhalation Exposure'!$B$5:$B$164,$B373,'Inhalation Exposure'!$D$5:$D$164,$C373))),"--")</f>
        <v>308.82352941176464</v>
      </c>
      <c r="M373" s="491">
        <f>IFERROR(VLOOKUP($D373,$Y$9:$AB$9,3,FALSE)/IF($D373="Inhalation",IF($J373="Central Tendency",SUMIFS('Inhalation Exposure'!$Q$5:$Q$164,'Inhalation Exposure'!$B$5:$B$164,$B373,'Inhalation Exposure'!$D$5:$D$164,$C373),SUMIFS('Inhalation Exposure'!$P$5:$P$164,'Inhalation Exposure'!$B$5:$B$164,$B373,'Inhalation Exposure'!$D$5:$D$164,$C373))),"--")</f>
        <v>3757.3529411764698</v>
      </c>
      <c r="N373" s="491">
        <f>IFERROR(VLOOKUP($D373,$Y$9:$AB$9,4,FALSE)*IF($D373="Inhalation",IF($J373="Central Tendency",SUMIFS('Inhalation Exposure'!$S$5:$S$164,'Inhalation Exposure'!$B$5:$B$164,$B373,'Inhalation Exposure'!$D$5:$D$164,$C373),SUMIFS('Inhalation Exposure'!$R$5:$R$164,'Inhalation Exposure'!$B$5:$B$164,$B373,'Inhalation Exposure'!$D$5:$D$164,$C373))),"--")</f>
        <v>8.0336494555672649E-7</v>
      </c>
    </row>
    <row r="374" spans="2:14" ht="15" thickBot="1" x14ac:dyDescent="0.4">
      <c r="B374" s="203" t="s">
        <v>247</v>
      </c>
      <c r="C374" s="204" t="s">
        <v>64</v>
      </c>
      <c r="D374" s="204" t="s">
        <v>122</v>
      </c>
      <c r="E374" s="498"/>
      <c r="F374" s="498"/>
      <c r="G374" s="500"/>
      <c r="H374" s="502"/>
      <c r="I374" s="502"/>
      <c r="J374" s="513"/>
      <c r="K374" s="425"/>
      <c r="L374" s="492"/>
      <c r="M374" s="492"/>
      <c r="N374" s="492"/>
    </row>
    <row r="375" spans="2:14" ht="15" thickBot="1" x14ac:dyDescent="0.4">
      <c r="B375" s="203" t="s">
        <v>247</v>
      </c>
      <c r="C375" s="204" t="s">
        <v>64</v>
      </c>
      <c r="D375" s="204" t="s">
        <v>122</v>
      </c>
      <c r="E375" s="498"/>
      <c r="F375" s="498"/>
      <c r="G375" s="500"/>
      <c r="H375" s="502"/>
      <c r="I375" s="502"/>
      <c r="J375" s="510" t="s">
        <v>128</v>
      </c>
      <c r="K375" s="425"/>
      <c r="L375" s="491">
        <f>IFERROR(VLOOKUP($D375,$Y$9:$AB$9,2,FALSE)/IF($D375="Inhalation",IF($J375="Central Tendency",SUMIFS('Inhalation Exposure'!$O$5:$O$164,'Inhalation Exposure'!$B$5:$B$164,$B375,'Inhalation Exposure'!$D$5:$D$164,$C375),SUMIFS('Inhalation Exposure'!$N$5:$N$164,'Inhalation Exposure'!$B$5:$B$164,$B375,'Inhalation Exposure'!$D$5:$D$164,$C375))),"--")</f>
        <v>37.769784172661865</v>
      </c>
      <c r="M375" s="491">
        <f>IFERROR(VLOOKUP($D375,$Y$9:$AB$9,3,FALSE)/IF($D375="Inhalation",IF($J375="Central Tendency",SUMIFS('Inhalation Exposure'!$Q$5:$Q$164,'Inhalation Exposure'!$B$5:$B$164,$B375,'Inhalation Exposure'!$D$5:$D$164,$C375),SUMIFS('Inhalation Exposure'!$P$5:$P$164,'Inhalation Exposure'!$B$5:$B$164,$B375,'Inhalation Exposure'!$D$5:$D$164,$C375))),"--")</f>
        <v>459.53237410071938</v>
      </c>
      <c r="N375" s="491">
        <f>IFERROR(VLOOKUP($D375,$Y$9:$AB$9,4,FALSE)*IF($D375="Inhalation",IF($J375="Central Tendency",SUMIFS('Inhalation Exposure'!$S$5:$S$164,'Inhalation Exposure'!$B$5:$B$164,$B375,'Inhalation Exposure'!$D$5:$D$164,$C375),SUMIFS('Inhalation Exposure'!$R$5:$R$164,'Inhalation Exposure'!$B$5:$B$164,$B375,'Inhalation Exposure'!$D$5:$D$164,$C375))),"--")</f>
        <v>8.4757288373726745E-6</v>
      </c>
    </row>
    <row r="376" spans="2:14" ht="15" thickBot="1" x14ac:dyDescent="0.4">
      <c r="B376" s="203" t="s">
        <v>247</v>
      </c>
      <c r="C376" s="204" t="s">
        <v>64</v>
      </c>
      <c r="D376" s="204" t="s">
        <v>122</v>
      </c>
      <c r="E376" s="498"/>
      <c r="F376" s="498"/>
      <c r="G376" s="500"/>
      <c r="H376" s="503"/>
      <c r="I376" s="503"/>
      <c r="J376" s="511"/>
      <c r="K376" s="425"/>
      <c r="L376" s="497"/>
      <c r="M376" s="492"/>
      <c r="N376" s="492"/>
    </row>
    <row r="377" spans="2:14" ht="15.5" thickTop="1" thickBot="1" x14ac:dyDescent="0.4">
      <c r="B377" s="203" t="s">
        <v>248</v>
      </c>
      <c r="C377" s="204" t="s">
        <v>64</v>
      </c>
      <c r="D377" s="204" t="s">
        <v>122</v>
      </c>
      <c r="E377" s="498"/>
      <c r="F377" s="498"/>
      <c r="G377" s="500"/>
      <c r="H377" s="504" t="s">
        <v>138</v>
      </c>
      <c r="I377" s="506" t="s">
        <v>163</v>
      </c>
      <c r="J377" s="510" t="s">
        <v>69</v>
      </c>
      <c r="K377" s="493" t="str">
        <f>IFERROR(VLOOKUP($D365,$Y$9:$AB$10,2,FALSE)/IF($D365="Inhalation",IF($J377="Central Tendency",SUMIFS(#REF!,#REF!,#REF!,#REF!,$C365),SUMIFS(#REF!,#REF!,#REF!,#REF!,$C365))),"--")</f>
        <v>--</v>
      </c>
      <c r="L377" s="491">
        <f>IFERROR(VLOOKUP($D377,$Y$9:$AB$9,2,FALSE)/IF($D377="Inhalation",IF($J377="Central Tendency",SUMIFS('Inhalation Exposure'!$O$5:$O$164,'Inhalation Exposure'!$B$5:$B$164,$B377,'Inhalation Exposure'!$D$5:$D$164,$C377),SUMIFS('Inhalation Exposure'!$N$5:$N$164,'Inhalation Exposure'!$B$5:$B$164,$B377,'Inhalation Exposure'!$D$5:$D$164,$C377))),"--")</f>
        <v>133.63636363636363</v>
      </c>
      <c r="M377" s="491">
        <f>IFERROR(VLOOKUP($D377,$Y$9:$AB$9,3,FALSE)/IF($D377="Inhalation",IF($J377="Central Tendency",SUMIFS('Inhalation Exposure'!$Q$5:$Q$164,'Inhalation Exposure'!$B$5:$B$164,$B377,'Inhalation Exposure'!$D$5:$D$164,$C377),SUMIFS('Inhalation Exposure'!$P$5:$P$164,'Inhalation Exposure'!$B$5:$B$164,$B377,'Inhalation Exposure'!$D$5:$D$164,$C377))),"--")</f>
        <v>214.19161676646701</v>
      </c>
      <c r="N377" s="491">
        <f>IFERROR(VLOOKUP($D377,$Y$9:$AB$9,4,FALSE)*IF($D377="Inhalation",IF($J377="Central Tendency",SUMIFS('Inhalation Exposure'!$S$5:$S$164,'Inhalation Exposure'!$B$5:$B$164,$B377,'Inhalation Exposure'!$D$5:$D$164,$C377),SUMIFS('Inhalation Exposure'!$R$5:$R$164,'Inhalation Exposure'!$B$5:$B$164,$B377,'Inhalation Exposure'!$D$5:$D$164,$C377))),"--")</f>
        <v>1.4092641376887955E-5</v>
      </c>
    </row>
    <row r="378" spans="2:14" ht="15" thickBot="1" x14ac:dyDescent="0.4">
      <c r="B378" s="203" t="s">
        <v>248</v>
      </c>
      <c r="C378" s="204" t="s">
        <v>64</v>
      </c>
      <c r="D378" s="204" t="s">
        <v>122</v>
      </c>
      <c r="E378" s="498"/>
      <c r="F378" s="498"/>
      <c r="G378" s="500"/>
      <c r="H378" s="502"/>
      <c r="I378" s="502"/>
      <c r="J378" s="513"/>
      <c r="K378" s="495"/>
      <c r="L378" s="492"/>
      <c r="M378" s="492"/>
      <c r="N378" s="492"/>
    </row>
    <row r="379" spans="2:14" ht="15" thickBot="1" x14ac:dyDescent="0.4">
      <c r="B379" s="203" t="s">
        <v>248</v>
      </c>
      <c r="C379" s="204" t="s">
        <v>64</v>
      </c>
      <c r="D379" s="204" t="s">
        <v>122</v>
      </c>
      <c r="E379" s="498"/>
      <c r="F379" s="498"/>
      <c r="G379" s="500"/>
      <c r="H379" s="502"/>
      <c r="I379" s="502"/>
      <c r="J379" s="510" t="s">
        <v>128</v>
      </c>
      <c r="K379" s="493" t="str">
        <f>IFERROR(VLOOKUP($D367,$Y$9:$AB$10,2,FALSE)/IF($D367="Inhalation",IF($J379="Central Tendency",SUMIFS(#REF!,#REF!,#REF!,#REF!,$C367),SUMIFS(#REF!,#REF!,#REF!,#REF!,$C367))),"--")</f>
        <v>--</v>
      </c>
      <c r="L379" s="491">
        <f>IFERROR(VLOOKUP($D379,$Y$9:$AB$9,2,FALSE)/IF($D379="Inhalation",IF($J379="Central Tendency",SUMIFS('Inhalation Exposure'!$O$5:$O$164,'Inhalation Exposure'!$B$5:$B$164,$B379,'Inhalation Exposure'!$D$5:$D$164,$C379),SUMIFS('Inhalation Exposure'!$N$5:$N$164,'Inhalation Exposure'!$B$5:$B$164,$B379,'Inhalation Exposure'!$D$5:$D$164,$C379))),"--")</f>
        <v>14.216634429400385</v>
      </c>
      <c r="M379" s="491">
        <f>IFERROR(VLOOKUP($D379,$Y$9:$AB$9,3,FALSE)/IF($D379="Inhalation",IF($J379="Central Tendency",SUMIFS('Inhalation Exposure'!$Q$5:$Q$164,'Inhalation Exposure'!$B$5:$B$164,$B379,'Inhalation Exposure'!$D$5:$D$164,$C379),SUMIFS('Inhalation Exposure'!$P$5:$P$164,'Inhalation Exposure'!$B$5:$B$164,$B379,'Inhalation Exposure'!$D$5:$D$164,$C379))),"--")</f>
        <v>22.786342209198622</v>
      </c>
      <c r="N379" s="491">
        <f>IFERROR(VLOOKUP($D379,$Y$9:$AB$9,4,FALSE)*IF($D379="Inhalation",IF($J379="Central Tendency",SUMIFS('Inhalation Exposure'!$S$5:$S$164,'Inhalation Exposure'!$B$5:$B$164,$B379,'Inhalation Exposure'!$D$5:$D$164,$C379),SUMIFS('Inhalation Exposure'!$R$5:$R$164,'Inhalation Exposure'!$B$5:$B$164,$B379,'Inhalation Exposure'!$D$5:$D$164,$C379))),"--")</f>
        <v>1.7093010186160871E-4</v>
      </c>
    </row>
    <row r="380" spans="2:14" ht="15" thickBot="1" x14ac:dyDescent="0.4">
      <c r="B380" s="203" t="s">
        <v>248</v>
      </c>
      <c r="C380" s="204" t="s">
        <v>64</v>
      </c>
      <c r="D380" s="204" t="s">
        <v>122</v>
      </c>
      <c r="E380" s="498"/>
      <c r="F380" s="498"/>
      <c r="G380" s="500"/>
      <c r="H380" s="503"/>
      <c r="I380" s="503"/>
      <c r="J380" s="511"/>
      <c r="K380" s="495"/>
      <c r="L380" s="497"/>
      <c r="M380" s="492"/>
      <c r="N380" s="492"/>
    </row>
    <row r="381" spans="2:14" ht="15.5" thickTop="1" thickBot="1" x14ac:dyDescent="0.4">
      <c r="B381" s="203" t="s">
        <v>249</v>
      </c>
      <c r="C381" s="204" t="s">
        <v>64</v>
      </c>
      <c r="D381" s="204" t="s">
        <v>122</v>
      </c>
      <c r="E381" s="498"/>
      <c r="F381" s="498"/>
      <c r="G381" s="500"/>
      <c r="H381" s="504" t="s">
        <v>140</v>
      </c>
      <c r="I381" s="506" t="s">
        <v>163</v>
      </c>
      <c r="J381" s="510" t="s">
        <v>69</v>
      </c>
      <c r="K381" s="425"/>
      <c r="L381" s="496">
        <f>IFERROR(VLOOKUP($D381,$Y$9:$AB$9,2,FALSE)/IF($D381="Inhalation",IF($J381="Central Tendency",SUMIFS('Inhalation Exposure'!$O$5:$O$164,'Inhalation Exposure'!$B$5:$B$164,$B381,'Inhalation Exposure'!$D$5:$D$164,$C381),SUMIFS('Inhalation Exposure'!$N$5:$N$164,'Inhalation Exposure'!$B$5:$B$164,$B381,'Inhalation Exposure'!$D$5:$D$164,$C381))),"--")</f>
        <v>0.24487756121939031</v>
      </c>
      <c r="M381" s="491">
        <f>IFERROR(VLOOKUP($D381,$Y$9:$AB$9,3,FALSE)/IF($D381="Inhalation",IF($J381="Central Tendency",SUMIFS('Inhalation Exposure'!$Q$5:$Q$164,'Inhalation Exposure'!$B$5:$B$164,$B381,'Inhalation Exposure'!$D$5:$D$164,$C381),SUMIFS('Inhalation Exposure'!$P$5:$P$164,'Inhalation Exposure'!$B$5:$B$164,$B381,'Inhalation Exposure'!$D$5:$D$164,$C381))),"--")</f>
        <v>2.9793436615025817</v>
      </c>
      <c r="N381" s="491">
        <f>IFERROR(VLOOKUP($D381,$Y$9:$AB$9,4,FALSE)*IF($D381="Inhalation",IF($J381="Central Tendency",SUMIFS('Inhalation Exposure'!$S$5:$S$164,'Inhalation Exposure'!$B$5:$B$164,$B381,'Inhalation Exposure'!$D$5:$D$164,$C381),SUMIFS('Inhalation Exposure'!$R$5:$R$164,'Inhalation Exposure'!$B$5:$B$164,$B381,'Inhalation Exposure'!$D$5:$D$164,$C381))),"--")</f>
        <v>1.0131512118018969E-3</v>
      </c>
    </row>
    <row r="382" spans="2:14" ht="15" thickBot="1" x14ac:dyDescent="0.4">
      <c r="B382" s="203" t="s">
        <v>249</v>
      </c>
      <c r="C382" s="204" t="s">
        <v>64</v>
      </c>
      <c r="D382" s="204" t="s">
        <v>122</v>
      </c>
      <c r="E382" s="498"/>
      <c r="F382" s="498"/>
      <c r="G382" s="500"/>
      <c r="H382" s="502"/>
      <c r="I382" s="502"/>
      <c r="J382" s="513"/>
      <c r="K382" s="425"/>
      <c r="L382" s="492"/>
      <c r="M382" s="492"/>
      <c r="N382" s="492"/>
    </row>
    <row r="383" spans="2:14" ht="15" thickBot="1" x14ac:dyDescent="0.4">
      <c r="B383" s="203" t="s">
        <v>249</v>
      </c>
      <c r="C383" s="204" t="s">
        <v>64</v>
      </c>
      <c r="D383" s="204" t="s">
        <v>122</v>
      </c>
      <c r="E383" s="498"/>
      <c r="F383" s="498"/>
      <c r="G383" s="500"/>
      <c r="H383" s="502"/>
      <c r="I383" s="502"/>
      <c r="J383" s="510" t="s">
        <v>128</v>
      </c>
      <c r="K383" s="425"/>
      <c r="L383" s="491">
        <f>IFERROR(VLOOKUP($D383,$Y$9:$AB$9,2,FALSE)/IF($D383="Inhalation",IF($J383="Central Tendency",SUMIFS('Inhalation Exposure'!$O$5:$O$164,'Inhalation Exposure'!$B$5:$B$164,$B383,'Inhalation Exposure'!$D$5:$D$164,$C383),SUMIFS('Inhalation Exposure'!$N$5:$N$164,'Inhalation Exposure'!$B$5:$B$164,$B383,'Inhalation Exposure'!$D$5:$D$164,$C383))),"--")</f>
        <v>0.24487756121939031</v>
      </c>
      <c r="M383" s="491">
        <f>IFERROR(VLOOKUP($D383,$Y$9:$AB$9,3,FALSE)/IF($D383="Inhalation",IF($J383="Central Tendency",SUMIFS('Inhalation Exposure'!$Q$5:$Q$164,'Inhalation Exposure'!$B$5:$B$164,$B383,'Inhalation Exposure'!$D$5:$D$164,$C383),SUMIFS('Inhalation Exposure'!$P$5:$P$164,'Inhalation Exposure'!$B$5:$B$164,$B383,'Inhalation Exposure'!$D$5:$D$164,$C383))),"--")</f>
        <v>2.9793436615025821</v>
      </c>
      <c r="N383" s="491">
        <f>IFERROR(VLOOKUP($D383,$Y$9:$AB$9,4,FALSE)*IF($D383="Inhalation",IF($J383="Central Tendency",SUMIFS('Inhalation Exposure'!$S$5:$S$164,'Inhalation Exposure'!$B$5:$B$164,$B383,'Inhalation Exposure'!$D$5:$D$164,$C383),SUMIFS('Inhalation Exposure'!$R$5:$R$164,'Inhalation Exposure'!$B$5:$B$164,$B383,'Inhalation Exposure'!$D$5:$D$164,$C383))),"--")</f>
        <v>1.3072918861959958E-3</v>
      </c>
    </row>
    <row r="384" spans="2:14" ht="15" thickBot="1" x14ac:dyDescent="0.4">
      <c r="B384" s="203" t="s">
        <v>249</v>
      </c>
      <c r="C384" s="204" t="s">
        <v>64</v>
      </c>
      <c r="D384" s="204" t="s">
        <v>122</v>
      </c>
      <c r="E384" s="498"/>
      <c r="F384" s="498"/>
      <c r="G384" s="500"/>
      <c r="H384" s="503"/>
      <c r="I384" s="503"/>
      <c r="J384" s="511"/>
      <c r="K384" s="425"/>
      <c r="L384" s="497"/>
      <c r="M384" s="492"/>
      <c r="N384" s="492"/>
    </row>
    <row r="385" spans="2:14" ht="15.5" thickTop="1" thickBot="1" x14ac:dyDescent="0.4">
      <c r="B385" s="203" t="s">
        <v>250</v>
      </c>
      <c r="C385" s="204" t="s">
        <v>64</v>
      </c>
      <c r="D385" s="204" t="s">
        <v>122</v>
      </c>
      <c r="E385" s="498"/>
      <c r="F385" s="498"/>
      <c r="G385" s="500"/>
      <c r="H385" s="504" t="s">
        <v>142</v>
      </c>
      <c r="I385" s="506" t="s">
        <v>163</v>
      </c>
      <c r="J385" s="510" t="s">
        <v>69</v>
      </c>
      <c r="K385" s="493" t="str">
        <f>IFERROR(VLOOKUP($D369,$Y$9:$AB$10,2,FALSE)/IF($D369="Inhalation",IF($J385="Central Tendency",SUMIFS(#REF!,#REF!,$B365,#REF!,$C369),SUMIFS(#REF!,#REF!,$B365,#REF!,$C369))),"--")</f>
        <v>--</v>
      </c>
      <c r="L385" s="491">
        <f>IFERROR(VLOOKUP($D385,$Y$9:$AB$9,2,FALSE)/IF($D385="Inhalation",IF($J385="Central Tendency",SUMIFS('Inhalation Exposure'!$O$5:$O$164,'Inhalation Exposure'!$B$5:$B$164,$B385,'Inhalation Exposure'!$D$5:$D$164,$C385),SUMIFS('Inhalation Exposure'!$N$5:$N$164,'Inhalation Exposure'!$B$5:$B$164,$B385,'Inhalation Exposure'!$D$5:$D$164,$C385))),"--")</f>
        <v>556.81818181818176</v>
      </c>
      <c r="M385" s="491">
        <f>IFERROR(VLOOKUP($D385,$Y$9:$AB$9,3,FALSE)/IF($D385="Inhalation",IF($J385="Central Tendency",SUMIFS('Inhalation Exposure'!$Q$5:$Q$164,'Inhalation Exposure'!$B$5:$B$164,$B385,'Inhalation Exposure'!$D$5:$D$164,$C385),SUMIFS('Inhalation Exposure'!$P$5:$P$164,'Inhalation Exposure'!$B$5:$B$164,$B385,'Inhalation Exposure'!$D$5:$D$164,$C385))),"--")</f>
        <v>892.46506986027941</v>
      </c>
      <c r="N385" s="491">
        <f>IFERROR(VLOOKUP($D385,$Y$9:$AB$9,4,FALSE)*IF($D385="Inhalation",IF($J385="Central Tendency",SUMIFS('Inhalation Exposure'!$S$5:$S$164,'Inhalation Exposure'!$B$5:$B$164,$B385,'Inhalation Exposure'!$D$5:$D$164,$C385),SUMIFS('Inhalation Exposure'!$R$5:$R$164,'Inhalation Exposure'!$B$5:$B$164,$B385,'Inhalation Exposure'!$D$5:$D$164,$C385))),"--")</f>
        <v>3.3822339304531089E-6</v>
      </c>
    </row>
    <row r="386" spans="2:14" ht="15" thickBot="1" x14ac:dyDescent="0.4">
      <c r="B386" s="203" t="s">
        <v>250</v>
      </c>
      <c r="C386" s="204" t="s">
        <v>64</v>
      </c>
      <c r="D386" s="204" t="s">
        <v>122</v>
      </c>
      <c r="E386" s="498"/>
      <c r="F386" s="498"/>
      <c r="G386" s="500"/>
      <c r="H386" s="502"/>
      <c r="I386" s="502"/>
      <c r="J386" s="513"/>
      <c r="K386" s="495"/>
      <c r="L386" s="492"/>
      <c r="M386" s="492"/>
      <c r="N386" s="492"/>
    </row>
    <row r="387" spans="2:14" ht="15" thickBot="1" x14ac:dyDescent="0.4">
      <c r="B387" s="203" t="s">
        <v>250</v>
      </c>
      <c r="C387" s="204" t="s">
        <v>64</v>
      </c>
      <c r="D387" s="204" t="s">
        <v>122</v>
      </c>
      <c r="E387" s="498"/>
      <c r="F387" s="498"/>
      <c r="G387" s="500"/>
      <c r="H387" s="502"/>
      <c r="I387" s="502"/>
      <c r="J387" s="510" t="s">
        <v>128</v>
      </c>
      <c r="K387" s="493" t="str">
        <f>IFERROR(VLOOKUP($D371,$Y$9:$AB$10,2,FALSE)/IF($D371="Inhalation",IF($J387="Central Tendency",SUMIFS(#REF!,#REF!,$B367,#REF!,$C371),SUMIFS(#REF!,#REF!,$B367,#REF!,$C371))),"--")</f>
        <v>--</v>
      </c>
      <c r="L387" s="491">
        <f>IFERROR(VLOOKUP($D387,$Y$9:$AB$9,2,FALSE)/IF($D387="Inhalation",IF($J387="Central Tendency",SUMIFS('Inhalation Exposure'!$O$5:$O$164,'Inhalation Exposure'!$B$5:$B$164,$B387,'Inhalation Exposure'!$D$5:$D$164,$C387),SUMIFS('Inhalation Exposure'!$N$5:$N$164,'Inhalation Exposure'!$B$5:$B$164,$B387,'Inhalation Exposure'!$D$5:$D$164,$C387))),"--")</f>
        <v>12.061043649491303</v>
      </c>
      <c r="M387" s="491">
        <f>IFERROR(VLOOKUP($D387,$Y$9:$AB$9,3,FALSE)/IF($D387="Inhalation",IF($J387="Central Tendency",SUMIFS('Inhalation Exposure'!$Q$5:$Q$164,'Inhalation Exposure'!$B$5:$B$164,$B387,'Inhalation Exposure'!$D$5:$D$164,$C387),SUMIFS('Inhalation Exposure'!$P$5:$P$164,'Inhalation Exposure'!$B$5:$B$164,$B387,'Inhalation Exposure'!$D$5:$D$164,$C387))),"--")</f>
        <v>19.331373354374286</v>
      </c>
      <c r="N387" s="491">
        <f>IFERROR(VLOOKUP($D387,$Y$9:$AB$9,4,FALSE)*IF($D387="Inhalation",IF($J387="Central Tendency",SUMIFS('Inhalation Exposure'!$S$5:$S$164,'Inhalation Exposure'!$B$5:$B$164,$B387,'Inhalation Exposure'!$D$5:$D$164,$C387),SUMIFS('Inhalation Exposure'!$R$5:$R$164,'Inhalation Exposure'!$B$5:$B$164,$B387,'Inhalation Exposure'!$D$5:$D$164,$C387))),"--")</f>
        <v>2.0147931155602391E-4</v>
      </c>
    </row>
    <row r="388" spans="2:14" ht="15" thickBot="1" x14ac:dyDescent="0.4">
      <c r="B388" s="203" t="s">
        <v>250</v>
      </c>
      <c r="C388" s="204" t="s">
        <v>64</v>
      </c>
      <c r="D388" s="204" t="s">
        <v>122</v>
      </c>
      <c r="E388" s="498"/>
      <c r="F388" s="498"/>
      <c r="G388" s="500"/>
      <c r="H388" s="503"/>
      <c r="I388" s="503"/>
      <c r="J388" s="511"/>
      <c r="K388" s="495"/>
      <c r="L388" s="497"/>
      <c r="M388" s="492"/>
      <c r="N388" s="492"/>
    </row>
    <row r="389" spans="2:14" ht="15.5" thickTop="1" thickBot="1" x14ac:dyDescent="0.4">
      <c r="B389" s="203" t="s">
        <v>251</v>
      </c>
      <c r="C389" s="204" t="s">
        <v>64</v>
      </c>
      <c r="D389" s="204" t="s">
        <v>122</v>
      </c>
      <c r="E389" s="498"/>
      <c r="F389" s="498"/>
      <c r="G389" s="500"/>
      <c r="H389" s="504" t="s">
        <v>144</v>
      </c>
      <c r="I389" s="506" t="s">
        <v>163</v>
      </c>
      <c r="J389" s="510" t="s">
        <v>69</v>
      </c>
      <c r="K389" s="425"/>
      <c r="L389" s="496">
        <f>IFERROR(VLOOKUP($D389,$Y$9:$AB$9,2,FALSE)/IF($D389="Inhalation",IF($J389="Central Tendency",SUMIFS('Inhalation Exposure'!$O$5:$O$164,'Inhalation Exposure'!$B$5:$B$164,$B389,'Inhalation Exposure'!$D$5:$D$164,$C389),SUMIFS('Inhalation Exposure'!$N$5:$N$164,'Inhalation Exposure'!$B$5:$B$164,$B389,'Inhalation Exposure'!$D$5:$D$164,$C389))),"--")</f>
        <v>656.24999999999989</v>
      </c>
      <c r="M389" s="491">
        <f>IFERROR(VLOOKUP($D389,$Y$9:$AB$9,3,FALSE)/IF($D389="Inhalation",IF($J389="Central Tendency",SUMIFS('Inhalation Exposure'!$Q$5:$Q$164,'Inhalation Exposure'!$B$5:$B$164,$B389,'Inhalation Exposure'!$D$5:$D$164,$C389),SUMIFS('Inhalation Exposure'!$P$5:$P$164,'Inhalation Exposure'!$B$5:$B$164,$B389,'Inhalation Exposure'!$D$5:$D$164,$C389))),"--")</f>
        <v>7984.375</v>
      </c>
      <c r="N389" s="491">
        <f>IFERROR(VLOOKUP($D389,$Y$9:$AB$9,4,FALSE)*IF($D389="Inhalation",IF($J389="Central Tendency",SUMIFS('Inhalation Exposure'!$S$5:$S$164,'Inhalation Exposure'!$B$5:$B$164,$B389,'Inhalation Exposure'!$D$5:$D$164,$C389),SUMIFS('Inhalation Exposure'!$R$5:$R$164,'Inhalation Exposure'!$B$5:$B$164,$B389,'Inhalation Exposure'!$D$5:$D$164,$C389))),"--")</f>
        <v>3.7805409202669477E-7</v>
      </c>
    </row>
    <row r="390" spans="2:14" ht="15" thickBot="1" x14ac:dyDescent="0.4">
      <c r="B390" s="203" t="s">
        <v>251</v>
      </c>
      <c r="C390" s="204" t="s">
        <v>64</v>
      </c>
      <c r="D390" s="204" t="s">
        <v>122</v>
      </c>
      <c r="E390" s="498"/>
      <c r="F390" s="498"/>
      <c r="G390" s="500"/>
      <c r="H390" s="502"/>
      <c r="I390" s="502"/>
      <c r="J390" s="513"/>
      <c r="K390" s="425"/>
      <c r="L390" s="492"/>
      <c r="M390" s="492"/>
      <c r="N390" s="492"/>
    </row>
    <row r="391" spans="2:14" ht="15" thickBot="1" x14ac:dyDescent="0.4">
      <c r="B391" s="203" t="s">
        <v>251</v>
      </c>
      <c r="C391" s="204" t="s">
        <v>64</v>
      </c>
      <c r="D391" s="204" t="s">
        <v>122</v>
      </c>
      <c r="E391" s="498"/>
      <c r="F391" s="498"/>
      <c r="G391" s="500"/>
      <c r="H391" s="502"/>
      <c r="I391" s="502"/>
      <c r="J391" s="510" t="s">
        <v>128</v>
      </c>
      <c r="K391" s="425"/>
      <c r="L391" s="491">
        <f>IFERROR(VLOOKUP($D391,$Y$9:$AB$9,2,FALSE)/IF($D391="Inhalation",IF($J391="Central Tendency",SUMIFS('Inhalation Exposure'!$O$5:$O$164,'Inhalation Exposure'!$B$5:$B$164,$B391,'Inhalation Exposure'!$D$5:$D$164,$C391),SUMIFS('Inhalation Exposure'!$N$5:$N$164,'Inhalation Exposure'!$B$5:$B$164,$B391,'Inhalation Exposure'!$D$5:$D$164,$C391))),"--")</f>
        <v>437.5</v>
      </c>
      <c r="M391" s="491">
        <f>IFERROR(VLOOKUP($D391,$Y$9:$AB$9,3,FALSE)/IF($D391="Inhalation",IF($J391="Central Tendency",SUMIFS('Inhalation Exposure'!$Q$5:$Q$164,'Inhalation Exposure'!$B$5:$B$164,$B391,'Inhalation Exposure'!$D$5:$D$164,$C391),SUMIFS('Inhalation Exposure'!$P$5:$P$164,'Inhalation Exposure'!$B$5:$B$164,$B391,'Inhalation Exposure'!$D$5:$D$164,$C391))),"--")</f>
        <v>5322.916666666667</v>
      </c>
      <c r="N391" s="491">
        <f>IFERROR(VLOOKUP($D391,$Y$9:$AB$9,4,FALSE)*IF($D391="Inhalation",IF($J391="Central Tendency",SUMIFS('Inhalation Exposure'!$S$5:$S$164,'Inhalation Exposure'!$B$5:$B$164,$B391,'Inhalation Exposure'!$D$5:$D$164,$C391),SUMIFS('Inhalation Exposure'!$R$5:$R$164,'Inhalation Exposure'!$B$5:$B$164,$B391,'Inhalation Exposure'!$D$5:$D$164,$C391))),"--")</f>
        <v>7.3171759747102211E-7</v>
      </c>
    </row>
    <row r="392" spans="2:14" ht="15" thickBot="1" x14ac:dyDescent="0.4">
      <c r="B392" s="203" t="s">
        <v>251</v>
      </c>
      <c r="C392" s="204" t="s">
        <v>64</v>
      </c>
      <c r="D392" s="204" t="s">
        <v>122</v>
      </c>
      <c r="E392" s="498"/>
      <c r="F392" s="498"/>
      <c r="G392" s="500"/>
      <c r="H392" s="503"/>
      <c r="I392" s="503"/>
      <c r="J392" s="511"/>
      <c r="K392" s="425"/>
      <c r="L392" s="497"/>
      <c r="M392" s="492"/>
      <c r="N392" s="492"/>
    </row>
    <row r="393" spans="2:14" ht="15.5" thickTop="1" thickBot="1" x14ac:dyDescent="0.4">
      <c r="B393" s="203" t="s">
        <v>252</v>
      </c>
      <c r="C393" s="204" t="s">
        <v>64</v>
      </c>
      <c r="D393" s="204" t="s">
        <v>122</v>
      </c>
      <c r="E393" s="498"/>
      <c r="F393" s="498"/>
      <c r="G393" s="500"/>
      <c r="H393" s="504" t="s">
        <v>147</v>
      </c>
      <c r="I393" s="506" t="s">
        <v>163</v>
      </c>
      <c r="J393" s="510" t="s">
        <v>69</v>
      </c>
      <c r="K393" s="493" t="str">
        <f>IFERROR(VLOOKUP($D373,$Y$9:$AB$10,2,FALSE)/IF($D373="Inhalation",IF($J393="Central Tendency",SUMIFS(#REF!,#REF!,$B369,#REF!,$C373),SUMIFS(#REF!,#REF!,$B369,#REF!,$C373))),"--")</f>
        <v>--</v>
      </c>
      <c r="L393" s="491">
        <f>IFERROR(VLOOKUP($D393,$Y$9:$AB$9,2,FALSE)/IF($D393="Inhalation",IF($J393="Central Tendency",SUMIFS('Inhalation Exposure'!$O$5:$O$164,'Inhalation Exposure'!$B$5:$B$164,$B393,'Inhalation Exposure'!$D$5:$D$164,$C393),SUMIFS('Inhalation Exposure'!$N$5:$N$164,'Inhalation Exposure'!$B$5:$B$164,$B393,'Inhalation Exposure'!$D$5:$D$164,$C393))),"--")</f>
        <v>21.979665071770331</v>
      </c>
      <c r="M393" s="491">
        <f>IFERROR(VLOOKUP($D393,$Y$9:$AB$9,3,FALSE)/IF($D393="Inhalation",IF($J393="Central Tendency",SUMIFS('Inhalation Exposure'!$Q$5:$Q$164,'Inhalation Exposure'!$B$5:$B$164,$B393,'Inhalation Exposure'!$D$5:$D$164,$C393),SUMIFS('Inhalation Exposure'!$P$5:$P$164,'Inhalation Exposure'!$B$5:$B$164,$B393,'Inhalation Exposure'!$D$5:$D$164,$C393))),"--")</f>
        <v>35.228884336589978</v>
      </c>
      <c r="N393" s="491">
        <f>IFERROR(VLOOKUP($D393,$Y$9:$AB$9,4,FALSE)*IF($D393="Inhalation",IF($J393="Central Tendency",SUMIFS('Inhalation Exposure'!$S$5:$S$164,'Inhalation Exposure'!$B$5:$B$164,$B393,'Inhalation Exposure'!$D$5:$D$164,$C393),SUMIFS('Inhalation Exposure'!$R$5:$R$164,'Inhalation Exposure'!$B$5:$B$164,$B393,'Inhalation Exposure'!$D$5:$D$164,$C393))),"--")</f>
        <v>8.5683259571478731E-5</v>
      </c>
    </row>
    <row r="394" spans="2:14" ht="15" thickBot="1" x14ac:dyDescent="0.4">
      <c r="B394" s="203" t="s">
        <v>252</v>
      </c>
      <c r="C394" s="204" t="s">
        <v>64</v>
      </c>
      <c r="D394" s="204" t="s">
        <v>122</v>
      </c>
      <c r="E394" s="498"/>
      <c r="F394" s="498"/>
      <c r="G394" s="500"/>
      <c r="H394" s="502"/>
      <c r="I394" s="502"/>
      <c r="J394" s="513"/>
      <c r="K394" s="495"/>
      <c r="L394" s="492"/>
      <c r="M394" s="492"/>
      <c r="N394" s="492"/>
    </row>
    <row r="395" spans="2:14" ht="15" thickBot="1" x14ac:dyDescent="0.4">
      <c r="B395" s="203" t="s">
        <v>252</v>
      </c>
      <c r="C395" s="204" t="s">
        <v>64</v>
      </c>
      <c r="D395" s="204" t="s">
        <v>122</v>
      </c>
      <c r="E395" s="498"/>
      <c r="F395" s="498"/>
      <c r="G395" s="500"/>
      <c r="H395" s="502"/>
      <c r="I395" s="502"/>
      <c r="J395" s="510" t="s">
        <v>128</v>
      </c>
      <c r="K395" s="493" t="str">
        <f>IFERROR(VLOOKUP($D375,$Y$9:$AB$10,2,FALSE)/IF($D375="Inhalation",IF($J395="Central Tendency",SUMIFS(#REF!,#REF!,$B371,#REF!,$C375),SUMIFS(#REF!,#REF!,$B371,#REF!,$C375))),"--")</f>
        <v>--</v>
      </c>
      <c r="L395" s="491">
        <f>IFERROR(VLOOKUP($D395,$Y$9:$AB$9,2,FALSE)/IF($D395="Inhalation",IF($J395="Central Tendency",SUMIFS('Inhalation Exposure'!$O$5:$O$164,'Inhalation Exposure'!$B$5:$B$164,$B395,'Inhalation Exposure'!$D$5:$D$164,$C395),SUMIFS('Inhalation Exposure'!$N$5:$N$164,'Inhalation Exposure'!$B$5:$B$164,$B395,'Inhalation Exposure'!$D$5:$D$164,$C395))),"--")</f>
        <v>14.277389277389275</v>
      </c>
      <c r="M395" s="491">
        <f>IFERROR(VLOOKUP($D395,$Y$9:$AB$9,3,FALSE)/IF($D395="Inhalation",IF($J395="Central Tendency",SUMIFS('Inhalation Exposure'!$Q$5:$Q$164,'Inhalation Exposure'!$B$5:$B$164,$B395,'Inhalation Exposure'!$D$5:$D$164,$C395),SUMIFS('Inhalation Exposure'!$P$5:$P$164,'Inhalation Exposure'!$B$5:$B$164,$B395,'Inhalation Exposure'!$D$5:$D$164,$C395))),"--")</f>
        <v>22.883719740007162</v>
      </c>
      <c r="N395" s="491">
        <f>IFERROR(VLOOKUP($D395,$Y$9:$AB$9,4,FALSE)*IF($D395="Inhalation",IF($J395="Central Tendency",SUMIFS('Inhalation Exposure'!$S$5:$S$164,'Inhalation Exposure'!$B$5:$B$164,$B395,'Inhalation Exposure'!$D$5:$D$164,$C395),SUMIFS('Inhalation Exposure'!$R$5:$R$164,'Inhalation Exposure'!$B$5:$B$164,$B395,'Inhalation Exposure'!$D$5:$D$164,$C395))),"--")</f>
        <v>1.7020273972602742E-4</v>
      </c>
    </row>
    <row r="396" spans="2:14" ht="15" thickBot="1" x14ac:dyDescent="0.4">
      <c r="B396" s="203" t="s">
        <v>252</v>
      </c>
      <c r="C396" s="204" t="s">
        <v>64</v>
      </c>
      <c r="D396" s="204" t="s">
        <v>122</v>
      </c>
      <c r="E396" s="498"/>
      <c r="F396" s="498"/>
      <c r="G396" s="500"/>
      <c r="H396" s="503"/>
      <c r="I396" s="503"/>
      <c r="J396" s="511"/>
      <c r="K396" s="495"/>
      <c r="L396" s="497"/>
      <c r="M396" s="492"/>
      <c r="N396" s="492"/>
    </row>
    <row r="397" spans="2:14" ht="15.5" thickTop="1" thickBot="1" x14ac:dyDescent="0.4">
      <c r="B397" s="203" t="s">
        <v>253</v>
      </c>
      <c r="C397" s="204" t="s">
        <v>64</v>
      </c>
      <c r="D397" s="204" t="s">
        <v>122</v>
      </c>
      <c r="E397" s="498"/>
      <c r="F397" s="498"/>
      <c r="G397" s="500"/>
      <c r="H397" s="504" t="s">
        <v>149</v>
      </c>
      <c r="I397" s="506" t="s">
        <v>163</v>
      </c>
      <c r="J397" s="510" t="s">
        <v>69</v>
      </c>
      <c r="K397" s="425"/>
      <c r="L397" s="496">
        <f>IFERROR(VLOOKUP($D397,$Y$9:$AB$9,2,FALSE)/IF($D397="Inhalation",IF($J397="Central Tendency",SUMIFS('Inhalation Exposure'!$O$5:$O$164,'Inhalation Exposure'!$B$5:$B$164,$B397,'Inhalation Exposure'!$D$5:$D$164,$C397),SUMIFS('Inhalation Exposure'!$N$5:$N$164,'Inhalation Exposure'!$B$5:$B$164,$B397,'Inhalation Exposure'!$D$5:$D$164,$C397))),"--")</f>
        <v>43.10850439882698</v>
      </c>
      <c r="M397" s="491">
        <f>IFERROR(VLOOKUP($D397,$Y$9:$AB$9,3,FALSE)/IF($D397="Inhalation",IF($J397="Central Tendency",SUMIFS('Inhalation Exposure'!$Q$5:$Q$164,'Inhalation Exposure'!$B$5:$B$164,$B397,'Inhalation Exposure'!$D$5:$D$164,$C397),SUMIFS('Inhalation Exposure'!$P$5:$P$164,'Inhalation Exposure'!$B$5:$B$164,$B397,'Inhalation Exposure'!$D$5:$D$164,$C397))),"--")</f>
        <v>524.4868035190616</v>
      </c>
      <c r="N397" s="491">
        <f>IFERROR(VLOOKUP($D397,$Y$9:$AB$9,4,FALSE)*IF($D397="Inhalation",IF($J397="Central Tendency",SUMIFS('Inhalation Exposure'!$S$5:$S$164,'Inhalation Exposure'!$B$5:$B$164,$B397,'Inhalation Exposure'!$D$5:$D$164,$C397),SUMIFS('Inhalation Exposure'!$R$5:$R$164,'Inhalation Exposure'!$B$5:$B$164,$B397,'Inhalation Exposure'!$D$5:$D$164,$C397))),"--")</f>
        <v>5.7551984545135231E-6</v>
      </c>
    </row>
    <row r="398" spans="2:14" ht="15" thickBot="1" x14ac:dyDescent="0.4">
      <c r="B398" s="203" t="s">
        <v>253</v>
      </c>
      <c r="C398" s="204" t="s">
        <v>64</v>
      </c>
      <c r="D398" s="204" t="s">
        <v>122</v>
      </c>
      <c r="E398" s="498"/>
      <c r="F398" s="498"/>
      <c r="G398" s="500"/>
      <c r="H398" s="502"/>
      <c r="I398" s="502"/>
      <c r="J398" s="513"/>
      <c r="K398" s="425"/>
      <c r="L398" s="492"/>
      <c r="M398" s="492"/>
      <c r="N398" s="492"/>
    </row>
    <row r="399" spans="2:14" ht="15" thickBot="1" x14ac:dyDescent="0.4">
      <c r="B399" s="203" t="s">
        <v>253</v>
      </c>
      <c r="C399" s="204" t="s">
        <v>64</v>
      </c>
      <c r="D399" s="204" t="s">
        <v>122</v>
      </c>
      <c r="E399" s="498"/>
      <c r="F399" s="498"/>
      <c r="G399" s="500"/>
      <c r="H399" s="502"/>
      <c r="I399" s="502"/>
      <c r="J399" s="510" t="s">
        <v>128</v>
      </c>
      <c r="K399" s="425"/>
      <c r="L399" s="491">
        <f>IFERROR(VLOOKUP($D399,$Y$9:$AB$9,2,FALSE)/IF($D399="Inhalation",IF($J399="Central Tendency",SUMIFS('Inhalation Exposure'!$O$5:$O$164,'Inhalation Exposure'!$B$5:$B$164,$B399,'Inhalation Exposure'!$D$5:$D$164,$C399),SUMIFS('Inhalation Exposure'!$N$5:$N$164,'Inhalation Exposure'!$B$5:$B$164,$B399,'Inhalation Exposure'!$D$5:$D$164,$C399))),"--")</f>
        <v>23.747980613893375</v>
      </c>
      <c r="M399" s="491">
        <f>IFERROR(VLOOKUP($D399,$Y$9:$AB$9,3,FALSE)/IF($D399="Inhalation",IF($J399="Central Tendency",SUMIFS('Inhalation Exposure'!$Q$5:$Q$164,'Inhalation Exposure'!$B$5:$B$164,$B399,'Inhalation Exposure'!$D$5:$D$164,$C399),SUMIFS('Inhalation Exposure'!$P$5:$P$164,'Inhalation Exposure'!$B$5:$B$164,$B399,'Inhalation Exposure'!$D$5:$D$164,$C399))),"--")</f>
        <v>288.9337641357028</v>
      </c>
      <c r="N399" s="491">
        <f>IFERROR(VLOOKUP($D399,$Y$9:$AB$9,4,FALSE)*IF($D399="Inhalation",IF($J399="Central Tendency",SUMIFS('Inhalation Exposure'!$S$5:$S$164,'Inhalation Exposure'!$B$5:$B$164,$B399,'Inhalation Exposure'!$D$5:$D$164,$C399),SUMIFS('Inhalation Exposure'!$R$5:$R$164,'Inhalation Exposure'!$B$5:$B$164,$B399,'Inhalation Exposure'!$D$5:$D$164,$C399))),"--")</f>
        <v>1.3480154548647698E-5</v>
      </c>
    </row>
    <row r="400" spans="2:14" ht="15" thickBot="1" x14ac:dyDescent="0.4">
      <c r="B400" s="203" t="s">
        <v>253</v>
      </c>
      <c r="C400" s="204" t="s">
        <v>64</v>
      </c>
      <c r="D400" s="204" t="s">
        <v>122</v>
      </c>
      <c r="E400" s="498"/>
      <c r="F400" s="498"/>
      <c r="G400" s="500"/>
      <c r="H400" s="503"/>
      <c r="I400" s="503"/>
      <c r="J400" s="511"/>
      <c r="K400" s="425"/>
      <c r="L400" s="497"/>
      <c r="M400" s="492"/>
      <c r="N400" s="492"/>
    </row>
    <row r="401" spans="2:14" ht="15.5" thickTop="1" thickBot="1" x14ac:dyDescent="0.4">
      <c r="B401" s="203" t="s">
        <v>254</v>
      </c>
      <c r="C401" s="204" t="s">
        <v>64</v>
      </c>
      <c r="D401" s="204" t="s">
        <v>122</v>
      </c>
      <c r="E401" s="498"/>
      <c r="F401" s="498"/>
      <c r="G401" s="500"/>
      <c r="H401" s="504" t="s">
        <v>151</v>
      </c>
      <c r="I401" s="506" t="s">
        <v>163</v>
      </c>
      <c r="J401" s="510" t="s">
        <v>69</v>
      </c>
      <c r="K401" s="425"/>
      <c r="L401" s="491">
        <f>IFERROR(VLOOKUP($D401,$Y$9:$AB$9,2,FALSE)/IF($D401="Inhalation",IF($J401="Central Tendency",SUMIFS('Inhalation Exposure'!$O$5:$O$164,'Inhalation Exposure'!$B$5:$B$164,$B401,'Inhalation Exposure'!$D$5:$D$164,$C401),SUMIFS('Inhalation Exposure'!$N$5:$N$164,'Inhalation Exposure'!$B$5:$B$164,$B401,'Inhalation Exposure'!$D$5:$D$164,$C401))),"--")</f>
        <v>181.03448275862067</v>
      </c>
      <c r="M401" s="491">
        <f>IFERROR(VLOOKUP($D401,$Y$9:$AB$9,3,FALSE)/IF($D401="Inhalation",IF($J401="Central Tendency",SUMIFS('Inhalation Exposure'!$Q$5:$Q$164,'Inhalation Exposure'!$B$5:$B$164,$B401,'Inhalation Exposure'!$D$5:$D$164,$C401),SUMIFS('Inhalation Exposure'!$P$5:$P$164,'Inhalation Exposure'!$B$5:$B$164,$B401,'Inhalation Exposure'!$D$5:$D$164,$C401))),"--")</f>
        <v>2202.5862068965516</v>
      </c>
      <c r="N401" s="491">
        <f>IFERROR(VLOOKUP($D401,$Y$9:$AB$9,4,FALSE)*IF($D401="Inhalation",IF($J401="Central Tendency",SUMIFS('Inhalation Exposure'!$S$5:$S$164,'Inhalation Exposure'!$B$5:$B$164,$B401,'Inhalation Exposure'!$D$5:$D$164,$C401),SUMIFS('Inhalation Exposure'!$R$5:$R$164,'Inhalation Exposure'!$B$5:$B$164,$B401,'Inhalation Exposure'!$D$5:$D$164,$C401))),"--")</f>
        <v>1.3704460835967686E-6</v>
      </c>
    </row>
    <row r="402" spans="2:14" ht="15" thickBot="1" x14ac:dyDescent="0.4">
      <c r="B402" s="203" t="s">
        <v>254</v>
      </c>
      <c r="C402" s="204" t="s">
        <v>64</v>
      </c>
      <c r="D402" s="204" t="s">
        <v>122</v>
      </c>
      <c r="E402" s="498"/>
      <c r="F402" s="498"/>
      <c r="G402" s="500"/>
      <c r="H402" s="502"/>
      <c r="I402" s="502"/>
      <c r="J402" s="513"/>
      <c r="K402" s="425"/>
      <c r="L402" s="492"/>
      <c r="M402" s="492"/>
      <c r="N402" s="492"/>
    </row>
    <row r="403" spans="2:14" ht="15" thickBot="1" x14ac:dyDescent="0.4">
      <c r="B403" s="203" t="s">
        <v>254</v>
      </c>
      <c r="C403" s="204" t="s">
        <v>64</v>
      </c>
      <c r="D403" s="204" t="s">
        <v>122</v>
      </c>
      <c r="E403" s="498"/>
      <c r="F403" s="498"/>
      <c r="G403" s="500"/>
      <c r="H403" s="502"/>
      <c r="I403" s="502"/>
      <c r="J403" s="510" t="s">
        <v>128</v>
      </c>
      <c r="K403" s="425"/>
      <c r="L403" s="491">
        <f>IFERROR(VLOOKUP($D403,$Y$9:$AB$9,2,FALSE)/IF($D403="Inhalation",IF($J403="Central Tendency",SUMIFS('Inhalation Exposure'!$O$5:$O$164,'Inhalation Exposure'!$B$5:$B$164,$B403,'Inhalation Exposure'!$D$5:$D$164,$C403),SUMIFS('Inhalation Exposure'!$N$5:$N$164,'Inhalation Exposure'!$B$5:$B$164,$B403,'Inhalation Exposure'!$D$5:$D$164,$C403))),"--")</f>
        <v>1.0672900996137429</v>
      </c>
      <c r="M403" s="491">
        <f>IFERROR(VLOOKUP($D403,$Y$9:$AB$9,3,FALSE)/IF($D403="Inhalation",IF($J403="Central Tendency",SUMIFS('Inhalation Exposure'!$Q$5:$Q$164,'Inhalation Exposure'!$B$5:$B$164,$B403,'Inhalation Exposure'!$D$5:$D$164,$C403),SUMIFS('Inhalation Exposure'!$P$5:$P$164,'Inhalation Exposure'!$B$5:$B$164,$B403,'Inhalation Exposure'!$D$5:$D$164,$C403))),"--")</f>
        <v>12.985362878633872</v>
      </c>
      <c r="N403" s="491">
        <f>IFERROR(VLOOKUP($D403,$Y$9:$AB$9,4,FALSE)*IF($D403="Inhalation",IF($J403="Central Tendency",SUMIFS('Inhalation Exposure'!$S$5:$S$164,'Inhalation Exposure'!$B$5:$B$164,$B403,'Inhalation Exposure'!$D$5:$D$164,$C403),SUMIFS('Inhalation Exposure'!$R$5:$R$164,'Inhalation Exposure'!$B$5:$B$164,$B403,'Inhalation Exposure'!$D$5:$D$164,$C403))),"--")</f>
        <v>2.9994323849666312E-4</v>
      </c>
    </row>
    <row r="404" spans="2:14" ht="15" thickBot="1" x14ac:dyDescent="0.4">
      <c r="B404" s="203" t="s">
        <v>254</v>
      </c>
      <c r="C404" s="204" t="s">
        <v>64</v>
      </c>
      <c r="D404" s="204" t="s">
        <v>122</v>
      </c>
      <c r="E404" s="498"/>
      <c r="F404" s="498"/>
      <c r="G404" s="500"/>
      <c r="H404" s="503"/>
      <c r="I404" s="503"/>
      <c r="J404" s="511"/>
      <c r="K404" s="425"/>
      <c r="L404" s="497"/>
      <c r="M404" s="492"/>
      <c r="N404" s="492"/>
    </row>
    <row r="405" spans="2:14" ht="15.5" thickTop="1" thickBot="1" x14ac:dyDescent="0.4">
      <c r="B405" s="203" t="s">
        <v>255</v>
      </c>
      <c r="C405" s="299" t="s">
        <v>64</v>
      </c>
      <c r="D405" s="204" t="s">
        <v>122</v>
      </c>
      <c r="E405" s="498"/>
      <c r="F405" s="498"/>
      <c r="G405" s="500"/>
      <c r="H405" s="504" t="s">
        <v>153</v>
      </c>
      <c r="I405" s="506" t="s">
        <v>163</v>
      </c>
      <c r="J405" s="510" t="s">
        <v>69</v>
      </c>
      <c r="K405" s="493" t="str">
        <f>IFERROR(VLOOKUP($D377,$Y$9:$AB$10,2,FALSE)/IF($D377="Inhalation",IF($J405="Central Tendency",SUMIFS(#REF!,#REF!,$B373,#REF!,$C377),SUMIFS(#REF!,#REF!,$B373,#REF!,$C377))),"--")</f>
        <v>--</v>
      </c>
      <c r="L405" s="496">
        <f>IFERROR(VLOOKUP($D405,$Y$9:$AB$9,2,FALSE)/IF($D405="Inhalation",IF($J405="Central Tendency",SUMIFS('Inhalation Exposure'!$O$5:$O$164,'Inhalation Exposure'!$B$5:$B$164,$B405,'Inhalation Exposure'!$D$5:$D$164,$C405),SUMIFS('Inhalation Exposure'!$N$5:$N$164,'Inhalation Exposure'!$B$5:$B$164,$B405,'Inhalation Exposure'!$D$5:$D$164,$C405))),"--")</f>
        <v>167.04545454545456</v>
      </c>
      <c r="M405" s="491">
        <f>IFERROR(VLOOKUP($D405,$Y$9:$AB$9,3,FALSE)/IF($D405="Inhalation",IF($J405="Central Tendency",SUMIFS('Inhalation Exposure'!$Q$5:$Q$164,'Inhalation Exposure'!$B$5:$B$164,$B405,'Inhalation Exposure'!$D$5:$D$164,$C405),SUMIFS('Inhalation Exposure'!$P$5:$P$164,'Inhalation Exposure'!$B$5:$B$164,$B405,'Inhalation Exposure'!$D$5:$D$164,$C405))),"--")</f>
        <v>267.7395209580838</v>
      </c>
      <c r="N405" s="491">
        <f>IFERROR(VLOOKUP($D405,$Y$9:$AB$9,4,FALSE)*IF($D405="Inhalation",IF($J405="Central Tendency",SUMIFS('Inhalation Exposure'!$S$5:$S$164,'Inhalation Exposure'!$B$5:$B$164,$B405,'Inhalation Exposure'!$D$5:$D$164,$C405),SUMIFS('Inhalation Exposure'!$R$5:$R$164,'Inhalation Exposure'!$B$5:$B$164,$B405,'Inhalation Exposure'!$D$5:$D$164,$C405))),"--")</f>
        <v>1.1274113101510361E-5</v>
      </c>
    </row>
    <row r="406" spans="2:14" ht="15" thickBot="1" x14ac:dyDescent="0.4">
      <c r="B406" s="203" t="s">
        <v>255</v>
      </c>
      <c r="C406" s="299" t="s">
        <v>64</v>
      </c>
      <c r="D406" s="204" t="s">
        <v>122</v>
      </c>
      <c r="E406" s="498"/>
      <c r="F406" s="498"/>
      <c r="G406" s="500"/>
      <c r="H406" s="502"/>
      <c r="I406" s="502"/>
      <c r="J406" s="513"/>
      <c r="K406" s="495"/>
      <c r="L406" s="492"/>
      <c r="M406" s="492"/>
      <c r="N406" s="492"/>
    </row>
    <row r="407" spans="2:14" ht="15" thickBot="1" x14ac:dyDescent="0.4">
      <c r="B407" s="203" t="s">
        <v>255</v>
      </c>
      <c r="C407" s="299" t="s">
        <v>64</v>
      </c>
      <c r="D407" s="204" t="s">
        <v>122</v>
      </c>
      <c r="E407" s="498"/>
      <c r="F407" s="498"/>
      <c r="G407" s="500"/>
      <c r="H407" s="502"/>
      <c r="I407" s="502"/>
      <c r="J407" s="510" t="s">
        <v>128</v>
      </c>
      <c r="K407" s="493" t="str">
        <f>IFERROR(VLOOKUP($D379,$Y$9:$AB$10,2,FALSE)/IF($D379="Inhalation",IF($J407="Central Tendency",SUMIFS(#REF!,#REF!,$B375,#REF!,$C379),SUMIFS(#REF!,#REF!,$B375,#REF!,$C379))),"--")</f>
        <v>--</v>
      </c>
      <c r="L407" s="491">
        <f>IFERROR(VLOOKUP($D407,$Y$9:$AB$9,2,FALSE)/IF($D407="Inhalation",IF($J407="Central Tendency",SUMIFS('Inhalation Exposure'!$O$5:$O$164,'Inhalation Exposure'!$B$5:$B$164,$B407,'Inhalation Exposure'!$D$5:$D$164,$C407),SUMIFS('Inhalation Exposure'!$N$5:$N$164,'Inhalation Exposure'!$B$5:$B$164,$B407,'Inhalation Exposure'!$D$5:$D$164,$C407))),"--")</f>
        <v>16.704545454545453</v>
      </c>
      <c r="M407" s="491">
        <f>IFERROR(VLOOKUP($D407,$Y$9:$AB$9,3,FALSE)/IF($D407="Inhalation",IF($J407="Central Tendency",SUMIFS('Inhalation Exposure'!$Q$5:$Q$164,'Inhalation Exposure'!$B$5:$B$164,$B407,'Inhalation Exposure'!$D$5:$D$164,$C407),SUMIFS('Inhalation Exposure'!$P$5:$P$164,'Inhalation Exposure'!$B$5:$B$164,$B407,'Inhalation Exposure'!$D$5:$D$164,$C407))),"--")</f>
        <v>26.773952095808376</v>
      </c>
      <c r="N407" s="491">
        <f>IFERROR(VLOOKUP($D407,$Y$9:$AB$9,4,FALSE)*IF($D407="Inhalation",IF($J407="Central Tendency",SUMIFS('Inhalation Exposure'!$S$5:$S$164,'Inhalation Exposure'!$B$5:$B$164,$B407,'Inhalation Exposure'!$D$5:$D$164,$C407),SUMIFS('Inhalation Exposure'!$R$5:$R$164,'Inhalation Exposure'!$B$5:$B$164,$B407,'Inhalation Exposure'!$D$5:$D$164,$C407))),"--")</f>
        <v>1.4547242711626277E-4</v>
      </c>
    </row>
    <row r="408" spans="2:14" ht="15" thickBot="1" x14ac:dyDescent="0.4">
      <c r="B408" s="203" t="s">
        <v>255</v>
      </c>
      <c r="C408" s="299" t="s">
        <v>64</v>
      </c>
      <c r="D408" s="204" t="s">
        <v>122</v>
      </c>
      <c r="E408" s="498"/>
      <c r="F408" s="498"/>
      <c r="G408" s="500"/>
      <c r="H408" s="503"/>
      <c r="I408" s="503"/>
      <c r="J408" s="511"/>
      <c r="K408" s="495"/>
      <c r="L408" s="497"/>
      <c r="M408" s="492"/>
      <c r="N408" s="492"/>
    </row>
    <row r="409" spans="2:14" ht="15.5" thickTop="1" thickBot="1" x14ac:dyDescent="0.4">
      <c r="B409" s="203" t="s">
        <v>256</v>
      </c>
      <c r="C409" s="299" t="s">
        <v>64</v>
      </c>
      <c r="D409" s="204" t="s">
        <v>122</v>
      </c>
      <c r="E409" s="498"/>
      <c r="F409" s="498"/>
      <c r="G409" s="500"/>
      <c r="H409" s="504" t="s">
        <v>155</v>
      </c>
      <c r="I409" s="506" t="s">
        <v>163</v>
      </c>
      <c r="J409" s="510" t="s">
        <v>69</v>
      </c>
      <c r="K409" s="425"/>
      <c r="L409" s="491">
        <f>IFERROR(VLOOKUP($D409,$Y$9:$AB$9,2,FALSE)/IF($D409="Inhalation",IF($J409="Central Tendency",SUMIFS('Inhalation Exposure'!$O$5:$O$164,'Inhalation Exposure'!$B$5:$B$164,$B409,'Inhalation Exposure'!$D$5:$D$164,$C409),SUMIFS('Inhalation Exposure'!$N$5:$N$164,'Inhalation Exposure'!$B$5:$B$164,$B409,'Inhalation Exposure'!$D$5:$D$164,$C409))),"--")</f>
        <v>459.37500000000006</v>
      </c>
      <c r="M409" s="491">
        <f>IFERROR(VLOOKUP($D409,$Y$9:$AB$9,3,FALSE)/IF($D409="Inhalation",IF($J409="Central Tendency",SUMIFS('Inhalation Exposure'!$Q$5:$Q$164,'Inhalation Exposure'!$B$5:$B$164,$B409,'Inhalation Exposure'!$D$5:$D$164,$C409),SUMIFS('Inhalation Exposure'!$P$5:$P$164,'Inhalation Exposure'!$B$5:$B$164,$B409,'Inhalation Exposure'!$D$5:$D$164,$C409))),"--")</f>
        <v>5589.0625</v>
      </c>
      <c r="N409" s="491">
        <f>IFERROR(VLOOKUP($D409,$Y$9:$AB$9,4,FALSE)*IF($D409="Inhalation",IF($J409="Central Tendency",SUMIFS('Inhalation Exposure'!$S$5:$S$164,'Inhalation Exposure'!$B$5:$B$164,$B409,'Inhalation Exposure'!$D$5:$D$164,$C409),SUMIFS('Inhalation Exposure'!$R$5:$R$164,'Inhalation Exposure'!$B$5:$B$164,$B409,'Inhalation Exposure'!$D$5:$D$164,$C409))),"--")</f>
        <v>5.4007727432384956E-7</v>
      </c>
    </row>
    <row r="410" spans="2:14" ht="15" thickBot="1" x14ac:dyDescent="0.4">
      <c r="B410" s="203" t="s">
        <v>256</v>
      </c>
      <c r="C410" s="299" t="s">
        <v>64</v>
      </c>
      <c r="D410" s="204" t="s">
        <v>122</v>
      </c>
      <c r="E410" s="498"/>
      <c r="F410" s="498"/>
      <c r="G410" s="500"/>
      <c r="H410" s="502"/>
      <c r="I410" s="502"/>
      <c r="J410" s="513"/>
      <c r="K410" s="425"/>
      <c r="L410" s="492"/>
      <c r="M410" s="492"/>
      <c r="N410" s="492"/>
    </row>
    <row r="411" spans="2:14" ht="15" thickBot="1" x14ac:dyDescent="0.4">
      <c r="B411" s="203" t="s">
        <v>256</v>
      </c>
      <c r="C411" s="299" t="s">
        <v>64</v>
      </c>
      <c r="D411" s="204" t="s">
        <v>122</v>
      </c>
      <c r="E411" s="498"/>
      <c r="F411" s="498"/>
      <c r="G411" s="500"/>
      <c r="H411" s="502"/>
      <c r="I411" s="502"/>
      <c r="J411" s="510" t="s">
        <v>128</v>
      </c>
      <c r="K411" s="425"/>
      <c r="L411" s="491">
        <f>IFERROR(VLOOKUP($D411,$Y$9:$AB$9,2,FALSE)/IF($D411="Inhalation",IF($J411="Central Tendency",SUMIFS('Inhalation Exposure'!$O$5:$O$164,'Inhalation Exposure'!$B$5:$B$164,$B411,'Inhalation Exposure'!$D$5:$D$164,$C411),SUMIFS('Inhalation Exposure'!$N$5:$N$164,'Inhalation Exposure'!$B$5:$B$164,$B411,'Inhalation Exposure'!$D$5:$D$164,$C411))),"--")</f>
        <v>109.70149253731341</v>
      </c>
      <c r="M411" s="491">
        <f>IFERROR(VLOOKUP($D411,$Y$9:$AB$9,3,FALSE)/IF($D411="Inhalation",IF($J411="Central Tendency",SUMIFS('Inhalation Exposure'!$Q$5:$Q$164,'Inhalation Exposure'!$B$5:$B$164,$B411,'Inhalation Exposure'!$D$5:$D$164,$C411),SUMIFS('Inhalation Exposure'!$P$5:$P$164,'Inhalation Exposure'!$B$5:$B$164,$B411,'Inhalation Exposure'!$D$5:$D$164,$C411))),"--")</f>
        <v>1334.7014925373132</v>
      </c>
      <c r="N411" s="491">
        <f>IFERROR(VLOOKUP($D411,$Y$9:$AB$9,4,FALSE)*IF($D411="Inhalation",IF($J411="Central Tendency",SUMIFS('Inhalation Exposure'!$S$5:$S$164,'Inhalation Exposure'!$B$5:$B$164,$B411,'Inhalation Exposure'!$D$5:$D$164,$C411),SUMIFS('Inhalation Exposure'!$R$5:$R$164,'Inhalation Exposure'!$B$5:$B$164,$B411,'Inhalation Exposure'!$D$5:$D$164,$C411))),"--")</f>
        <v>2.9181594661046717E-6</v>
      </c>
    </row>
    <row r="412" spans="2:14" ht="15" thickBot="1" x14ac:dyDescent="0.4">
      <c r="B412" s="203" t="s">
        <v>256</v>
      </c>
      <c r="C412" s="299" t="s">
        <v>64</v>
      </c>
      <c r="D412" s="204" t="s">
        <v>122</v>
      </c>
      <c r="E412" s="498"/>
      <c r="F412" s="498"/>
      <c r="G412" s="500"/>
      <c r="H412" s="503"/>
      <c r="I412" s="503"/>
      <c r="J412" s="511"/>
      <c r="K412" s="425"/>
      <c r="L412" s="497"/>
      <c r="M412" s="492"/>
      <c r="N412" s="492"/>
    </row>
    <row r="413" spans="2:14" ht="15.5" thickTop="1" thickBot="1" x14ac:dyDescent="0.4">
      <c r="B413" s="203" t="s">
        <v>257</v>
      </c>
      <c r="C413" s="299" t="s">
        <v>64</v>
      </c>
      <c r="D413" s="204" t="s">
        <v>122</v>
      </c>
      <c r="E413" s="498"/>
      <c r="F413" s="498"/>
      <c r="G413" s="500"/>
      <c r="H413" s="504" t="s">
        <v>157</v>
      </c>
      <c r="I413" s="506" t="s">
        <v>163</v>
      </c>
      <c r="J413" s="510" t="s">
        <v>69</v>
      </c>
      <c r="K413" s="425"/>
      <c r="L413" s="496">
        <f>IFERROR(VLOOKUP($D413,$Y$9:$AB$9,2,FALSE)/IF($D413="Inhalation",IF($J413="Central Tendency",SUMIFS('Inhalation Exposure'!$O$5:$O$164,'Inhalation Exposure'!$B$5:$B$164,$B413,'Inhalation Exposure'!$D$5:$D$164,$C413),SUMIFS('Inhalation Exposure'!$N$5:$N$164,'Inhalation Exposure'!$B$5:$B$164,$B413,'Inhalation Exposure'!$D$5:$D$164,$C413))),"--")</f>
        <v>187.49999999999997</v>
      </c>
      <c r="M413" s="491">
        <f>IFERROR(VLOOKUP($D413,$Y$9:$AB$9,3,FALSE)/IF($D413="Inhalation",IF($J413="Central Tendency",SUMIFS('Inhalation Exposure'!$Q$5:$Q$164,'Inhalation Exposure'!$B$5:$B$164,$B413,'Inhalation Exposure'!$D$5:$D$164,$C413),SUMIFS('Inhalation Exposure'!$P$5:$P$164,'Inhalation Exposure'!$B$5:$B$164,$B413,'Inhalation Exposure'!$D$5:$D$164,$C413))),"--")</f>
        <v>2281.2499999999995</v>
      </c>
      <c r="N413" s="491">
        <f>IFERROR(VLOOKUP($D413,$Y$9:$AB$9,4,FALSE)*IF($D413="Inhalation",IF($J413="Central Tendency",SUMIFS('Inhalation Exposure'!$S$5:$S$164,'Inhalation Exposure'!$B$5:$B$164,$B413,'Inhalation Exposure'!$D$5:$D$164,$C413),SUMIFS('Inhalation Exposure'!$R$5:$R$164,'Inhalation Exposure'!$B$5:$B$164,$B413,'Inhalation Exposure'!$D$5:$D$164,$C413))),"--")</f>
        <v>1.3231893220934317E-6</v>
      </c>
    </row>
    <row r="414" spans="2:14" ht="15" thickBot="1" x14ac:dyDescent="0.4">
      <c r="B414" s="203" t="s">
        <v>257</v>
      </c>
      <c r="C414" s="299" t="s">
        <v>64</v>
      </c>
      <c r="D414" s="204" t="s">
        <v>122</v>
      </c>
      <c r="E414" s="498"/>
      <c r="F414" s="498"/>
      <c r="G414" s="500"/>
      <c r="H414" s="502"/>
      <c r="I414" s="502"/>
      <c r="J414" s="513"/>
      <c r="K414" s="425"/>
      <c r="L414" s="492"/>
      <c r="M414" s="492"/>
      <c r="N414" s="492"/>
    </row>
    <row r="415" spans="2:14" ht="15" thickBot="1" x14ac:dyDescent="0.4">
      <c r="B415" s="203" t="s">
        <v>257</v>
      </c>
      <c r="C415" s="299" t="s">
        <v>64</v>
      </c>
      <c r="D415" s="204" t="s">
        <v>122</v>
      </c>
      <c r="E415" s="498"/>
      <c r="F415" s="498"/>
      <c r="G415" s="500"/>
      <c r="H415" s="502"/>
      <c r="I415" s="502"/>
      <c r="J415" s="510" t="s">
        <v>128</v>
      </c>
      <c r="K415" s="425"/>
      <c r="L415" s="491">
        <f>IFERROR(VLOOKUP($D415,$Y$9:$AB$9,2,FALSE)/IF($D415="Inhalation",IF($J415="Central Tendency",SUMIFS('Inhalation Exposure'!$O$5:$O$164,'Inhalation Exposure'!$B$5:$B$164,$B415,'Inhalation Exposure'!$D$5:$D$164,$C415),SUMIFS('Inhalation Exposure'!$N$5:$N$164,'Inhalation Exposure'!$B$5:$B$164,$B415,'Inhalation Exposure'!$D$5:$D$164,$C415))),"--")</f>
        <v>87.499999999999986</v>
      </c>
      <c r="M415" s="491">
        <f>IFERROR(VLOOKUP($D415,$Y$9:$AB$9,3,FALSE)/IF($D415="Inhalation",IF($J415="Central Tendency",SUMIFS('Inhalation Exposure'!$Q$5:$Q$164,'Inhalation Exposure'!$B$5:$B$164,$B415,'Inhalation Exposure'!$D$5:$D$164,$C415),SUMIFS('Inhalation Exposure'!$P$5:$P$164,'Inhalation Exposure'!$B$5:$B$164,$B415,'Inhalation Exposure'!$D$5:$D$164,$C415))),"--")</f>
        <v>1064.5833333333333</v>
      </c>
      <c r="N415" s="491">
        <f>IFERROR(VLOOKUP($D415,$Y$9:$AB$9,4,FALSE)*IF($D415="Inhalation",IF($J415="Central Tendency",SUMIFS('Inhalation Exposure'!$S$5:$S$164,'Inhalation Exposure'!$B$5:$B$164,$B415,'Inhalation Exposure'!$D$5:$D$164,$C415),SUMIFS('Inhalation Exposure'!$R$5:$R$164,'Inhalation Exposure'!$B$5:$B$164,$B415,'Inhalation Exposure'!$D$5:$D$164,$C415))),"--")</f>
        <v>3.6585879873551102E-6</v>
      </c>
    </row>
    <row r="416" spans="2:14" ht="15" thickBot="1" x14ac:dyDescent="0.4">
      <c r="B416" s="203" t="s">
        <v>257</v>
      </c>
      <c r="C416" s="299" t="s">
        <v>64</v>
      </c>
      <c r="D416" s="204" t="s">
        <v>122</v>
      </c>
      <c r="E416" s="498"/>
      <c r="F416" s="498"/>
      <c r="G416" s="500"/>
      <c r="H416" s="503"/>
      <c r="I416" s="503"/>
      <c r="J416" s="511"/>
      <c r="K416" s="425"/>
      <c r="L416" s="497"/>
      <c r="M416" s="492"/>
      <c r="N416" s="492"/>
    </row>
    <row r="417" spans="2:14" ht="15" thickBot="1" x14ac:dyDescent="0.4">
      <c r="B417" s="203" t="s">
        <v>258</v>
      </c>
      <c r="C417" s="299" t="s">
        <v>64</v>
      </c>
      <c r="D417" s="204" t="s">
        <v>122</v>
      </c>
      <c r="E417" s="498"/>
      <c r="F417" s="498"/>
      <c r="G417" s="500"/>
      <c r="H417" s="506" t="s">
        <v>159</v>
      </c>
      <c r="I417" s="506" t="s">
        <v>163</v>
      </c>
      <c r="J417" s="510" t="s">
        <v>69</v>
      </c>
      <c r="K417" s="493" t="str">
        <f>IFERROR(VLOOKUP($D381,$Y$9:$AB$10,2,FALSE)/IF($D381="Inhalation",IF($J417="Central Tendency",SUMIFS(#REF!,#REF!,$B377,#REF!,$C381),SUMIFS(#REF!,#REF!,$B377,#REF!,$C381))),"--")</f>
        <v>--</v>
      </c>
      <c r="L417" s="491">
        <f>IFERROR(VLOOKUP($D417,$Y$9:$AB$9,2,FALSE)/IF($D417="Inhalation",IF($J417="Central Tendency",SUMIFS('Inhalation Exposure'!$O$5:$O$164,'Inhalation Exposure'!$B$5:$B$164,$B417,'Inhalation Exposure'!$D$5:$D$164,$C417),SUMIFS('Inhalation Exposure'!$N$5:$N$164,'Inhalation Exposure'!$B$5:$B$164,$B417,'Inhalation Exposure'!$D$5:$D$164,$C417))),"--")</f>
        <v>87.918660287081323</v>
      </c>
      <c r="M417" s="491">
        <f>IFERROR(VLOOKUP($D417,$Y$9:$AB$9,3,FALSE)/IF($D417="Inhalation",IF($J417="Central Tendency",SUMIFS('Inhalation Exposure'!$Q$5:$Q$164,'Inhalation Exposure'!$B$5:$B$164,$B417,'Inhalation Exposure'!$D$5:$D$164,$C417),SUMIFS('Inhalation Exposure'!$P$5:$P$164,'Inhalation Exposure'!$B$5:$B$164,$B417,'Inhalation Exposure'!$D$5:$D$164,$C417))),"--")</f>
        <v>140.91553734635991</v>
      </c>
      <c r="N417" s="491">
        <f>IFERROR(VLOOKUP($D417,$Y$9:$AB$9,4,FALSE)*IF($D417="Inhalation",IF($J417="Central Tendency",SUMIFS('Inhalation Exposure'!$S$5:$S$164,'Inhalation Exposure'!$B$5:$B$164,$B417,'Inhalation Exposure'!$D$5:$D$164,$C417),SUMIFS('Inhalation Exposure'!$R$5:$R$164,'Inhalation Exposure'!$B$5:$B$164,$B417,'Inhalation Exposure'!$D$5:$D$164,$C417))),"--")</f>
        <v>2.1420814892869683E-5</v>
      </c>
    </row>
    <row r="418" spans="2:14" ht="15" thickBot="1" x14ac:dyDescent="0.4">
      <c r="B418" s="203" t="s">
        <v>258</v>
      </c>
      <c r="C418" s="299" t="s">
        <v>64</v>
      </c>
      <c r="D418" s="204" t="s">
        <v>122</v>
      </c>
      <c r="E418" s="498"/>
      <c r="F418" s="498"/>
      <c r="G418" s="500"/>
      <c r="H418" s="502"/>
      <c r="I418" s="502"/>
      <c r="J418" s="513"/>
      <c r="K418" s="495"/>
      <c r="L418" s="492"/>
      <c r="M418" s="492"/>
      <c r="N418" s="492"/>
    </row>
    <row r="419" spans="2:14" ht="15" thickBot="1" x14ac:dyDescent="0.4">
      <c r="B419" s="203" t="s">
        <v>258</v>
      </c>
      <c r="C419" s="299" t="s">
        <v>64</v>
      </c>
      <c r="D419" s="204" t="s">
        <v>122</v>
      </c>
      <c r="E419" s="498"/>
      <c r="F419" s="498"/>
      <c r="G419" s="500"/>
      <c r="H419" s="502"/>
      <c r="I419" s="502"/>
      <c r="J419" s="510" t="s">
        <v>128</v>
      </c>
      <c r="K419" s="493" t="str">
        <f>IFERROR(VLOOKUP($D383,$Y$9:$AB$10,2,FALSE)/IF($D383="Inhalation",IF($J419="Central Tendency",SUMIFS(#REF!,#REF!,$B379,#REF!,$C383),SUMIFS(#REF!,#REF!,$B379,#REF!,$C383))),"--")</f>
        <v>--</v>
      </c>
      <c r="L419" s="491">
        <f>IFERROR(VLOOKUP($D419,$Y$9:$AB$9,2,FALSE)/IF($D419="Inhalation",IF($J419="Central Tendency",SUMIFS('Inhalation Exposure'!$O$5:$O$164,'Inhalation Exposure'!$B$5:$B$164,$B419,'Inhalation Exposure'!$D$5:$D$164,$C419),SUMIFS('Inhalation Exposure'!$N$5:$N$164,'Inhalation Exposure'!$B$5:$B$164,$B419,'Inhalation Exposure'!$D$5:$D$164,$C419))),"--")</f>
        <v>9.1783216783216783</v>
      </c>
      <c r="M419" s="491">
        <f>IFERROR(VLOOKUP($D419,$Y$9:$AB$9,3,FALSE)/IF($D419="Inhalation",IF($J419="Central Tendency",SUMIFS('Inhalation Exposure'!$Q$5:$Q$164,'Inhalation Exposure'!$B$5:$B$164,$B419,'Inhalation Exposure'!$D$5:$D$164,$C419),SUMIFS('Inhalation Exposure'!$P$5:$P$164,'Inhalation Exposure'!$B$5:$B$164,$B419,'Inhalation Exposure'!$D$5:$D$164,$C419))),"--")</f>
        <v>14.710962690004607</v>
      </c>
      <c r="N419" s="491">
        <f>IFERROR(VLOOKUP($D419,$Y$9:$AB$9,4,FALSE)*IF($D419="Inhalation",IF($J419="Central Tendency",SUMIFS('Inhalation Exposure'!$S$5:$S$164,'Inhalation Exposure'!$B$5:$B$164,$B419,'Inhalation Exposure'!$D$5:$D$164,$C419),SUMIFS('Inhalation Exposure'!$R$5:$R$164,'Inhalation Exposure'!$B$5:$B$164,$B419,'Inhalation Exposure'!$D$5:$D$164,$C419))),"--")</f>
        <v>2.6475981735159818E-4</v>
      </c>
    </row>
    <row r="420" spans="2:14" ht="15" thickBot="1" x14ac:dyDescent="0.4">
      <c r="B420" s="203" t="s">
        <v>258</v>
      </c>
      <c r="C420" s="299" t="s">
        <v>64</v>
      </c>
      <c r="D420" s="204" t="s">
        <v>122</v>
      </c>
      <c r="E420" s="498"/>
      <c r="F420" s="498"/>
      <c r="G420" s="500"/>
      <c r="H420" s="503"/>
      <c r="I420" s="503"/>
      <c r="J420" s="511"/>
      <c r="K420" s="495"/>
      <c r="L420" s="497"/>
      <c r="M420" s="492"/>
      <c r="N420" s="492"/>
    </row>
    <row r="421" spans="2:14" ht="15.5" thickTop="1" thickBot="1" x14ac:dyDescent="0.4">
      <c r="B421" s="203" t="s">
        <v>259</v>
      </c>
      <c r="C421" s="299" t="s">
        <v>68</v>
      </c>
      <c r="D421" s="204" t="s">
        <v>122</v>
      </c>
      <c r="E421" s="498"/>
      <c r="F421" s="498"/>
      <c r="G421" s="500"/>
      <c r="H421" s="504" t="s">
        <v>68</v>
      </c>
      <c r="I421" s="506" t="s">
        <v>163</v>
      </c>
      <c r="J421" s="510" t="s">
        <v>69</v>
      </c>
      <c r="K421" s="493" t="str">
        <f>IFERROR(VLOOKUP($D385,$Y$9:$AB$10,2,FALSE)/IF($D385="Inhalation",IF($J421="Central Tendency",SUMIFS(#REF!,#REF!,$B381,#REF!,$C385),SUMIFS(#REF!,#REF!,$B381,#REF!,$C385))),"--")</f>
        <v>--</v>
      </c>
      <c r="L421" s="496">
        <f>IFERROR(VLOOKUP($D421,$Y$9:$AB$9,2,FALSE)/IF($D421="Inhalation",IF($J421="Central Tendency",SUMIFS('Inhalation Exposure'!$O$5:$O$164,'Inhalation Exposure'!$B$5:$B$164,$B421,'Inhalation Exposure'!$D$5:$D$164,$C421),SUMIFS('Inhalation Exposure'!$N$5:$N$164,'Inhalation Exposure'!$B$5:$B$164,$B421,'Inhalation Exposure'!$D$5:$D$164,$C421))),"--")</f>
        <v>417.61363636363632</v>
      </c>
      <c r="M421" s="491">
        <f>IFERROR(VLOOKUP($D421,$Y$9:$AB$9,3,FALSE)/IF($D421="Inhalation",IF($J421="Central Tendency",SUMIFS('Inhalation Exposure'!$Q$5:$Q$164,'Inhalation Exposure'!$B$5:$B$164,$B421,'Inhalation Exposure'!$D$5:$D$164,$C421),SUMIFS('Inhalation Exposure'!$P$5:$P$164,'Inhalation Exposure'!$B$5:$B$164,$B421,'Inhalation Exposure'!$D$5:$D$164,$C421))),"--")</f>
        <v>669.34880239520953</v>
      </c>
      <c r="N421" s="491">
        <f>IFERROR(VLOOKUP($D421,$Y$9:$AB$9,4,FALSE)*IF($D421="Inhalation",IF($J421="Central Tendency",SUMIFS('Inhalation Exposure'!$S$5:$S$164,'Inhalation Exposure'!$B$5:$B$164,$B421,'Inhalation Exposure'!$D$5:$D$164,$C421),SUMIFS('Inhalation Exposure'!$R$5:$R$164,'Inhalation Exposure'!$B$5:$B$164,$B421,'Inhalation Exposure'!$D$5:$D$164,$C421))),"--")</f>
        <v>4.5096452406041452E-6</v>
      </c>
    </row>
    <row r="422" spans="2:14" ht="15" thickBot="1" x14ac:dyDescent="0.4">
      <c r="B422" s="203" t="s">
        <v>259</v>
      </c>
      <c r="C422" s="299" t="s">
        <v>68</v>
      </c>
      <c r="D422" s="204" t="s">
        <v>122</v>
      </c>
      <c r="E422" s="498"/>
      <c r="F422" s="498"/>
      <c r="G422" s="500"/>
      <c r="H422" s="502"/>
      <c r="I422" s="502"/>
      <c r="J422" s="513"/>
      <c r="K422" s="495"/>
      <c r="L422" s="492"/>
      <c r="M422" s="492"/>
      <c r="N422" s="492"/>
    </row>
    <row r="423" spans="2:14" ht="15" thickBot="1" x14ac:dyDescent="0.4">
      <c r="B423" s="203" t="s">
        <v>259</v>
      </c>
      <c r="C423" s="299" t="s">
        <v>68</v>
      </c>
      <c r="D423" s="204" t="s">
        <v>122</v>
      </c>
      <c r="E423" s="498"/>
      <c r="F423" s="498"/>
      <c r="G423" s="500"/>
      <c r="H423" s="502"/>
      <c r="I423" s="502"/>
      <c r="J423" s="510" t="s">
        <v>128</v>
      </c>
      <c r="K423" s="493" t="str">
        <f>IFERROR(VLOOKUP($D387,$Y$9:$AB$10,2,FALSE)/IF($D387="Inhalation",IF($J423="Central Tendency",SUMIFS(#REF!,#REF!,$B383,#REF!,$C387),SUMIFS(#REF!,#REF!,$B383,#REF!,$C387))),"--")</f>
        <v>--</v>
      </c>
      <c r="L423" s="491">
        <f>IFERROR(VLOOKUP($D423,$Y$9:$AB$9,2,FALSE)/IF($D423="Inhalation",IF($J423="Central Tendency",SUMIFS('Inhalation Exposure'!$O$5:$O$164,'Inhalation Exposure'!$B$5:$B$164,$B423,'Inhalation Exposure'!$D$5:$D$164,$C423),SUMIFS('Inhalation Exposure'!$N$5:$N$164,'Inhalation Exposure'!$B$5:$B$164,$B423,'Inhalation Exposure'!$D$5:$D$164,$C423))),"--")</f>
        <v>196.524064171123</v>
      </c>
      <c r="M423" s="491">
        <f>IFERROR(VLOOKUP($D423,$Y$9:$AB$9,3,FALSE)/IF($D423="Inhalation",IF($J423="Central Tendency",SUMIFS('Inhalation Exposure'!$Q$5:$Q$164,'Inhalation Exposure'!$B$5:$B$164,$B423,'Inhalation Exposure'!$D$5:$D$164,$C423),SUMIFS('Inhalation Exposure'!$P$5:$P$164,'Inhalation Exposure'!$B$5:$B$164,$B423,'Inhalation Exposure'!$D$5:$D$164,$C423))),"--")</f>
        <v>314.98767171539265</v>
      </c>
      <c r="N423" s="491">
        <f>IFERROR(VLOOKUP($D423,$Y$9:$AB$9,4,FALSE)*IF($D423="Inhalation",IF($J423="Central Tendency",SUMIFS('Inhalation Exposure'!$S$5:$S$164,'Inhalation Exposure'!$B$5:$B$164,$B423,'Inhalation Exposure'!$D$5:$D$164,$C423),SUMIFS('Inhalation Exposure'!$R$5:$R$164,'Inhalation Exposure'!$B$5:$B$164,$B423,'Inhalation Exposure'!$D$5:$D$164,$C423))),"--")</f>
        <v>1.2365156304882334E-5</v>
      </c>
    </row>
    <row r="424" spans="2:14" ht="15" thickBot="1" x14ac:dyDescent="0.4">
      <c r="B424" s="203" t="s">
        <v>259</v>
      </c>
      <c r="C424" s="299" t="s">
        <v>68</v>
      </c>
      <c r="D424" s="204" t="s">
        <v>122</v>
      </c>
      <c r="E424" s="498"/>
      <c r="F424" s="498"/>
      <c r="G424" s="500"/>
      <c r="H424" s="502"/>
      <c r="I424" s="502"/>
      <c r="J424" s="512"/>
      <c r="K424" s="494"/>
      <c r="L424" s="497"/>
      <c r="M424" s="492"/>
      <c r="N424" s="492"/>
    </row>
    <row r="425" spans="2:14" ht="15" customHeight="1" thickBot="1" x14ac:dyDescent="0.4">
      <c r="B425" s="203" t="s">
        <v>260</v>
      </c>
      <c r="C425" s="299" t="s">
        <v>64</v>
      </c>
      <c r="D425" s="299" t="s">
        <v>122</v>
      </c>
      <c r="E425" s="508" t="s">
        <v>261</v>
      </c>
      <c r="F425" s="508" t="s">
        <v>262</v>
      </c>
      <c r="G425" s="509" t="s">
        <v>263</v>
      </c>
      <c r="H425" s="506" t="s">
        <v>64</v>
      </c>
      <c r="I425" s="506" t="s">
        <v>101</v>
      </c>
      <c r="J425" s="510" t="s">
        <v>69</v>
      </c>
      <c r="K425" s="491" t="str">
        <f>IFERROR(VLOOKUP($D57,$Y$9:$AB$10,2,FALSE)/IF($D57="Inhalation",IF($J425="Central Tendency",SUMIFS(#REF!,#REF!,$B53,#REF!,$C57),SUMIFS(#REF!,#REF!,$B53,#REF!,$C57)),IF($J425="Central Tendency",VLOOKUP($B53,#REF!,17,FALSE),VLOOKUP($B53,#REF!,12,FALSE))),"--")</f>
        <v>--</v>
      </c>
      <c r="L425" s="491">
        <f>IFERROR(VLOOKUP($D425,$Y$9:$AB$9,2,FALSE)/IF($D425="Inhalation",IF($J425="Central Tendency",SUMIFS('Inhalation Exposure'!$O$5:$O$164,'Inhalation Exposure'!$B$5:$B$164,$B425,'Inhalation Exposure'!$D$5:$D$164,$C425),SUMIFS('Inhalation Exposure'!$N$5:$N$164,'Inhalation Exposure'!$B$5:$B$164,$B425,'Inhalation Exposure'!$D$5:$D$164,$C425))),"--")</f>
        <v>172.85703464704409</v>
      </c>
      <c r="M425" s="491">
        <f>IFERROR(VLOOKUP($D425,$Y$9:$AB$9,3,FALSE)/IF($D425="Inhalation",IF($J425="Central Tendency",SUMIFS('Inhalation Exposure'!$Q$5:$Q$164,'Inhalation Exposure'!$B$5:$B$164,$B425,'Inhalation Exposure'!$D$5:$D$164,$C425),SUMIFS('Inhalation Exposure'!$P$5:$P$164,'Inhalation Exposure'!$B$5:$B$164,$B425,'Inhalation Exposure'!$D$5:$D$164,$C425))),"--")</f>
        <v>177.95410105330305</v>
      </c>
      <c r="N425" s="491">
        <f>IFERROR(VLOOKUP($D425,$Y$9:$AB$9,4,FALSE)*IF($D425="Inhalation",IF($J425="Central Tendency",SUMIFS('Inhalation Exposure'!$S$5:$S$164,'Inhalation Exposure'!$B$5:$B$164,$B425,'Inhalation Exposure'!$D$5:$D$164,$C425),SUMIFS('Inhalation Exposure'!$R$5:$R$164,'Inhalation Exposure'!$B$5:$B$164,$B425,'Inhalation Exposure'!$D$5:$D$164,$C425))),"--")</f>
        <v>1.6962383126655192E-5</v>
      </c>
    </row>
    <row r="426" spans="2:14" ht="15" thickBot="1" x14ac:dyDescent="0.4">
      <c r="B426" s="203" t="s">
        <v>260</v>
      </c>
      <c r="C426" s="299" t="s">
        <v>64</v>
      </c>
      <c r="D426" s="299" t="s">
        <v>122</v>
      </c>
      <c r="E426" s="498"/>
      <c r="F426" s="498"/>
      <c r="G426" s="500"/>
      <c r="H426" s="502"/>
      <c r="I426" s="502"/>
      <c r="J426" s="513"/>
      <c r="K426" s="492"/>
      <c r="L426" s="492"/>
      <c r="M426" s="492"/>
      <c r="N426" s="492"/>
    </row>
    <row r="427" spans="2:14" ht="15" thickBot="1" x14ac:dyDescent="0.4">
      <c r="B427" s="203" t="s">
        <v>260</v>
      </c>
      <c r="C427" s="299" t="s">
        <v>64</v>
      </c>
      <c r="D427" s="299" t="s">
        <v>122</v>
      </c>
      <c r="E427" s="498"/>
      <c r="F427" s="498"/>
      <c r="G427" s="500"/>
      <c r="H427" s="502"/>
      <c r="I427" s="502"/>
      <c r="J427" s="510" t="s">
        <v>128</v>
      </c>
      <c r="K427" s="493" t="str">
        <f>IFERROR(VLOOKUP($D59,$Y$9:$AB$10,2,FALSE)/IF($D59="Inhalation",IF($J427="Central Tendency",SUMIFS(#REF!,#REF!,$B55,#REF!,$C59),SUMIFS(#REF!,#REF!,$B55,#REF!,$C59)),IF($J427="Central Tendency",VLOOKUP($B55,#REF!,17,FALSE),VLOOKUP($B55,#REF!,12,FALSE))),"--")</f>
        <v>--</v>
      </c>
      <c r="L427" s="491">
        <f>IFERROR(VLOOKUP($D427,$Y$9:$AB$9,2,FALSE)/IF($D427="Inhalation",IF($J427="Central Tendency",SUMIFS('Inhalation Exposure'!$O$5:$O$164,'Inhalation Exposure'!$B$5:$B$164,$B427,'Inhalation Exposure'!$D$5:$D$164,$C427),SUMIFS('Inhalation Exposure'!$N$5:$N$164,'Inhalation Exposure'!$B$5:$B$164,$B427,'Inhalation Exposure'!$D$5:$D$164,$C427))),"--")</f>
        <v>18.475073313782996</v>
      </c>
      <c r="M427" s="491">
        <f>IFERROR(VLOOKUP($D427,$Y$9:$AB$9,3,FALSE)/IF($D427="Inhalation",IF($J427="Central Tendency",SUMIFS('Inhalation Exposure'!$Q$5:$Q$164,'Inhalation Exposure'!$B$5:$B$164,$B427,'Inhalation Exposure'!$D$5:$D$164,$C427),SUMIFS('Inhalation Exposure'!$P$5:$P$164,'Inhalation Exposure'!$B$5:$B$164,$B427,'Inhalation Exposure'!$D$5:$D$164,$C427))),"--")</f>
        <v>19.019851116625315</v>
      </c>
      <c r="N427" s="491">
        <f>IFERROR(VLOOKUP($D427,$Y$9:$AB$9,4,FALSE)*IF($D427="Inhalation",IF($J427="Central Tendency",SUMIFS('Inhalation Exposure'!$S$5:$S$164,'Inhalation Exposure'!$B$5:$B$164,$B427,'Inhalation Exposure'!$D$5:$D$164,$C427),SUMIFS('Inhalation Exposure'!$R$5:$R$164,'Inhalation Exposure'!$B$5:$B$164,$B427,'Inhalation Exposure'!$D$5:$D$164,$C427))),"--")</f>
        <v>2.0477929984779293E-4</v>
      </c>
    </row>
    <row r="428" spans="2:14" ht="15" thickBot="1" x14ac:dyDescent="0.4">
      <c r="B428" s="203" t="s">
        <v>260</v>
      </c>
      <c r="C428" s="299" t="s">
        <v>64</v>
      </c>
      <c r="D428" s="299" t="s">
        <v>122</v>
      </c>
      <c r="E428" s="498"/>
      <c r="F428" s="498"/>
      <c r="G428" s="500"/>
      <c r="H428" s="502"/>
      <c r="I428" s="503"/>
      <c r="J428" s="511"/>
      <c r="K428" s="495"/>
      <c r="L428" s="497"/>
      <c r="M428" s="492"/>
      <c r="N428" s="492"/>
    </row>
    <row r="429" spans="2:14" ht="26.15" customHeight="1" thickTop="1" thickBot="1" x14ac:dyDescent="0.4">
      <c r="B429" s="203" t="s">
        <v>260</v>
      </c>
      <c r="C429" s="299" t="s">
        <v>68</v>
      </c>
      <c r="D429" s="299" t="s">
        <v>122</v>
      </c>
      <c r="E429" s="498"/>
      <c r="F429" s="498"/>
      <c r="G429" s="500"/>
      <c r="H429" s="504" t="s">
        <v>68</v>
      </c>
      <c r="I429" s="504" t="s">
        <v>101</v>
      </c>
      <c r="J429" s="504" t="s">
        <v>69</v>
      </c>
      <c r="K429" s="429" t="str">
        <f>IFERROR(VLOOKUP($D61,$Y$9:$AB$10,2,FALSE)/IF($D61="Inhalation",IF($J429="Central Tendency",SUMIFS(#REF!,#REF!,$B57,#REF!,$C61),SUMIFS(#REF!,#REF!,$B57,#REF!,$C61)),IF($J429="Central Tendency",VLOOKUP($B57,#REF!,17,FALSE),VLOOKUP($B57,#REF!,12,FALSE))),"--")</f>
        <v>--</v>
      </c>
      <c r="L429" s="496">
        <f>IFERROR(VLOOKUP($D429,$Y$9:$AB$9,2,FALSE)/IF($D429="Inhalation",IF($J429="Central Tendency",SUMIFS('Inhalation Exposure'!$O$5:$O$164,'Inhalation Exposure'!$B$5:$B$164,$B429,'Inhalation Exposure'!$D$5:$D$164,$C429),SUMIFS('Inhalation Exposure'!$N$5:$N$164,'Inhalation Exposure'!$B$5:$B$164,$B429,'Inhalation Exposure'!$D$5:$D$164,$C429))),"--")</f>
        <v>172.85703464704409</v>
      </c>
      <c r="M429" s="491">
        <f>IFERROR(VLOOKUP($D429,$Y$9:$AB$9,3,FALSE)/IF($D429="Inhalation",IF($J429="Central Tendency",SUMIFS('Inhalation Exposure'!$Q$5:$Q$164,'Inhalation Exposure'!$B$5:$B$164,$B429,'Inhalation Exposure'!$D$5:$D$164,$C429),SUMIFS('Inhalation Exposure'!$P$5:$P$164,'Inhalation Exposure'!$B$5:$B$164,$B429,'Inhalation Exposure'!$D$5:$D$164,$C429))),"--")</f>
        <v>177.95410105330305</v>
      </c>
      <c r="N429" s="491">
        <f>IFERROR(VLOOKUP($D429,$Y$9:$AB$9,4,FALSE)*IF($D429="Inhalation",IF($J429="Central Tendency",SUMIFS('Inhalation Exposure'!$S$5:$S$164,'Inhalation Exposure'!$B$5:$B$164,$B429,'Inhalation Exposure'!$D$5:$D$164,$C429),SUMIFS('Inhalation Exposure'!$R$5:$R$164,'Inhalation Exposure'!$B$5:$B$164,$B429,'Inhalation Exposure'!$D$5:$D$164,$C429))),"--")</f>
        <v>1.6962383126655192E-5</v>
      </c>
    </row>
    <row r="430" spans="2:14" ht="15" thickBot="1" x14ac:dyDescent="0.4">
      <c r="B430" s="203" t="s">
        <v>260</v>
      </c>
      <c r="C430" s="299" t="s">
        <v>68</v>
      </c>
      <c r="D430" s="299" t="s">
        <v>122</v>
      </c>
      <c r="E430" s="498"/>
      <c r="F430" s="498"/>
      <c r="G430" s="500"/>
      <c r="H430" s="502"/>
      <c r="I430" s="502"/>
      <c r="J430" s="505"/>
      <c r="K430" s="429"/>
      <c r="L430" s="492"/>
      <c r="M430" s="492"/>
      <c r="N430" s="492"/>
    </row>
    <row r="431" spans="2:14" ht="15" thickBot="1" x14ac:dyDescent="0.4">
      <c r="B431" s="203" t="s">
        <v>260</v>
      </c>
      <c r="C431" s="299" t="s">
        <v>68</v>
      </c>
      <c r="D431" s="299" t="s">
        <v>122</v>
      </c>
      <c r="E431" s="498"/>
      <c r="F431" s="498"/>
      <c r="G431" s="500"/>
      <c r="H431" s="502"/>
      <c r="I431" s="502"/>
      <c r="J431" s="506" t="s">
        <v>128</v>
      </c>
      <c r="K431" s="429"/>
      <c r="L431" s="491">
        <f>IFERROR(VLOOKUP($D431,$Y$9:$AB$9,2,FALSE)/IF($D431="Inhalation",IF($J431="Central Tendency",SUMIFS('Inhalation Exposure'!$O$5:$O$164,'Inhalation Exposure'!$B$5:$B$164,$B431,'Inhalation Exposure'!$D$5:$D$164,$C431),SUMIFS('Inhalation Exposure'!$N$5:$N$164,'Inhalation Exposure'!$B$5:$B$164,$B431,'Inhalation Exposure'!$D$5:$D$164,$C431))),"--")</f>
        <v>172.85703464704409</v>
      </c>
      <c r="M431" s="491">
        <f>IFERROR(VLOOKUP($D431,$Y$9:$AB$9,3,FALSE)/IF($D431="Inhalation",IF($J431="Central Tendency",SUMIFS('Inhalation Exposure'!$Q$5:$Q$164,'Inhalation Exposure'!$B$5:$B$164,$B431,'Inhalation Exposure'!$D$5:$D$164,$C431),SUMIFS('Inhalation Exposure'!$P$5:$P$164,'Inhalation Exposure'!$B$5:$B$164,$B431,'Inhalation Exposure'!$D$5:$D$164,$C431))),"--")</f>
        <v>177.95410105330305</v>
      </c>
      <c r="N431" s="491">
        <f>IFERROR(VLOOKUP($D431,$Y$9:$AB$9,4,FALSE)*IF($D431="Inhalation",IF($J431="Central Tendency",SUMIFS('Inhalation Exposure'!$S$5:$S$164,'Inhalation Exposure'!$B$5:$B$164,$B431,'Inhalation Exposure'!$D$5:$D$164,$C431),SUMIFS('Inhalation Exposure'!$R$5:$R$164,'Inhalation Exposure'!$B$5:$B$164,$B431,'Inhalation Exposure'!$D$5:$D$164,$C431))),"--")</f>
        <v>2.1886945969877667E-5</v>
      </c>
    </row>
    <row r="432" spans="2:14" ht="15" thickBot="1" x14ac:dyDescent="0.4">
      <c r="B432" s="203" t="s">
        <v>260</v>
      </c>
      <c r="C432" s="299" t="s">
        <v>68</v>
      </c>
      <c r="D432" s="299" t="s">
        <v>122</v>
      </c>
      <c r="E432" s="498"/>
      <c r="F432" s="498"/>
      <c r="G432" s="500"/>
      <c r="H432" s="502"/>
      <c r="I432" s="505"/>
      <c r="J432" s="505"/>
      <c r="K432" s="429" t="str">
        <f>IFERROR(VLOOKUP($D62,$Y$9:$AB$10,2,FALSE)/IF($D62="Inhalation",IF($J431="Central Tendency",SUMIFS(#REF!,#REF!,$B58,#REF!,$C62),SUMIFS(#REF!,#REF!,$B58,#REF!,$C62)),IF($J431="Central Tendency",VLOOKUP($B58,#REF!,17,FALSE),VLOOKUP($B58,#REF!,12,FALSE))),"--")</f>
        <v>--</v>
      </c>
      <c r="L432" s="497"/>
      <c r="M432" s="492"/>
      <c r="N432" s="492"/>
    </row>
    <row r="433" spans="2:14" ht="15" thickBot="1" x14ac:dyDescent="0.4">
      <c r="B433" s="203" t="s">
        <v>264</v>
      </c>
      <c r="C433" s="299" t="s">
        <v>64</v>
      </c>
      <c r="D433" s="299" t="s">
        <v>122</v>
      </c>
      <c r="E433" s="498"/>
      <c r="F433" s="498"/>
      <c r="G433" s="500"/>
      <c r="H433" s="506" t="s">
        <v>64</v>
      </c>
      <c r="I433" s="506" t="s">
        <v>163</v>
      </c>
      <c r="J433" s="510" t="s">
        <v>69</v>
      </c>
      <c r="K433" s="491" t="str">
        <f>IFERROR(VLOOKUP($D65,$Y$9:$AB$10,2,FALSE)/IF($D65="Inhalation",IF($J433="Central Tendency",SUMIFS(#REF!,#REF!,$B61,#REF!,$C65),SUMIFS(#REF!,#REF!,$B61,#REF!,$C65)),IF($J433="Central Tendency",VLOOKUP($B61,#REF!,17,FALSE),VLOOKUP($B61,#REF!,12,FALSE))),"--")</f>
        <v>--</v>
      </c>
      <c r="L433" s="491">
        <f>IFERROR(VLOOKUP($D433,$Y$9:$AB$9,2,FALSE)/IF($D433="Inhalation",IF($J433="Central Tendency",SUMIFS('Inhalation Exposure'!$O$5:$O$164,'Inhalation Exposure'!$B$5:$B$164,$B433,'Inhalation Exposure'!$D$5:$D$164,$C433),SUMIFS('Inhalation Exposure'!$N$5:$N$164,'Inhalation Exposure'!$B$5:$B$164,$B433,'Inhalation Exposure'!$D$5:$D$164,$C433))),"--")</f>
        <v>23.778712390812032</v>
      </c>
      <c r="M433" s="491">
        <f>IFERROR(VLOOKUP($D433,$Y$9:$AB$9,3,FALSE)/IF($D433="Inhalation",IF($J433="Central Tendency",SUMIFS('Inhalation Exposure'!$Q$5:$Q$164,'Inhalation Exposure'!$B$5:$B$164,$B433,'Inhalation Exposure'!$D$5:$D$164,$C433),SUMIFS('Inhalation Exposure'!$P$5:$P$164,'Inhalation Exposure'!$B$5:$B$164,$B433,'Inhalation Exposure'!$D$5:$D$164,$C433))),"--")</f>
        <v>38.112387324994131</v>
      </c>
      <c r="N433" s="491">
        <f>IFERROR(VLOOKUP($D433,$Y$9:$AB$9,4,FALSE)*IF($D433="Inhalation",IF($J433="Central Tendency",SUMIFS('Inhalation Exposure'!$S$5:$S$164,'Inhalation Exposure'!$B$5:$B$164,$B433,'Inhalation Exposure'!$D$5:$D$164,$C433),SUMIFS('Inhalation Exposure'!$R$5:$R$164,'Inhalation Exposure'!$B$5:$B$164,$B433,'Inhalation Exposure'!$D$5:$D$164,$C433))),"--")</f>
        <v>7.9200644538110289E-5</v>
      </c>
    </row>
    <row r="434" spans="2:14" ht="15" thickBot="1" x14ac:dyDescent="0.4">
      <c r="B434" s="203" t="s">
        <v>264</v>
      </c>
      <c r="C434" s="299" t="s">
        <v>64</v>
      </c>
      <c r="D434" s="299" t="s">
        <v>122</v>
      </c>
      <c r="E434" s="498"/>
      <c r="F434" s="498"/>
      <c r="G434" s="500"/>
      <c r="H434" s="502"/>
      <c r="I434" s="502"/>
      <c r="J434" s="513"/>
      <c r="K434" s="492"/>
      <c r="L434" s="492"/>
      <c r="M434" s="492"/>
      <c r="N434" s="492"/>
    </row>
    <row r="435" spans="2:14" ht="15" thickBot="1" x14ac:dyDescent="0.4">
      <c r="B435" s="203" t="s">
        <v>264</v>
      </c>
      <c r="C435" s="299" t="s">
        <v>64</v>
      </c>
      <c r="D435" s="299" t="s">
        <v>122</v>
      </c>
      <c r="E435" s="498"/>
      <c r="F435" s="498"/>
      <c r="G435" s="500"/>
      <c r="H435" s="502"/>
      <c r="I435" s="502"/>
      <c r="J435" s="510" t="s">
        <v>128</v>
      </c>
      <c r="K435" s="493" t="str">
        <f>IFERROR(VLOOKUP($D67,$Y$9:$AB$10,2,FALSE)/IF($D67="Inhalation",IF($J435="Central Tendency",SUMIFS(#REF!,#REF!,$B63,#REF!,$C67),SUMIFS(#REF!,#REF!,$B63,#REF!,$C67)),IF($J435="Central Tendency",VLOOKUP($B63,#REF!,17,FALSE),VLOOKUP($B63,#REF!,12,FALSE))),"--")</f>
        <v>--</v>
      </c>
      <c r="L435" s="491">
        <f>IFERROR(VLOOKUP($D435,$Y$9:$AB$9,2,FALSE)/IF($D435="Inhalation",IF($J435="Central Tendency",SUMIFS('Inhalation Exposure'!$O$5:$O$164,'Inhalation Exposure'!$B$5:$B$164,$B435,'Inhalation Exposure'!$D$5:$D$164,$C435),SUMIFS('Inhalation Exposure'!$N$5:$N$164,'Inhalation Exposure'!$B$5:$B$164,$B435,'Inhalation Exposure'!$D$5:$D$164,$C435))),"--")</f>
        <v>12.135521579764225</v>
      </c>
      <c r="M435" s="491">
        <f>IFERROR(VLOOKUP($D435,$Y$9:$AB$9,3,FALSE)/IF($D435="Inhalation",IF($J435="Central Tendency",SUMIFS('Inhalation Exposure'!$Q$5:$Q$164,'Inhalation Exposure'!$B$5:$B$164,$B435,'Inhalation Exposure'!$D$5:$D$164,$C435),SUMIFS('Inhalation Exposure'!$P$5:$P$164,'Inhalation Exposure'!$B$5:$B$164,$B435,'Inhalation Exposure'!$D$5:$D$164,$C435))),"--")</f>
        <v>19.4507461647718</v>
      </c>
      <c r="N435" s="491">
        <f>IFERROR(VLOOKUP($D435,$Y$9:$AB$9,4,FALSE)*IF($D435="Inhalation",IF($J435="Central Tendency",SUMIFS('Inhalation Exposure'!$S$5:$S$164,'Inhalation Exposure'!$B$5:$B$164,$B435,'Inhalation Exposure'!$D$5:$D$164,$C435),SUMIFS('Inhalation Exposure'!$R$5:$R$164,'Inhalation Exposure'!$B$5:$B$164,$B435,'Inhalation Exposure'!$D$5:$D$164,$C435))),"--")</f>
        <v>2.0024279592553563E-4</v>
      </c>
    </row>
    <row r="436" spans="2:14" ht="15" thickBot="1" x14ac:dyDescent="0.4">
      <c r="B436" s="203" t="s">
        <v>264</v>
      </c>
      <c r="C436" s="299" t="s">
        <v>64</v>
      </c>
      <c r="D436" s="299" t="s">
        <v>122</v>
      </c>
      <c r="E436" s="498"/>
      <c r="F436" s="498"/>
      <c r="G436" s="500"/>
      <c r="H436" s="502"/>
      <c r="I436" s="503"/>
      <c r="J436" s="511"/>
      <c r="K436" s="495"/>
      <c r="L436" s="497"/>
      <c r="M436" s="492"/>
      <c r="N436" s="492"/>
    </row>
    <row r="437" spans="2:14" ht="15.5" thickTop="1" thickBot="1" x14ac:dyDescent="0.4">
      <c r="B437" s="203" t="s">
        <v>264</v>
      </c>
      <c r="C437" s="299" t="s">
        <v>68</v>
      </c>
      <c r="D437" s="299" t="s">
        <v>122</v>
      </c>
      <c r="E437" s="498"/>
      <c r="F437" s="498"/>
      <c r="G437" s="500"/>
      <c r="H437" s="504" t="s">
        <v>68</v>
      </c>
      <c r="I437" s="506" t="s">
        <v>163</v>
      </c>
      <c r="J437" s="504" t="s">
        <v>69</v>
      </c>
      <c r="K437" s="429" t="str">
        <f>IFERROR(VLOOKUP($D69,$Y$9:$AB$10,2,FALSE)/IF($D69="Inhalation",IF($J437="Central Tendency",SUMIFS(#REF!,#REF!,$B65,#REF!,$C69),SUMIFS(#REF!,#REF!,$B65,#REF!,$C69)),IF($J437="Central Tendency",VLOOKUP($B65,#REF!,17,FALSE),VLOOKUP($B65,#REF!,12,FALSE))),"--")</f>
        <v>--</v>
      </c>
      <c r="L437" s="496">
        <f>IFERROR(VLOOKUP($D437,$Y$9:$AB$9,2,FALSE)/IF($D437="Inhalation",IF($J437="Central Tendency",SUMIFS('Inhalation Exposure'!$O$5:$O$164,'Inhalation Exposure'!$B$5:$B$164,$B437,'Inhalation Exposure'!$D$5:$D$164,$C437),SUMIFS('Inhalation Exposure'!$N$5:$N$164,'Inhalation Exposure'!$B$5:$B$164,$B437,'Inhalation Exposure'!$D$5:$D$164,$C437))),"--")</f>
        <v>23.778712390812032</v>
      </c>
      <c r="M437" s="491">
        <f>IFERROR(VLOOKUP($D437,$Y$9:$AB$9,3,FALSE)/IF($D437="Inhalation",IF($J437="Central Tendency",SUMIFS('Inhalation Exposure'!$Q$5:$Q$164,'Inhalation Exposure'!$B$5:$B$164,$B437,'Inhalation Exposure'!$D$5:$D$164,$C437),SUMIFS('Inhalation Exposure'!$P$5:$P$164,'Inhalation Exposure'!$B$5:$B$164,$B437,'Inhalation Exposure'!$D$5:$D$164,$C437))),"--")</f>
        <v>38.112387324994131</v>
      </c>
      <c r="N437" s="491">
        <f>IFERROR(VLOOKUP($D437,$Y$9:$AB$9,4,FALSE)*IF($D437="Inhalation",IF($J437="Central Tendency",SUMIFS('Inhalation Exposure'!$S$5:$S$164,'Inhalation Exposure'!$B$5:$B$164,$B437,'Inhalation Exposure'!$D$5:$D$164,$C437),SUMIFS('Inhalation Exposure'!$R$5:$R$164,'Inhalation Exposure'!$B$5:$B$164,$B437,'Inhalation Exposure'!$D$5:$D$164,$C437))),"--")</f>
        <v>7.9200644538110289E-5</v>
      </c>
    </row>
    <row r="438" spans="2:14" ht="15" thickBot="1" x14ac:dyDescent="0.4">
      <c r="B438" s="203" t="s">
        <v>264</v>
      </c>
      <c r="C438" s="299" t="s">
        <v>68</v>
      </c>
      <c r="D438" s="299" t="s">
        <v>122</v>
      </c>
      <c r="E438" s="498"/>
      <c r="F438" s="498"/>
      <c r="G438" s="500"/>
      <c r="H438" s="502"/>
      <c r="I438" s="502"/>
      <c r="J438" s="505"/>
      <c r="K438" s="429"/>
      <c r="L438" s="492"/>
      <c r="M438" s="492"/>
      <c r="N438" s="492"/>
    </row>
    <row r="439" spans="2:14" ht="15" thickBot="1" x14ac:dyDescent="0.4">
      <c r="B439" s="203" t="s">
        <v>264</v>
      </c>
      <c r="C439" s="299" t="s">
        <v>68</v>
      </c>
      <c r="D439" s="299" t="s">
        <v>122</v>
      </c>
      <c r="E439" s="498"/>
      <c r="F439" s="498"/>
      <c r="G439" s="500"/>
      <c r="H439" s="502"/>
      <c r="I439" s="502"/>
      <c r="J439" s="506" t="s">
        <v>128</v>
      </c>
      <c r="K439" s="429"/>
      <c r="L439" s="491">
        <f>IFERROR(VLOOKUP($D439,$Y$9:$AB$9,2,FALSE)/IF($D439="Inhalation",IF($J439="Central Tendency",SUMIFS('Inhalation Exposure'!$O$5:$O$164,'Inhalation Exposure'!$B$5:$B$164,$B439,'Inhalation Exposure'!$D$5:$D$164,$C439),SUMIFS('Inhalation Exposure'!$N$5:$N$164,'Inhalation Exposure'!$B$5:$B$164,$B439,'Inhalation Exposure'!$D$5:$D$164,$C439))),"--")</f>
        <v>23.778712390812032</v>
      </c>
      <c r="M439" s="491">
        <f>IFERROR(VLOOKUP($D439,$Y$9:$AB$9,3,FALSE)/IF($D439="Inhalation",IF($J439="Central Tendency",SUMIFS('Inhalation Exposure'!$Q$5:$Q$164,'Inhalation Exposure'!$B$5:$B$164,$B439,'Inhalation Exposure'!$D$5:$D$164,$C439),SUMIFS('Inhalation Exposure'!$P$5:$P$164,'Inhalation Exposure'!$B$5:$B$164,$B439,'Inhalation Exposure'!$D$5:$D$164,$C439))),"--")</f>
        <v>38.112387324994138</v>
      </c>
      <c r="N439" s="491">
        <f>IFERROR(VLOOKUP($D439,$Y$9:$AB$9,4,FALSE)*IF($D439="Inhalation",IF($J439="Central Tendency",SUMIFS('Inhalation Exposure'!$S$5:$S$164,'Inhalation Exposure'!$B$5:$B$164,$B439,'Inhalation Exposure'!$D$5:$D$164,$C439),SUMIFS('Inhalation Exposure'!$R$5:$R$164,'Inhalation Exposure'!$B$5:$B$164,$B439,'Inhalation Exposure'!$D$5:$D$164,$C439))),"--")</f>
        <v>1.0219438004917455E-4</v>
      </c>
    </row>
    <row r="440" spans="2:14" ht="15" thickBot="1" x14ac:dyDescent="0.4">
      <c r="B440" s="203" t="s">
        <v>264</v>
      </c>
      <c r="C440" s="299" t="s">
        <v>68</v>
      </c>
      <c r="D440" s="299" t="s">
        <v>122</v>
      </c>
      <c r="E440" s="499"/>
      <c r="F440" s="499"/>
      <c r="G440" s="501"/>
      <c r="H440" s="505"/>
      <c r="I440" s="505"/>
      <c r="J440" s="505"/>
      <c r="K440" s="429" t="str">
        <f>IFERROR(VLOOKUP($D70,$Y$9:$AB$10,2,FALSE)/IF($D70="Inhalation",IF($J439="Central Tendency",SUMIFS(#REF!,#REF!,$B66,#REF!,$C70),SUMIFS(#REF!,#REF!,$B66,#REF!,$C70)),IF($J439="Central Tendency",VLOOKUP($B66,#REF!,17,FALSE),VLOOKUP($B66,#REF!,12,FALSE))),"--")</f>
        <v>--</v>
      </c>
      <c r="L440" s="497"/>
      <c r="M440" s="492"/>
      <c r="N440" s="492"/>
    </row>
    <row r="441" spans="2:14" ht="15" thickBot="1" x14ac:dyDescent="0.4">
      <c r="B441" s="203" t="s">
        <v>265</v>
      </c>
      <c r="C441" s="299" t="s">
        <v>64</v>
      </c>
      <c r="D441" s="299" t="s">
        <v>122</v>
      </c>
      <c r="E441" s="508" t="s">
        <v>266</v>
      </c>
      <c r="F441" s="508" t="s">
        <v>267</v>
      </c>
      <c r="G441" s="509" t="s">
        <v>268</v>
      </c>
      <c r="H441" s="506" t="s">
        <v>64</v>
      </c>
      <c r="I441" s="506" t="s">
        <v>101</v>
      </c>
      <c r="J441" s="510" t="s">
        <v>69</v>
      </c>
      <c r="K441" s="491" t="str">
        <f>IFERROR(VLOOKUP($D73,$Y$9:$AB$10,2,FALSE)/IF($D73="Inhalation",IF($J441="Central Tendency",SUMIFS(#REF!,#REF!,$B69,#REF!,$C73),SUMIFS(#REF!,#REF!,$B69,#REF!,$C73)),IF($J441="Central Tendency",VLOOKUP($B69,#REF!,17,FALSE),VLOOKUP($B69,#REF!,12,FALSE))),"--")</f>
        <v>--</v>
      </c>
      <c r="L441" s="491">
        <f>IFERROR(VLOOKUP($D441,$Y$9:$AB$9,2,FALSE)/IF($D441="Inhalation",IF($J441="Central Tendency",SUMIFS('Inhalation Exposure'!$O$5:$O$164,'Inhalation Exposure'!$B$5:$B$164,$B441,'Inhalation Exposure'!$D$5:$D$164,$C441),SUMIFS('Inhalation Exposure'!$N$5:$N$164,'Inhalation Exposure'!$B$5:$B$164,$B441,'Inhalation Exposure'!$D$5:$D$164,$C441))),"--")</f>
        <v>202.48966915796586</v>
      </c>
      <c r="M441" s="491">
        <f>IFERROR(VLOOKUP($D441,$Y$9:$AB$9,3,FALSE)/IF($D441="Inhalation",IF($J441="Central Tendency",SUMIFS('Inhalation Exposure'!$Q$5:$Q$164,'Inhalation Exposure'!$B$5:$B$164,$B441,'Inhalation Exposure'!$D$5:$D$164,$C441),SUMIFS('Inhalation Exposure'!$P$5:$P$164,'Inhalation Exposure'!$B$5:$B$164,$B441,'Inhalation Exposure'!$D$5:$D$164,$C441))),"--")</f>
        <v>208.46051837672644</v>
      </c>
      <c r="N441" s="491">
        <f>IFERROR(VLOOKUP($D441,$Y$9:$AB$9,4,FALSE)*IF($D441="Inhalation",IF($J441="Central Tendency",SUMIFS('Inhalation Exposure'!$S$5:$S$164,'Inhalation Exposure'!$B$5:$B$164,$B441,'Inhalation Exposure'!$D$5:$D$164,$C441),SUMIFS('Inhalation Exposure'!$R$5:$R$164,'Inhalation Exposure'!$B$5:$B$164,$B441,'Inhalation Exposure'!$D$5:$D$164,$C441))),"--")</f>
        <v>1.4480083156900775E-5</v>
      </c>
    </row>
    <row r="442" spans="2:14" ht="15" thickBot="1" x14ac:dyDescent="0.4">
      <c r="B442" s="203" t="s">
        <v>265</v>
      </c>
      <c r="C442" s="299" t="s">
        <v>64</v>
      </c>
      <c r="D442" s="299" t="s">
        <v>122</v>
      </c>
      <c r="E442" s="498"/>
      <c r="F442" s="498"/>
      <c r="G442" s="500"/>
      <c r="H442" s="502"/>
      <c r="I442" s="502"/>
      <c r="J442" s="513"/>
      <c r="K442" s="492"/>
      <c r="L442" s="492"/>
      <c r="M442" s="492"/>
      <c r="N442" s="492"/>
    </row>
    <row r="443" spans="2:14" ht="15" thickBot="1" x14ac:dyDescent="0.4">
      <c r="B443" s="203" t="s">
        <v>265</v>
      </c>
      <c r="C443" s="299" t="s">
        <v>64</v>
      </c>
      <c r="D443" s="299" t="s">
        <v>122</v>
      </c>
      <c r="E443" s="498"/>
      <c r="F443" s="498"/>
      <c r="G443" s="500"/>
      <c r="H443" s="502"/>
      <c r="I443" s="502"/>
      <c r="J443" s="510" t="s">
        <v>128</v>
      </c>
      <c r="K443" s="493" t="str">
        <f>IFERROR(VLOOKUP($D75,$Y$9:$AB$10,2,FALSE)/IF($D75="Inhalation",IF($J443="Central Tendency",SUMIFS(#REF!,#REF!,$B71,#REF!,$C75),SUMIFS(#REF!,#REF!,$B71,#REF!,$C75)),IF($J443="Central Tendency",VLOOKUP($B71,#REF!,17,FALSE),VLOOKUP($B71,#REF!,12,FALSE))),"--")</f>
        <v>--</v>
      </c>
      <c r="L443" s="491">
        <f>IFERROR(VLOOKUP($D443,$Y$9:$AB$9,2,FALSE)/IF($D443="Inhalation",IF($J443="Central Tendency",SUMIFS('Inhalation Exposure'!$O$5:$O$164,'Inhalation Exposure'!$B$5:$B$164,$B443,'Inhalation Exposure'!$D$5:$D$164,$C443),SUMIFS('Inhalation Exposure'!$N$5:$N$164,'Inhalation Exposure'!$B$5:$B$164,$B443,'Inhalation Exposure'!$D$5:$D$164,$C443))),"--")</f>
        <v>17.370411217898223</v>
      </c>
      <c r="M443" s="491">
        <f>IFERROR(VLOOKUP($D443,$Y$9:$AB$9,3,FALSE)/IF($D443="Inhalation",IF($J443="Central Tendency",SUMIFS('Inhalation Exposure'!$Q$5:$Q$164,'Inhalation Exposure'!$B$5:$B$164,$B443,'Inhalation Exposure'!$D$5:$D$164,$C443),SUMIFS('Inhalation Exposure'!$P$5:$P$164,'Inhalation Exposure'!$B$5:$B$164,$B443,'Inhalation Exposure'!$D$5:$D$164,$C443))),"--")</f>
        <v>17.882615651246507</v>
      </c>
      <c r="N443" s="491">
        <f>IFERROR(VLOOKUP($D443,$Y$9:$AB$9,4,FALSE)*IF($D443="Inhalation",IF($J443="Central Tendency",SUMIFS('Inhalation Exposure'!$S$5:$S$164,'Inhalation Exposure'!$B$5:$B$164,$B443,'Inhalation Exposure'!$D$5:$D$164,$C443),SUMIFS('Inhalation Exposure'!$R$5:$R$164,'Inhalation Exposure'!$B$5:$B$164,$B443,'Inhalation Exposure'!$D$5:$D$164,$C443))),"--")</f>
        <v>2.1780213089802125E-4</v>
      </c>
    </row>
    <row r="444" spans="2:14" ht="15" thickBot="1" x14ac:dyDescent="0.4">
      <c r="B444" s="203" t="s">
        <v>265</v>
      </c>
      <c r="C444" s="299" t="s">
        <v>64</v>
      </c>
      <c r="D444" s="299" t="s">
        <v>122</v>
      </c>
      <c r="E444" s="498"/>
      <c r="F444" s="498"/>
      <c r="G444" s="500"/>
      <c r="H444" s="502"/>
      <c r="I444" s="503"/>
      <c r="J444" s="511"/>
      <c r="K444" s="495"/>
      <c r="L444" s="497"/>
      <c r="M444" s="492"/>
      <c r="N444" s="492"/>
    </row>
    <row r="445" spans="2:14" ht="15.5" thickTop="1" thickBot="1" x14ac:dyDescent="0.4">
      <c r="B445" s="203" t="s">
        <v>265</v>
      </c>
      <c r="C445" s="299" t="s">
        <v>68</v>
      </c>
      <c r="D445" s="299" t="s">
        <v>122</v>
      </c>
      <c r="E445" s="498"/>
      <c r="F445" s="498"/>
      <c r="G445" s="500"/>
      <c r="H445" s="504" t="s">
        <v>68</v>
      </c>
      <c r="I445" s="504" t="s">
        <v>101</v>
      </c>
      <c r="J445" s="504" t="s">
        <v>69</v>
      </c>
      <c r="K445" s="429" t="str">
        <f>IFERROR(VLOOKUP($D77,$Y$9:$AB$10,2,FALSE)/IF($D77="Inhalation",IF($J445="Central Tendency",SUMIFS(#REF!,#REF!,$B73,#REF!,$C77),SUMIFS(#REF!,#REF!,$B73,#REF!,$C77)),IF($J445="Central Tendency",VLOOKUP($B73,#REF!,17,FALSE),VLOOKUP($B73,#REF!,12,FALSE))),"--")</f>
        <v>--</v>
      </c>
      <c r="L445" s="496">
        <f>IFERROR(VLOOKUP($D445,$Y$9:$AB$9,2,FALSE)/IF($D445="Inhalation",IF($J445="Central Tendency",SUMIFS('Inhalation Exposure'!$O$5:$O$164,'Inhalation Exposure'!$B$5:$B$164,$B445,'Inhalation Exposure'!$D$5:$D$164,$C445),SUMIFS('Inhalation Exposure'!$N$5:$N$164,'Inhalation Exposure'!$B$5:$B$164,$B445,'Inhalation Exposure'!$D$5:$D$164,$C445))),"--")</f>
        <v>202.48966915796586</v>
      </c>
      <c r="M445" s="491">
        <f>IFERROR(VLOOKUP($D445,$Y$9:$AB$9,3,FALSE)/IF($D445="Inhalation",IF($J445="Central Tendency",SUMIFS('Inhalation Exposure'!$Q$5:$Q$164,'Inhalation Exposure'!$B$5:$B$164,$B445,'Inhalation Exposure'!$D$5:$D$164,$C445),SUMIFS('Inhalation Exposure'!$P$5:$P$164,'Inhalation Exposure'!$B$5:$B$164,$B445,'Inhalation Exposure'!$D$5:$D$164,$C445))),"--")</f>
        <v>208.46051837672644</v>
      </c>
      <c r="N445" s="491">
        <f>IFERROR(VLOOKUP($D445,$Y$9:$AB$9,4,FALSE)*IF($D445="Inhalation",IF($J445="Central Tendency",SUMIFS('Inhalation Exposure'!$S$5:$S$164,'Inhalation Exposure'!$B$5:$B$164,$B445,'Inhalation Exposure'!$D$5:$D$164,$C445),SUMIFS('Inhalation Exposure'!$R$5:$R$164,'Inhalation Exposure'!$B$5:$B$164,$B445,'Inhalation Exposure'!$D$5:$D$164,$C445))),"--")</f>
        <v>1.4480083156900775E-5</v>
      </c>
    </row>
    <row r="446" spans="2:14" ht="15" thickBot="1" x14ac:dyDescent="0.4">
      <c r="B446" s="203" t="s">
        <v>265</v>
      </c>
      <c r="C446" s="299" t="s">
        <v>68</v>
      </c>
      <c r="D446" s="299" t="s">
        <v>122</v>
      </c>
      <c r="E446" s="498"/>
      <c r="F446" s="498"/>
      <c r="G446" s="500"/>
      <c r="H446" s="502"/>
      <c r="I446" s="502"/>
      <c r="J446" s="505"/>
      <c r="K446" s="429"/>
      <c r="L446" s="492"/>
      <c r="M446" s="492"/>
      <c r="N446" s="492"/>
    </row>
    <row r="447" spans="2:14" ht="15" thickBot="1" x14ac:dyDescent="0.4">
      <c r="B447" s="203" t="s">
        <v>265</v>
      </c>
      <c r="C447" s="299" t="s">
        <v>68</v>
      </c>
      <c r="D447" s="299" t="s">
        <v>122</v>
      </c>
      <c r="E447" s="498"/>
      <c r="F447" s="498"/>
      <c r="G447" s="500"/>
      <c r="H447" s="502"/>
      <c r="I447" s="502"/>
      <c r="J447" s="506" t="s">
        <v>128</v>
      </c>
      <c r="K447" s="429"/>
      <c r="L447" s="491">
        <f>IFERROR(VLOOKUP($D447,$Y$9:$AB$9,2,FALSE)/IF($D447="Inhalation",IF($J447="Central Tendency",SUMIFS('Inhalation Exposure'!$O$5:$O$164,'Inhalation Exposure'!$B$5:$B$164,$B447,'Inhalation Exposure'!$D$5:$D$164,$C447),SUMIFS('Inhalation Exposure'!$N$5:$N$164,'Inhalation Exposure'!$B$5:$B$164,$B447,'Inhalation Exposure'!$D$5:$D$164,$C447))),"--")</f>
        <v>202.48966915796586</v>
      </c>
      <c r="M447" s="491">
        <f>IFERROR(VLOOKUP($D447,$Y$9:$AB$9,3,FALSE)/IF($D447="Inhalation",IF($J447="Central Tendency",SUMIFS('Inhalation Exposure'!$Q$5:$Q$164,'Inhalation Exposure'!$B$5:$B$164,$B447,'Inhalation Exposure'!$D$5:$D$164,$C447),SUMIFS('Inhalation Exposure'!$P$5:$P$164,'Inhalation Exposure'!$B$5:$B$164,$B447,'Inhalation Exposure'!$D$5:$D$164,$C447))),"--")</f>
        <v>208.46051837672644</v>
      </c>
      <c r="N447" s="491">
        <f>IFERROR(VLOOKUP($D447,$Y$9:$AB$9,4,FALSE)*IF($D447="Inhalation",IF($J447="Central Tendency",SUMIFS('Inhalation Exposure'!$S$5:$S$164,'Inhalation Exposure'!$B$5:$B$164,$B447,'Inhalation Exposure'!$D$5:$D$164,$C447),SUMIFS('Inhalation Exposure'!$R$5:$R$164,'Inhalation Exposure'!$B$5:$B$164,$B447,'Inhalation Exposure'!$D$5:$D$164,$C447))),"--")</f>
        <v>1.8683978266968741E-5</v>
      </c>
    </row>
    <row r="448" spans="2:14" ht="15" thickBot="1" x14ac:dyDescent="0.4">
      <c r="B448" s="203" t="s">
        <v>265</v>
      </c>
      <c r="C448" s="299" t="s">
        <v>68</v>
      </c>
      <c r="D448" s="299" t="s">
        <v>122</v>
      </c>
      <c r="E448" s="498"/>
      <c r="F448" s="498"/>
      <c r="G448" s="500"/>
      <c r="H448" s="502"/>
      <c r="I448" s="505"/>
      <c r="J448" s="505"/>
      <c r="K448" s="429" t="str">
        <f>IFERROR(VLOOKUP($D78,$Y$9:$AB$10,2,FALSE)/IF($D78="Inhalation",IF($J447="Central Tendency",SUMIFS(#REF!,#REF!,$B74,#REF!,$C78),SUMIFS(#REF!,#REF!,$B74,#REF!,$C78)),IF($J447="Central Tendency",VLOOKUP($B74,#REF!,17,FALSE),VLOOKUP($B74,#REF!,12,FALSE))),"--")</f>
        <v>--</v>
      </c>
      <c r="L448" s="497"/>
      <c r="M448" s="492"/>
      <c r="N448" s="492"/>
    </row>
    <row r="449" spans="2:14" ht="15" thickBot="1" x14ac:dyDescent="0.4">
      <c r="B449" s="203" t="s">
        <v>269</v>
      </c>
      <c r="C449" s="299" t="s">
        <v>64</v>
      </c>
      <c r="D449" s="299" t="s">
        <v>122</v>
      </c>
      <c r="E449" s="498"/>
      <c r="F449" s="498"/>
      <c r="G449" s="500"/>
      <c r="H449" s="506" t="s">
        <v>64</v>
      </c>
      <c r="I449" s="506" t="s">
        <v>163</v>
      </c>
      <c r="J449" s="510" t="s">
        <v>69</v>
      </c>
      <c r="K449" s="491" t="str">
        <f>IFERROR(VLOOKUP($D81,$Y$9:$AB$10,2,FALSE)/IF($D81="Inhalation",IF($J449="Central Tendency",SUMIFS(#REF!,#REF!,$B77,#REF!,$C81),SUMIFS(#REF!,#REF!,$B77,#REF!,$C81)),IF($J449="Central Tendency",VLOOKUP($B77,#REF!,17,FALSE),VLOOKUP($B77,#REF!,12,FALSE))),"--")</f>
        <v>--</v>
      </c>
      <c r="L449" s="491">
        <f>IFERROR(VLOOKUP($D449,$Y$9:$AB$9,2,FALSE)/IF($D449="Inhalation",IF($J449="Central Tendency",SUMIFS('Inhalation Exposure'!$O$5:$O$164,'Inhalation Exposure'!$B$5:$B$164,$B449,'Inhalation Exposure'!$D$5:$D$164,$C449),SUMIFS('Inhalation Exposure'!$N$5:$N$164,'Inhalation Exposure'!$B$5:$B$164,$B449,'Inhalation Exposure'!$D$5:$D$164,$C449))),"--")</f>
        <v>36.713286713286713</v>
      </c>
      <c r="M449" s="491">
        <f>IFERROR(VLOOKUP($D449,$Y$9:$AB$9,3,FALSE)/IF($D449="Inhalation",IF($J449="Central Tendency",SUMIFS('Inhalation Exposure'!$Q$5:$Q$164,'Inhalation Exposure'!$B$5:$B$164,$B449,'Inhalation Exposure'!$D$5:$D$164,$C449),SUMIFS('Inhalation Exposure'!$P$5:$P$164,'Inhalation Exposure'!$B$5:$B$164,$B449,'Inhalation Exposure'!$D$5:$D$164,$C449))),"--")</f>
        <v>58.843850760018412</v>
      </c>
      <c r="N449" s="491">
        <f>IFERROR(VLOOKUP($D449,$Y$9:$AB$9,4,FALSE)*IF($D449="Inhalation",IF($J449="Central Tendency",SUMIFS('Inhalation Exposure'!$S$5:$S$164,'Inhalation Exposure'!$B$5:$B$164,$B449,'Inhalation Exposure'!$D$5:$D$164,$C449),SUMIFS('Inhalation Exposure'!$R$5:$R$164,'Inhalation Exposure'!$B$5:$B$164,$B449,'Inhalation Exposure'!$D$5:$D$164,$C449))),"--")</f>
        <v>5.1297214611872151E-5</v>
      </c>
    </row>
    <row r="450" spans="2:14" ht="15" thickBot="1" x14ac:dyDescent="0.4">
      <c r="B450" s="203" t="s">
        <v>269</v>
      </c>
      <c r="C450" s="299" t="s">
        <v>64</v>
      </c>
      <c r="D450" s="299" t="s">
        <v>122</v>
      </c>
      <c r="E450" s="498"/>
      <c r="F450" s="498"/>
      <c r="G450" s="500"/>
      <c r="H450" s="502"/>
      <c r="I450" s="502"/>
      <c r="J450" s="513"/>
      <c r="K450" s="492"/>
      <c r="L450" s="492"/>
      <c r="M450" s="492"/>
      <c r="N450" s="492"/>
    </row>
    <row r="451" spans="2:14" ht="15" thickBot="1" x14ac:dyDescent="0.4">
      <c r="B451" s="203" t="s">
        <v>269</v>
      </c>
      <c r="C451" s="299" t="s">
        <v>64</v>
      </c>
      <c r="D451" s="299" t="s">
        <v>122</v>
      </c>
      <c r="E451" s="498"/>
      <c r="F451" s="498"/>
      <c r="G451" s="500"/>
      <c r="H451" s="502"/>
      <c r="I451" s="502"/>
      <c r="J451" s="510" t="s">
        <v>128</v>
      </c>
      <c r="K451" s="493" t="str">
        <f>IFERROR(VLOOKUP($D83,$Y$9:$AB$10,2,FALSE)/IF($D83="Inhalation",IF($J451="Central Tendency",SUMIFS(#REF!,#REF!,$B79,#REF!,$C83),SUMIFS(#REF!,#REF!,$B79,#REF!,$C83)),IF($J451="Central Tendency",VLOOKUP($B79,#REF!,17,FALSE),VLOOKUP($B79,#REF!,12,FALSE))),"--")</f>
        <v>--</v>
      </c>
      <c r="L451" s="491">
        <f>IFERROR(VLOOKUP($D451,$Y$9:$AB$9,2,FALSE)/IF($D451="Inhalation",IF($J451="Central Tendency",SUMIFS('Inhalation Exposure'!$O$5:$O$164,'Inhalation Exposure'!$B$5:$B$164,$B451,'Inhalation Exposure'!$D$5:$D$164,$C451),SUMIFS('Inhalation Exposure'!$N$5:$N$164,'Inhalation Exposure'!$B$5:$B$164,$B451,'Inhalation Exposure'!$D$5:$D$164,$C451))),"--")</f>
        <v>11.564240536203153</v>
      </c>
      <c r="M451" s="491">
        <f>IFERROR(VLOOKUP($D451,$Y$9:$AB$9,3,FALSE)/IF($D451="Inhalation",IF($J451="Central Tendency",SUMIFS('Inhalation Exposure'!$Q$5:$Q$164,'Inhalation Exposure'!$B$5:$B$164,$B451,'Inhalation Exposure'!$D$5:$D$164,$C451),SUMIFS('Inhalation Exposure'!$P$5:$P$164,'Inhalation Exposure'!$B$5:$B$164,$B451,'Inhalation Exposure'!$D$5:$D$164,$C451))),"--")</f>
        <v>18.535100100940376</v>
      </c>
      <c r="N451" s="491">
        <f>IFERROR(VLOOKUP($D451,$Y$9:$AB$9,4,FALSE)*IF($D451="Inhalation",IF($J451="Central Tendency",SUMIFS('Inhalation Exposure'!$S$5:$S$164,'Inhalation Exposure'!$B$5:$B$164,$B451,'Inhalation Exposure'!$D$5:$D$164,$C451),SUMIFS('Inhalation Exposure'!$R$5:$R$164,'Inhalation Exposure'!$B$5:$B$164,$B451,'Inhalation Exposure'!$D$5:$D$164,$C451))),"--")</f>
        <v>2.1013492096944158E-4</v>
      </c>
    </row>
    <row r="452" spans="2:14" ht="15" thickBot="1" x14ac:dyDescent="0.4">
      <c r="B452" s="203" t="s">
        <v>269</v>
      </c>
      <c r="C452" s="299" t="s">
        <v>64</v>
      </c>
      <c r="D452" s="299" t="s">
        <v>122</v>
      </c>
      <c r="E452" s="498"/>
      <c r="F452" s="498"/>
      <c r="G452" s="500"/>
      <c r="H452" s="502"/>
      <c r="I452" s="503"/>
      <c r="J452" s="511"/>
      <c r="K452" s="495"/>
      <c r="L452" s="497"/>
      <c r="M452" s="492"/>
      <c r="N452" s="492"/>
    </row>
    <row r="453" spans="2:14" ht="15.5" thickTop="1" thickBot="1" x14ac:dyDescent="0.4">
      <c r="B453" s="203" t="s">
        <v>269</v>
      </c>
      <c r="C453" s="299" t="s">
        <v>68</v>
      </c>
      <c r="D453" s="299" t="s">
        <v>122</v>
      </c>
      <c r="E453" s="498"/>
      <c r="F453" s="498"/>
      <c r="G453" s="500"/>
      <c r="H453" s="504" t="s">
        <v>68</v>
      </c>
      <c r="I453" s="506" t="s">
        <v>163</v>
      </c>
      <c r="J453" s="504" t="s">
        <v>69</v>
      </c>
      <c r="K453" s="429" t="str">
        <f>IFERROR(VLOOKUP($D85,$Y$9:$AB$10,2,FALSE)/IF($D85="Inhalation",IF($J453="Central Tendency",SUMIFS(#REF!,#REF!,$B81,#REF!,$C85),SUMIFS(#REF!,#REF!,$B81,#REF!,$C85)),IF($J453="Central Tendency",VLOOKUP($B81,#REF!,17,FALSE),VLOOKUP($B81,#REF!,12,FALSE))),"--")</f>
        <v>--</v>
      </c>
      <c r="L453" s="496">
        <f>IFERROR(VLOOKUP($D453,$Y$9:$AB$9,2,FALSE)/IF($D453="Inhalation",IF($J453="Central Tendency",SUMIFS('Inhalation Exposure'!$O$5:$O$164,'Inhalation Exposure'!$B$5:$B$164,$B453,'Inhalation Exposure'!$D$5:$D$164,$C453),SUMIFS('Inhalation Exposure'!$N$5:$N$164,'Inhalation Exposure'!$B$5:$B$164,$B453,'Inhalation Exposure'!$D$5:$D$164,$C453))),"--")</f>
        <v>36.713286713286713</v>
      </c>
      <c r="M453" s="491">
        <f>IFERROR(VLOOKUP($D453,$Y$9:$AB$9,3,FALSE)/IF($D453="Inhalation",IF($J453="Central Tendency",SUMIFS('Inhalation Exposure'!$Q$5:$Q$164,'Inhalation Exposure'!$B$5:$B$164,$B453,'Inhalation Exposure'!$D$5:$D$164,$C453),SUMIFS('Inhalation Exposure'!$P$5:$P$164,'Inhalation Exposure'!$B$5:$B$164,$B453,'Inhalation Exposure'!$D$5:$D$164,$C453))),"--")</f>
        <v>58.843850760018412</v>
      </c>
      <c r="N453" s="491">
        <f>IFERROR(VLOOKUP($D453,$Y$9:$AB$9,4,FALSE)*IF($D453="Inhalation",IF($J453="Central Tendency",SUMIFS('Inhalation Exposure'!$S$5:$S$164,'Inhalation Exposure'!$B$5:$B$164,$B453,'Inhalation Exposure'!$D$5:$D$164,$C453),SUMIFS('Inhalation Exposure'!$R$5:$R$164,'Inhalation Exposure'!$B$5:$B$164,$B453,'Inhalation Exposure'!$D$5:$D$164,$C453))),"--")</f>
        <v>5.1297214611872151E-5</v>
      </c>
    </row>
    <row r="454" spans="2:14" ht="15" thickBot="1" x14ac:dyDescent="0.4">
      <c r="B454" s="203" t="s">
        <v>269</v>
      </c>
      <c r="C454" s="299" t="s">
        <v>68</v>
      </c>
      <c r="D454" s="299" t="s">
        <v>122</v>
      </c>
      <c r="E454" s="498"/>
      <c r="F454" s="498"/>
      <c r="G454" s="500"/>
      <c r="H454" s="502"/>
      <c r="I454" s="502"/>
      <c r="J454" s="505"/>
      <c r="K454" s="429"/>
      <c r="L454" s="492"/>
      <c r="M454" s="492"/>
      <c r="N454" s="492"/>
    </row>
    <row r="455" spans="2:14" ht="15" thickBot="1" x14ac:dyDescent="0.4">
      <c r="B455" s="203" t="s">
        <v>269</v>
      </c>
      <c r="C455" s="299" t="s">
        <v>68</v>
      </c>
      <c r="D455" s="299" t="s">
        <v>122</v>
      </c>
      <c r="E455" s="498"/>
      <c r="F455" s="498"/>
      <c r="G455" s="500"/>
      <c r="H455" s="502"/>
      <c r="I455" s="502"/>
      <c r="J455" s="506" t="s">
        <v>128</v>
      </c>
      <c r="K455" s="429"/>
      <c r="L455" s="491">
        <f>IFERROR(VLOOKUP($D455,$Y$9:$AB$9,2,FALSE)/IF($D455="Inhalation",IF($J455="Central Tendency",SUMIFS('Inhalation Exposure'!$O$5:$O$164,'Inhalation Exposure'!$B$5:$B$164,$B455,'Inhalation Exposure'!$D$5:$D$164,$C455),SUMIFS('Inhalation Exposure'!$N$5:$N$164,'Inhalation Exposure'!$B$5:$B$164,$B455,'Inhalation Exposure'!$D$5:$D$164,$C455))),"--")</f>
        <v>36.713286713286713</v>
      </c>
      <c r="M455" s="491">
        <f>IFERROR(VLOOKUP($D455,$Y$9:$AB$9,3,FALSE)/IF($D455="Inhalation",IF($J455="Central Tendency",SUMIFS('Inhalation Exposure'!$Q$5:$Q$164,'Inhalation Exposure'!$B$5:$B$164,$B455,'Inhalation Exposure'!$D$5:$D$164,$C455),SUMIFS('Inhalation Exposure'!$P$5:$P$164,'Inhalation Exposure'!$B$5:$B$164,$B455,'Inhalation Exposure'!$D$5:$D$164,$C455))),"--")</f>
        <v>58.843850760018427</v>
      </c>
      <c r="N455" s="491">
        <f>IFERROR(VLOOKUP($D455,$Y$9:$AB$9,4,FALSE)*IF($D455="Inhalation",IF($J455="Central Tendency",SUMIFS('Inhalation Exposure'!$S$5:$S$164,'Inhalation Exposure'!$B$5:$B$164,$B455,'Inhalation Exposure'!$D$5:$D$164,$C455),SUMIFS('Inhalation Exposure'!$R$5:$R$164,'Inhalation Exposure'!$B$5:$B$164,$B455,'Inhalation Exposure'!$D$5:$D$164,$C455))),"--")</f>
        <v>6.6189954337899544E-5</v>
      </c>
    </row>
    <row r="456" spans="2:14" ht="15" thickBot="1" x14ac:dyDescent="0.4">
      <c r="B456" s="203" t="s">
        <v>269</v>
      </c>
      <c r="C456" s="299" t="s">
        <v>68</v>
      </c>
      <c r="D456" s="299" t="s">
        <v>122</v>
      </c>
      <c r="E456" s="499"/>
      <c r="F456" s="499"/>
      <c r="G456" s="501"/>
      <c r="H456" s="505"/>
      <c r="I456" s="505"/>
      <c r="J456" s="505"/>
      <c r="K456" s="429" t="str">
        <f>IFERROR(VLOOKUP($D86,$Y$9:$AB$10,2,FALSE)/IF($D86="Inhalation",IF($J455="Central Tendency",SUMIFS(#REF!,#REF!,$B82,#REF!,$C86),SUMIFS(#REF!,#REF!,$B82,#REF!,$C86)),IF($J455="Central Tendency",VLOOKUP($B82,#REF!,17,FALSE),VLOOKUP($B82,#REF!,12,FALSE))),"--")</f>
        <v>--</v>
      </c>
      <c r="L456" s="497"/>
      <c r="M456" s="492"/>
      <c r="N456" s="492"/>
    </row>
    <row r="457" spans="2:14" ht="15" customHeight="1" thickBot="1" x14ac:dyDescent="0.4">
      <c r="B457" s="378" t="s">
        <v>270</v>
      </c>
      <c r="C457" s="379" t="s">
        <v>64</v>
      </c>
      <c r="D457" s="379" t="s">
        <v>122</v>
      </c>
      <c r="E457" s="508" t="s">
        <v>271</v>
      </c>
      <c r="F457" s="508" t="s">
        <v>272</v>
      </c>
      <c r="G457" s="509" t="s">
        <v>273</v>
      </c>
      <c r="H457" s="506" t="s">
        <v>138</v>
      </c>
      <c r="I457" s="502" t="s">
        <v>101</v>
      </c>
      <c r="J457" s="512" t="s">
        <v>69</v>
      </c>
      <c r="K457" s="514" t="str">
        <f>IFERROR(VLOOKUP($D63,$Y$9:$AB$10,2,FALSE)/IF($D63="Inhalation",IF($J457="Central Tendency",SUMIFS(#REF!,#REF!,$B59,#REF!,$C63),SUMIFS(#REF!,#REF!,$B59,#REF!,$C63)),IF($J457="Central Tendency",VLOOKUP($B59,#REF!,17,FALSE),VLOOKUP($B59,#REF!,12,FALSE))),"--")</f>
        <v>--</v>
      </c>
      <c r="L457" s="491">
        <f>IFERROR(VLOOKUP($D457,$Y$9:$AB$9,2,FALSE)/IF($D457="Inhalation",IF($J457="Central Tendency",SUMIFS('Inhalation Exposure'!$O$5:$O$164,'Inhalation Exposure'!$B$5:$B$164,$B457,'Inhalation Exposure'!$D$5:$D$164,$C457),SUMIFS('Inhalation Exposure'!$N$5:$N$164,'Inhalation Exposure'!$B$5:$B$164,$B457,'Inhalation Exposure'!$D$5:$D$164,$C457))),"--")</f>
        <v>200.45454545454544</v>
      </c>
      <c r="M457" s="491">
        <f>IFERROR(VLOOKUP($D457,$Y$9:$AB$9,3,FALSE)/IF($D457="Inhalation",IF($J457="Central Tendency",SUMIFS('Inhalation Exposure'!$Q$5:$Q$164,'Inhalation Exposure'!$B$5:$B$164,$B457,'Inhalation Exposure'!$D$5:$D$164,$C457),SUMIFS('Inhalation Exposure'!$P$5:$P$164,'Inhalation Exposure'!$B$5:$B$164,$B457,'Inhalation Exposure'!$D$5:$D$164,$C457))),"--")</f>
        <v>206.36538461538461</v>
      </c>
      <c r="N457" s="491">
        <f>IFERROR(VLOOKUP($D457,$Y$9:$AB$9,4,FALSE)*IF($D457="Inhalation",IF($J457="Central Tendency",SUMIFS('Inhalation Exposure'!$S$5:$S$164,'Inhalation Exposure'!$B$5:$B$164,$B457,'Inhalation Exposure'!$D$5:$D$164,$C457),SUMIFS('Inhalation Exposure'!$R$5:$R$164,'Inhalation Exposure'!$B$5:$B$164,$B457,'Inhalation Exposure'!$D$5:$D$164,$C457))),"--")</f>
        <v>1.4627092846270928E-5</v>
      </c>
    </row>
    <row r="458" spans="2:14" ht="15" thickBot="1" x14ac:dyDescent="0.4">
      <c r="B458" s="378" t="s">
        <v>270</v>
      </c>
      <c r="C458" s="379" t="s">
        <v>64</v>
      </c>
      <c r="D458" s="379" t="s">
        <v>122</v>
      </c>
      <c r="E458" s="498"/>
      <c r="F458" s="498"/>
      <c r="G458" s="500"/>
      <c r="H458" s="502"/>
      <c r="I458" s="502"/>
      <c r="J458" s="513"/>
      <c r="K458" s="492"/>
      <c r="L458" s="492"/>
      <c r="M458" s="492"/>
      <c r="N458" s="492"/>
    </row>
    <row r="459" spans="2:14" ht="15" thickBot="1" x14ac:dyDescent="0.4">
      <c r="B459" s="378" t="s">
        <v>270</v>
      </c>
      <c r="C459" s="379" t="s">
        <v>64</v>
      </c>
      <c r="D459" s="379" t="s">
        <v>122</v>
      </c>
      <c r="E459" s="498"/>
      <c r="F459" s="498"/>
      <c r="G459" s="500"/>
      <c r="H459" s="502"/>
      <c r="I459" s="502"/>
      <c r="J459" s="510" t="s">
        <v>128</v>
      </c>
      <c r="K459" s="493" t="str">
        <f>IFERROR(VLOOKUP($D65,$Y$9:$AB$10,2,FALSE)/IF($D65="Inhalation",IF($J459="Central Tendency",SUMIFS(#REF!,#REF!,$B61,#REF!,$C65),SUMIFS(#REF!,#REF!,$B61,#REF!,$C65)),IF($J459="Central Tendency",VLOOKUP($B61,#REF!,17,FALSE),VLOOKUP($B61,#REF!,12,FALSE))),"--")</f>
        <v>--</v>
      </c>
      <c r="L459" s="491">
        <f>IFERROR(VLOOKUP($D459,$Y$9:$AB$9,2,FALSE)/IF($D459="Inhalation",IF($J459="Central Tendency",SUMIFS('Inhalation Exposure'!$O$5:$O$164,'Inhalation Exposure'!$B$5:$B$164,$B459,'Inhalation Exposure'!$D$5:$D$164,$C459),SUMIFS('Inhalation Exposure'!$N$5:$N$164,'Inhalation Exposure'!$B$5:$B$164,$B459,'Inhalation Exposure'!$D$5:$D$164,$C459))),"--")</f>
        <v>21.32495164410058</v>
      </c>
      <c r="M459" s="491">
        <f>IFERROR(VLOOKUP($D459,$Y$9:$AB$9,3,FALSE)/IF($D459="Inhalation",IF($J459="Central Tendency",SUMIFS('Inhalation Exposure'!$Q$5:$Q$164,'Inhalation Exposure'!$B$5:$B$164,$B459,'Inhalation Exposure'!$D$5:$D$164,$C459),SUMIFS('Inhalation Exposure'!$P$5:$P$164,'Inhalation Exposure'!$B$5:$B$164,$B459,'Inhalation Exposure'!$D$5:$D$164,$C459))),"--")</f>
        <v>21.953764320785599</v>
      </c>
      <c r="N459" s="491">
        <f>IFERROR(VLOOKUP($D459,$Y$9:$AB$9,4,FALSE)*IF($D459="Inhalation",IF($J459="Central Tendency",SUMIFS('Inhalation Exposure'!$S$5:$S$164,'Inhalation Exposure'!$B$5:$B$164,$B459,'Inhalation Exposure'!$D$5:$D$164,$C459),SUMIFS('Inhalation Exposure'!$R$5:$R$164,'Inhalation Exposure'!$B$5:$B$164,$B459,'Inhalation Exposure'!$D$5:$D$164,$C459))),"--")</f>
        <v>1.7741248097412481E-4</v>
      </c>
    </row>
    <row r="460" spans="2:14" ht="15" thickBot="1" x14ac:dyDescent="0.4">
      <c r="B460" s="378" t="s">
        <v>270</v>
      </c>
      <c r="C460" s="379" t="s">
        <v>64</v>
      </c>
      <c r="D460" s="379" t="s">
        <v>122</v>
      </c>
      <c r="E460" s="498"/>
      <c r="F460" s="498"/>
      <c r="G460" s="500"/>
      <c r="H460" s="505"/>
      <c r="I460" s="503"/>
      <c r="J460" s="511"/>
      <c r="K460" s="495"/>
      <c r="L460" s="497"/>
      <c r="M460" s="492"/>
      <c r="N460" s="492"/>
    </row>
    <row r="461" spans="2:14" ht="15.5" thickTop="1" thickBot="1" x14ac:dyDescent="0.4">
      <c r="B461" s="203" t="s">
        <v>274</v>
      </c>
      <c r="C461" s="379" t="s">
        <v>64</v>
      </c>
      <c r="D461" s="379" t="s">
        <v>122</v>
      </c>
      <c r="E461" s="498"/>
      <c r="F461" s="498"/>
      <c r="G461" s="500"/>
      <c r="H461" s="502" t="s">
        <v>140</v>
      </c>
      <c r="I461" s="502" t="s">
        <v>101</v>
      </c>
      <c r="J461" s="512" t="s">
        <v>69</v>
      </c>
      <c r="K461" s="514" t="str">
        <f>IFERROR(VLOOKUP($D67,$Y$9:$AB$10,2,FALSE)/IF($D67="Inhalation",IF($J461="Central Tendency",SUMIFS(#REF!,#REF!,$B63,#REF!,$C67),SUMIFS(#REF!,#REF!,$B63,#REF!,$C67)),IF($J461="Central Tendency",VLOOKUP($B63,#REF!,17,FALSE),VLOOKUP($B63,#REF!,12,FALSE))),"--")</f>
        <v>--</v>
      </c>
      <c r="L461" s="496">
        <f>IFERROR(VLOOKUP($D461,$Y$9:$AB$9,2,FALSE)/IF($D461="Inhalation",IF($J461="Central Tendency",SUMIFS('Inhalation Exposure'!$O$5:$O$164,'Inhalation Exposure'!$B$5:$B$164,$B461,'Inhalation Exposure'!$D$5:$D$164,$C461),SUMIFS('Inhalation Exposure'!$N$5:$N$164,'Inhalation Exposure'!$B$5:$B$164,$B461,'Inhalation Exposure'!$D$5:$D$164,$C461))),"--")</f>
        <v>0.36731634182908546</v>
      </c>
      <c r="M461" s="491">
        <f>IFERROR(VLOOKUP($D461,$Y$9:$AB$9,3,FALSE)/IF($D461="Inhalation",IF($J461="Central Tendency",SUMIFS('Inhalation Exposure'!$Q$5:$Q$164,'Inhalation Exposure'!$B$5:$B$164,$B461,'Inhalation Exposure'!$D$5:$D$164,$C461),SUMIFS('Inhalation Exposure'!$P$5:$P$164,'Inhalation Exposure'!$B$5:$B$164,$B461,'Inhalation Exposure'!$D$5:$D$164,$C461))),"--")</f>
        <v>4.469015492253873</v>
      </c>
      <c r="N461" s="491">
        <f>IFERROR(VLOOKUP($D461,$Y$9:$AB$9,4,FALSE)*IF($D461="Inhalation",IF($J461="Central Tendency",SUMIFS('Inhalation Exposure'!$S$5:$S$164,'Inhalation Exposure'!$B$5:$B$164,$B461,'Inhalation Exposure'!$D$5:$D$164,$C461),SUMIFS('Inhalation Exposure'!$R$5:$R$164,'Inhalation Exposure'!$B$5:$B$164,$B461,'Inhalation Exposure'!$D$5:$D$164,$C461))),"--")</f>
        <v>6.7543414120126448E-4</v>
      </c>
    </row>
    <row r="462" spans="2:14" ht="15" thickBot="1" x14ac:dyDescent="0.4">
      <c r="B462" s="203" t="s">
        <v>274</v>
      </c>
      <c r="C462" s="379" t="s">
        <v>64</v>
      </c>
      <c r="D462" s="379" t="s">
        <v>122</v>
      </c>
      <c r="E462" s="498"/>
      <c r="F462" s="498"/>
      <c r="G462" s="500"/>
      <c r="H462" s="502"/>
      <c r="I462" s="502"/>
      <c r="J462" s="513"/>
      <c r="K462" s="492"/>
      <c r="L462" s="492"/>
      <c r="M462" s="492"/>
      <c r="N462" s="492"/>
    </row>
    <row r="463" spans="2:14" ht="15" thickBot="1" x14ac:dyDescent="0.4">
      <c r="B463" s="203" t="s">
        <v>274</v>
      </c>
      <c r="C463" s="379" t="s">
        <v>64</v>
      </c>
      <c r="D463" s="379" t="s">
        <v>122</v>
      </c>
      <c r="E463" s="498"/>
      <c r="F463" s="498"/>
      <c r="G463" s="500"/>
      <c r="H463" s="502"/>
      <c r="I463" s="502"/>
      <c r="J463" s="510" t="s">
        <v>128</v>
      </c>
      <c r="K463" s="493" t="str">
        <f>IFERROR(VLOOKUP($D69,$Y$9:$AB$10,2,FALSE)/IF($D69="Inhalation",IF($J463="Central Tendency",SUMIFS(#REF!,#REF!,$B65,#REF!,$C69),SUMIFS(#REF!,#REF!,$B65,#REF!,$C69)),IF($J463="Central Tendency",VLOOKUP($B65,#REF!,17,FALSE),VLOOKUP($B65,#REF!,12,FALSE))),"--")</f>
        <v>--</v>
      </c>
      <c r="L463" s="491">
        <f>IFERROR(VLOOKUP($D463,$Y$9:$AB$9,2,FALSE)/IF($D463="Inhalation",IF($J463="Central Tendency",SUMIFS('Inhalation Exposure'!$O$5:$O$164,'Inhalation Exposure'!$B$5:$B$164,$B463,'Inhalation Exposure'!$D$5:$D$164,$C463),SUMIFS('Inhalation Exposure'!$N$5:$N$164,'Inhalation Exposure'!$B$5:$B$164,$B463,'Inhalation Exposure'!$D$5:$D$164,$C463))),"--")</f>
        <v>0.36731634182908546</v>
      </c>
      <c r="M463" s="491">
        <f>IFERROR(VLOOKUP($D463,$Y$9:$AB$9,3,FALSE)/IF($D463="Inhalation",IF($J463="Central Tendency",SUMIFS('Inhalation Exposure'!$Q$5:$Q$164,'Inhalation Exposure'!$B$5:$B$164,$B463,'Inhalation Exposure'!$D$5:$D$164,$C463),SUMIFS('Inhalation Exposure'!$P$5:$P$164,'Inhalation Exposure'!$B$5:$B$164,$B463,'Inhalation Exposure'!$D$5:$D$164,$C463))),"--")</f>
        <v>4.469015492253873</v>
      </c>
      <c r="N463" s="491">
        <f>IFERROR(VLOOKUP($D463,$Y$9:$AB$9,4,FALSE)*IF($D463="Inhalation",IF($J463="Central Tendency",SUMIFS('Inhalation Exposure'!$S$5:$S$164,'Inhalation Exposure'!$B$5:$B$164,$B463,'Inhalation Exposure'!$D$5:$D$164,$C463),SUMIFS('Inhalation Exposure'!$R$5:$R$164,'Inhalation Exposure'!$B$5:$B$164,$B463,'Inhalation Exposure'!$D$5:$D$164,$C463))),"--")</f>
        <v>8.715279241306639E-4</v>
      </c>
    </row>
    <row r="464" spans="2:14" ht="15" thickBot="1" x14ac:dyDescent="0.4">
      <c r="B464" s="203" t="s">
        <v>274</v>
      </c>
      <c r="C464" s="379" t="s">
        <v>64</v>
      </c>
      <c r="D464" s="379" t="s">
        <v>122</v>
      </c>
      <c r="E464" s="498"/>
      <c r="F464" s="498"/>
      <c r="G464" s="500"/>
      <c r="H464" s="502"/>
      <c r="I464" s="503"/>
      <c r="J464" s="511"/>
      <c r="K464" s="495"/>
      <c r="L464" s="497"/>
      <c r="M464" s="492"/>
      <c r="N464" s="492"/>
    </row>
    <row r="465" spans="2:14" ht="26.15" customHeight="1" thickTop="1" thickBot="1" x14ac:dyDescent="0.4">
      <c r="B465" s="203" t="s">
        <v>275</v>
      </c>
      <c r="C465" s="299" t="s">
        <v>68</v>
      </c>
      <c r="D465" s="299" t="s">
        <v>122</v>
      </c>
      <c r="E465" s="498"/>
      <c r="F465" s="498"/>
      <c r="G465" s="500"/>
      <c r="H465" s="504" t="s">
        <v>68</v>
      </c>
      <c r="I465" s="504" t="s">
        <v>101</v>
      </c>
      <c r="J465" s="504" t="s">
        <v>69</v>
      </c>
      <c r="K465" s="429" t="str">
        <f>IFERROR(VLOOKUP($D67,$Y$9:$AB$10,2,FALSE)/IF($D67="Inhalation",IF($J465="Central Tendency",SUMIFS(#REF!,#REF!,$B63,#REF!,$C67),SUMIFS(#REF!,#REF!,$B63,#REF!,$C67)),IF($J465="Central Tendency",VLOOKUP($B63,#REF!,17,FALSE),VLOOKUP($B63,#REF!,12,FALSE))),"--")</f>
        <v>--</v>
      </c>
      <c r="L465" s="491">
        <f>IFERROR(VLOOKUP($D465,$Y$9:$AB$9,2,FALSE)/IF($D465="Inhalation",IF($J465="Central Tendency",SUMIFS('Inhalation Exposure'!$O$5:$O$164,'Inhalation Exposure'!$B$5:$B$164,$B465,'Inhalation Exposure'!$D$5:$D$164,$C465),SUMIFS('Inhalation Exposure'!$N$5:$N$164,'Inhalation Exposure'!$B$5:$B$164,$B465,'Inhalation Exposure'!$D$5:$D$164,$C465))),"--")</f>
        <v>294.78609625668446</v>
      </c>
      <c r="M465" s="491">
        <f>IFERROR(VLOOKUP($D465,$Y$9:$AB$9,3,FALSE)/IF($D465="Inhalation",IF($J465="Central Tendency",SUMIFS('Inhalation Exposure'!$Q$5:$Q$164,'Inhalation Exposure'!$B$5:$B$164,$B465,'Inhalation Exposure'!$D$5:$D$164,$C465),SUMIFS('Inhalation Exposure'!$P$5:$P$164,'Inhalation Exposure'!$B$5:$B$164,$B465,'Inhalation Exposure'!$D$5:$D$164,$C465))),"--")</f>
        <v>303.47850678733033</v>
      </c>
      <c r="N465" s="491">
        <f>IFERROR(VLOOKUP($D465,$Y$9:$AB$9,4,FALSE)*IF($D465="Inhalation",IF($J465="Central Tendency",SUMIFS('Inhalation Exposure'!$S$5:$S$164,'Inhalation Exposure'!$B$5:$B$164,$B465,'Inhalation Exposure'!$D$5:$D$164,$C465),SUMIFS('Inhalation Exposure'!$R$5:$R$164,'Inhalation Exposure'!$B$5:$B$164,$B465,'Inhalation Exposure'!$D$5:$D$164,$C465))),"--")</f>
        <v>9.9464231354642324E-6</v>
      </c>
    </row>
    <row r="466" spans="2:14" ht="15" thickBot="1" x14ac:dyDescent="0.4">
      <c r="B466" s="203" t="s">
        <v>275</v>
      </c>
      <c r="C466" s="299" t="s">
        <v>68</v>
      </c>
      <c r="D466" s="299" t="s">
        <v>122</v>
      </c>
      <c r="E466" s="498"/>
      <c r="F466" s="498"/>
      <c r="G466" s="500"/>
      <c r="H466" s="502"/>
      <c r="I466" s="502"/>
      <c r="J466" s="505"/>
      <c r="K466" s="429"/>
      <c r="L466" s="492"/>
      <c r="M466" s="492"/>
      <c r="N466" s="492"/>
    </row>
    <row r="467" spans="2:14" ht="15" thickBot="1" x14ac:dyDescent="0.4">
      <c r="B467" s="203" t="s">
        <v>275</v>
      </c>
      <c r="C467" s="299" t="s">
        <v>68</v>
      </c>
      <c r="D467" s="299" t="s">
        <v>122</v>
      </c>
      <c r="E467" s="498"/>
      <c r="F467" s="498"/>
      <c r="G467" s="500"/>
      <c r="H467" s="502"/>
      <c r="I467" s="502"/>
      <c r="J467" s="506" t="s">
        <v>128</v>
      </c>
      <c r="K467" s="429"/>
      <c r="L467" s="491">
        <f>IFERROR(VLOOKUP($D467,$Y$9:$AB$9,2,FALSE)/IF($D467="Inhalation",IF($J467="Central Tendency",SUMIFS('Inhalation Exposure'!$O$5:$O$164,'Inhalation Exposure'!$B$5:$B$164,$B467,'Inhalation Exposure'!$D$5:$D$164,$C467),SUMIFS('Inhalation Exposure'!$N$5:$N$164,'Inhalation Exposure'!$B$5:$B$164,$B467,'Inhalation Exposure'!$D$5:$D$164,$C467))),"--")</f>
        <v>3.854895104895105</v>
      </c>
      <c r="M467" s="491">
        <f>IFERROR(VLOOKUP($D467,$Y$9:$AB$9,3,FALSE)/IF($D467="Inhalation",IF($J467="Central Tendency",SUMIFS('Inhalation Exposure'!$Q$5:$Q$164,'Inhalation Exposure'!$B$5:$B$164,$B467,'Inhalation Exposure'!$D$5:$D$164,$C467),SUMIFS('Inhalation Exposure'!$P$5:$P$164,'Inhalation Exposure'!$B$5:$B$164,$B467,'Inhalation Exposure'!$D$5:$D$164,$C467))),"--")</f>
        <v>3.9685650887573956</v>
      </c>
      <c r="N467" s="491">
        <f>IFERROR(VLOOKUP($D467,$Y$9:$AB$9,4,FALSE)*IF($D467="Inhalation",IF($J467="Central Tendency",SUMIFS('Inhalation Exposure'!$S$5:$S$164,'Inhalation Exposure'!$B$5:$B$164,$B467,'Inhalation Exposure'!$D$5:$D$164,$C467),SUMIFS('Inhalation Exposure'!$R$5:$R$164,'Inhalation Exposure'!$B$5:$B$164,$B467,'Inhalation Exposure'!$D$5:$D$164,$C467))),"--")</f>
        <v>9.8143074581430738E-4</v>
      </c>
    </row>
    <row r="468" spans="2:14" ht="15" thickBot="1" x14ac:dyDescent="0.4">
      <c r="B468" s="203" t="s">
        <v>275</v>
      </c>
      <c r="C468" s="299" t="s">
        <v>68</v>
      </c>
      <c r="D468" s="299" t="s">
        <v>122</v>
      </c>
      <c r="E468" s="498"/>
      <c r="F468" s="498"/>
      <c r="G468" s="500"/>
      <c r="H468" s="502"/>
      <c r="I468" s="505"/>
      <c r="J468" s="505"/>
      <c r="K468" s="429" t="str">
        <f>IFERROR(VLOOKUP($D68,$Y$9:$AB$10,2,FALSE)/IF($D68="Inhalation",IF($J467="Central Tendency",SUMIFS(#REF!,#REF!,$B64,#REF!,$C68),SUMIFS(#REF!,#REF!,$B64,#REF!,$C68)),IF($J467="Central Tendency",VLOOKUP($B64,#REF!,17,FALSE),VLOOKUP($B64,#REF!,12,FALSE))),"--")</f>
        <v>--</v>
      </c>
      <c r="L468" s="497"/>
      <c r="M468" s="492"/>
      <c r="N468" s="492"/>
    </row>
    <row r="469" spans="2:14" ht="15" customHeight="1" thickTop="1" thickBot="1" x14ac:dyDescent="0.4">
      <c r="B469" s="378" t="s">
        <v>276</v>
      </c>
      <c r="C469" s="379" t="s">
        <v>64</v>
      </c>
      <c r="D469" s="379" t="s">
        <v>122</v>
      </c>
      <c r="E469" s="498"/>
      <c r="F469" s="498"/>
      <c r="G469" s="500"/>
      <c r="H469" s="506" t="s">
        <v>138</v>
      </c>
      <c r="I469" s="502" t="s">
        <v>163</v>
      </c>
      <c r="J469" s="512" t="s">
        <v>69</v>
      </c>
      <c r="K469" s="514" t="str">
        <f>IFERROR(VLOOKUP($D75,$Y$9:$AB$10,2,FALSE)/IF($D75="Inhalation",IF($J469="Central Tendency",SUMIFS(#REF!,#REF!,$B71,#REF!,$C75),SUMIFS(#REF!,#REF!,$B71,#REF!,$C75)),IF($J469="Central Tendency",VLOOKUP($B71,#REF!,17,FALSE),VLOOKUP($B71,#REF!,12,FALSE))),"--")</f>
        <v>--</v>
      </c>
      <c r="L469" s="496">
        <f>IFERROR(VLOOKUP($D469,$Y$9:$AB$9,2,FALSE)/IF($D469="Inhalation",IF($J469="Central Tendency",SUMIFS('Inhalation Exposure'!$O$5:$O$164,'Inhalation Exposure'!$B$5:$B$164,$B469,'Inhalation Exposure'!$D$5:$D$164,$C469),SUMIFS('Inhalation Exposure'!$N$5:$N$164,'Inhalation Exposure'!$B$5:$B$164,$B469,'Inhalation Exposure'!$D$5:$D$164,$C469))),"--")</f>
        <v>133.63636363636363</v>
      </c>
      <c r="M469" s="491">
        <f>IFERROR(VLOOKUP($D469,$Y$9:$AB$9,3,FALSE)/IF($D469="Inhalation",IF($J469="Central Tendency",SUMIFS('Inhalation Exposure'!$Q$5:$Q$164,'Inhalation Exposure'!$B$5:$B$164,$B469,'Inhalation Exposure'!$D$5:$D$164,$C469),SUMIFS('Inhalation Exposure'!$P$5:$P$164,'Inhalation Exposure'!$B$5:$B$164,$B469,'Inhalation Exposure'!$D$5:$D$164,$C469))),"--")</f>
        <v>214.19161676646701</v>
      </c>
      <c r="N469" s="491">
        <f>IFERROR(VLOOKUP($D469,$Y$9:$AB$9,4,FALSE)*IF($D469="Inhalation",IF($J469="Central Tendency",SUMIFS('Inhalation Exposure'!$S$5:$S$164,'Inhalation Exposure'!$B$5:$B$164,$B469,'Inhalation Exposure'!$D$5:$D$164,$C469),SUMIFS('Inhalation Exposure'!$R$5:$R$164,'Inhalation Exposure'!$B$5:$B$164,$B469,'Inhalation Exposure'!$D$5:$D$164,$C469))),"--")</f>
        <v>1.4092641376887955E-5</v>
      </c>
    </row>
    <row r="470" spans="2:14" ht="15" thickBot="1" x14ac:dyDescent="0.4">
      <c r="B470" s="378" t="s">
        <v>276</v>
      </c>
      <c r="C470" s="379" t="s">
        <v>64</v>
      </c>
      <c r="D470" s="379" t="s">
        <v>122</v>
      </c>
      <c r="E470" s="498"/>
      <c r="F470" s="498"/>
      <c r="G470" s="500"/>
      <c r="H470" s="502"/>
      <c r="I470" s="502"/>
      <c r="J470" s="513"/>
      <c r="K470" s="492"/>
      <c r="L470" s="492"/>
      <c r="M470" s="492"/>
      <c r="N470" s="492"/>
    </row>
    <row r="471" spans="2:14" ht="15" thickBot="1" x14ac:dyDescent="0.4">
      <c r="B471" s="378" t="s">
        <v>276</v>
      </c>
      <c r="C471" s="379" t="s">
        <v>64</v>
      </c>
      <c r="D471" s="379" t="s">
        <v>122</v>
      </c>
      <c r="E471" s="498"/>
      <c r="F471" s="498"/>
      <c r="G471" s="500"/>
      <c r="H471" s="502"/>
      <c r="I471" s="502"/>
      <c r="J471" s="510" t="s">
        <v>128</v>
      </c>
      <c r="K471" s="493" t="str">
        <f>IFERROR(VLOOKUP($D77,$Y$9:$AB$10,2,FALSE)/IF($D77="Inhalation",IF($J471="Central Tendency",SUMIFS(#REF!,#REF!,$B73,#REF!,$C77),SUMIFS(#REF!,#REF!,$B73,#REF!,$C77)),IF($J471="Central Tendency",VLOOKUP($B73,#REF!,17,FALSE),VLOOKUP($B73,#REF!,12,FALSE))),"--")</f>
        <v>--</v>
      </c>
      <c r="L471" s="491">
        <f>IFERROR(VLOOKUP($D471,$Y$9:$AB$9,2,FALSE)/IF($D471="Inhalation",IF($J471="Central Tendency",SUMIFS('Inhalation Exposure'!$O$5:$O$164,'Inhalation Exposure'!$B$5:$B$164,$B471,'Inhalation Exposure'!$D$5:$D$164,$C471),SUMIFS('Inhalation Exposure'!$N$5:$N$164,'Inhalation Exposure'!$B$5:$B$164,$B471,'Inhalation Exposure'!$D$5:$D$164,$C471))),"--")</f>
        <v>14.216634429400385</v>
      </c>
      <c r="M471" s="491">
        <f>IFERROR(VLOOKUP($D471,$Y$9:$AB$9,3,FALSE)/IF($D471="Inhalation",IF($J471="Central Tendency",SUMIFS('Inhalation Exposure'!$Q$5:$Q$164,'Inhalation Exposure'!$B$5:$B$164,$B471,'Inhalation Exposure'!$D$5:$D$164,$C471),SUMIFS('Inhalation Exposure'!$P$5:$P$164,'Inhalation Exposure'!$B$5:$B$164,$B471,'Inhalation Exposure'!$D$5:$D$164,$C471))),"--")</f>
        <v>22.786342209198622</v>
      </c>
      <c r="N471" s="491">
        <f>IFERROR(VLOOKUP($D471,$Y$9:$AB$9,4,FALSE)*IF($D471="Inhalation",IF($J471="Central Tendency",SUMIFS('Inhalation Exposure'!$S$5:$S$164,'Inhalation Exposure'!$B$5:$B$164,$B471,'Inhalation Exposure'!$D$5:$D$164,$C471),SUMIFS('Inhalation Exposure'!$R$5:$R$164,'Inhalation Exposure'!$B$5:$B$164,$B471,'Inhalation Exposure'!$D$5:$D$164,$C471))),"--")</f>
        <v>1.7093010186160871E-4</v>
      </c>
    </row>
    <row r="472" spans="2:14" ht="15" thickBot="1" x14ac:dyDescent="0.4">
      <c r="B472" s="378" t="s">
        <v>276</v>
      </c>
      <c r="C472" s="379" t="s">
        <v>64</v>
      </c>
      <c r="D472" s="379" t="s">
        <v>122</v>
      </c>
      <c r="E472" s="498"/>
      <c r="F472" s="498"/>
      <c r="G472" s="500"/>
      <c r="H472" s="505"/>
      <c r="I472" s="503"/>
      <c r="J472" s="511"/>
      <c r="K472" s="495"/>
      <c r="L472" s="497"/>
      <c r="M472" s="492"/>
      <c r="N472" s="492"/>
    </row>
    <row r="473" spans="2:14" ht="15" customHeight="1" thickBot="1" x14ac:dyDescent="0.4">
      <c r="B473" s="203" t="s">
        <v>277</v>
      </c>
      <c r="C473" s="379" t="s">
        <v>64</v>
      </c>
      <c r="D473" s="379" t="s">
        <v>122</v>
      </c>
      <c r="E473" s="498"/>
      <c r="F473" s="498"/>
      <c r="G473" s="500"/>
      <c r="H473" s="502" t="s">
        <v>140</v>
      </c>
      <c r="I473" s="502" t="s">
        <v>163</v>
      </c>
      <c r="J473" s="512" t="s">
        <v>69</v>
      </c>
      <c r="K473" s="514" t="str">
        <f>IFERROR(VLOOKUP($D79,$Y$9:$AB$10,2,FALSE)/IF($D79="Inhalation",IF($J473="Central Tendency",SUMIFS(#REF!,#REF!,$B75,#REF!,$C79),SUMIFS(#REF!,#REF!,$B75,#REF!,$C79)),IF($J473="Central Tendency",VLOOKUP($B75,#REF!,17,FALSE),VLOOKUP($B75,#REF!,12,FALSE))),"--")</f>
        <v>--</v>
      </c>
      <c r="L473" s="491">
        <f>IFERROR(VLOOKUP($D473,$Y$9:$AB$9,2,FALSE)/IF($D473="Inhalation",IF($J473="Central Tendency",SUMIFS('Inhalation Exposure'!$O$5:$O$164,'Inhalation Exposure'!$B$5:$B$164,$B473,'Inhalation Exposure'!$D$5:$D$164,$C473),SUMIFS('Inhalation Exposure'!$N$5:$N$164,'Inhalation Exposure'!$B$5:$B$164,$B473,'Inhalation Exposure'!$D$5:$D$164,$C473))),"--")</f>
        <v>0.24487756121939031</v>
      </c>
      <c r="M473" s="491">
        <f>IFERROR(VLOOKUP($D473,$Y$9:$AB$9,3,FALSE)/IF($D473="Inhalation",IF($J473="Central Tendency",SUMIFS('Inhalation Exposure'!$Q$5:$Q$164,'Inhalation Exposure'!$B$5:$B$164,$B473,'Inhalation Exposure'!$D$5:$D$164,$C473),SUMIFS('Inhalation Exposure'!$P$5:$P$164,'Inhalation Exposure'!$B$5:$B$164,$B473,'Inhalation Exposure'!$D$5:$D$164,$C473))),"--")</f>
        <v>2.9793436615025817</v>
      </c>
      <c r="N473" s="491">
        <f>IFERROR(VLOOKUP($D473,$Y$9:$AB$9,4,FALSE)*IF($D473="Inhalation",IF($J473="Central Tendency",SUMIFS('Inhalation Exposure'!$S$5:$S$164,'Inhalation Exposure'!$B$5:$B$164,$B473,'Inhalation Exposure'!$D$5:$D$164,$C473),SUMIFS('Inhalation Exposure'!$R$5:$R$164,'Inhalation Exposure'!$B$5:$B$164,$B473,'Inhalation Exposure'!$D$5:$D$164,$C473))),"--")</f>
        <v>1.0131512118018969E-3</v>
      </c>
    </row>
    <row r="474" spans="2:14" ht="15" thickBot="1" x14ac:dyDescent="0.4">
      <c r="B474" s="203" t="s">
        <v>277</v>
      </c>
      <c r="C474" s="379" t="s">
        <v>64</v>
      </c>
      <c r="D474" s="379" t="s">
        <v>122</v>
      </c>
      <c r="E474" s="498"/>
      <c r="F474" s="498"/>
      <c r="G474" s="500"/>
      <c r="H474" s="502"/>
      <c r="I474" s="502"/>
      <c r="J474" s="513"/>
      <c r="K474" s="492"/>
      <c r="L474" s="492"/>
      <c r="M474" s="492"/>
      <c r="N474" s="492"/>
    </row>
    <row r="475" spans="2:14" ht="15" thickBot="1" x14ac:dyDescent="0.4">
      <c r="B475" s="203" t="s">
        <v>277</v>
      </c>
      <c r="C475" s="379" t="s">
        <v>64</v>
      </c>
      <c r="D475" s="379" t="s">
        <v>122</v>
      </c>
      <c r="E475" s="498"/>
      <c r="F475" s="498"/>
      <c r="G475" s="500"/>
      <c r="H475" s="502"/>
      <c r="I475" s="502"/>
      <c r="J475" s="510" t="s">
        <v>128</v>
      </c>
      <c r="K475" s="493" t="str">
        <f>IFERROR(VLOOKUP($D81,$Y$9:$AB$10,2,FALSE)/IF($D81="Inhalation",IF($J475="Central Tendency",SUMIFS(#REF!,#REF!,$B77,#REF!,$C81),SUMIFS(#REF!,#REF!,$B77,#REF!,$C81)),IF($J475="Central Tendency",VLOOKUP($B77,#REF!,17,FALSE),VLOOKUP($B77,#REF!,12,FALSE))),"--")</f>
        <v>--</v>
      </c>
      <c r="L475" s="491">
        <f>IFERROR(VLOOKUP($D475,$Y$9:$AB$9,2,FALSE)/IF($D475="Inhalation",IF($J475="Central Tendency",SUMIFS('Inhalation Exposure'!$O$5:$O$164,'Inhalation Exposure'!$B$5:$B$164,$B475,'Inhalation Exposure'!$D$5:$D$164,$C475),SUMIFS('Inhalation Exposure'!$N$5:$N$164,'Inhalation Exposure'!$B$5:$B$164,$B475,'Inhalation Exposure'!$D$5:$D$164,$C475))),"--")</f>
        <v>0.24487756121939031</v>
      </c>
      <c r="M475" s="491">
        <f>IFERROR(VLOOKUP($D475,$Y$9:$AB$9,3,FALSE)/IF($D475="Inhalation",IF($J475="Central Tendency",SUMIFS('Inhalation Exposure'!$Q$5:$Q$164,'Inhalation Exposure'!$B$5:$B$164,$B475,'Inhalation Exposure'!$D$5:$D$164,$C475),SUMIFS('Inhalation Exposure'!$P$5:$P$164,'Inhalation Exposure'!$B$5:$B$164,$B475,'Inhalation Exposure'!$D$5:$D$164,$C475))),"--")</f>
        <v>2.9793436615025821</v>
      </c>
      <c r="N475" s="491">
        <f>IFERROR(VLOOKUP($D475,$Y$9:$AB$9,4,FALSE)*IF($D475="Inhalation",IF($J475="Central Tendency",SUMIFS('Inhalation Exposure'!$S$5:$S$164,'Inhalation Exposure'!$B$5:$B$164,$B475,'Inhalation Exposure'!$D$5:$D$164,$C475),SUMIFS('Inhalation Exposure'!$R$5:$R$164,'Inhalation Exposure'!$B$5:$B$164,$B475,'Inhalation Exposure'!$D$5:$D$164,$C475))),"--")</f>
        <v>1.3072918861959958E-3</v>
      </c>
    </row>
    <row r="476" spans="2:14" ht="15" thickBot="1" x14ac:dyDescent="0.4">
      <c r="B476" s="203" t="s">
        <v>277</v>
      </c>
      <c r="C476" s="379" t="s">
        <v>64</v>
      </c>
      <c r="D476" s="379" t="s">
        <v>122</v>
      </c>
      <c r="E476" s="498"/>
      <c r="F476" s="498"/>
      <c r="G476" s="500"/>
      <c r="H476" s="502"/>
      <c r="I476" s="503"/>
      <c r="J476" s="511"/>
      <c r="K476" s="495"/>
      <c r="L476" s="497"/>
      <c r="M476" s="492"/>
      <c r="N476" s="492"/>
    </row>
    <row r="477" spans="2:14" ht="15.65" customHeight="1" thickTop="1" thickBot="1" x14ac:dyDescent="0.4">
      <c r="B477" s="203" t="s">
        <v>278</v>
      </c>
      <c r="C477" s="299" t="s">
        <v>68</v>
      </c>
      <c r="D477" s="299" t="s">
        <v>122</v>
      </c>
      <c r="E477" s="498"/>
      <c r="F477" s="498"/>
      <c r="G477" s="500"/>
      <c r="H477" s="504" t="s">
        <v>68</v>
      </c>
      <c r="I477" s="502" t="s">
        <v>163</v>
      </c>
      <c r="J477" s="504" t="s">
        <v>69</v>
      </c>
      <c r="K477" s="429" t="str">
        <f>IFERROR(VLOOKUP($D79,$Y$9:$AB$10,2,FALSE)/IF($D79="Inhalation",IF($J477="Central Tendency",SUMIFS(#REF!,#REF!,$B75,#REF!,$C79),SUMIFS(#REF!,#REF!,$B75,#REF!,$C79)),IF($J477="Central Tendency",VLOOKUP($B75,#REF!,17,FALSE),VLOOKUP($B75,#REF!,12,FALSE))),"--")</f>
        <v>--</v>
      </c>
      <c r="L477" s="496">
        <f>IFERROR(VLOOKUP($D477,$Y$9:$AB$9,2,FALSE)/IF($D477="Inhalation",IF($J477="Central Tendency",SUMIFS('Inhalation Exposure'!$O$5:$O$164,'Inhalation Exposure'!$B$5:$B$164,$B477,'Inhalation Exposure'!$D$5:$D$164,$C477),SUMIFS('Inhalation Exposure'!$N$5:$N$164,'Inhalation Exposure'!$B$5:$B$164,$B477,'Inhalation Exposure'!$D$5:$D$164,$C477))),"--")</f>
        <v>196.524064171123</v>
      </c>
      <c r="M477" s="491">
        <f>IFERROR(VLOOKUP($D477,$Y$9:$AB$9,3,FALSE)/IF($D477="Inhalation",IF($J477="Central Tendency",SUMIFS('Inhalation Exposure'!$Q$5:$Q$164,'Inhalation Exposure'!$B$5:$B$164,$B477,'Inhalation Exposure'!$D$5:$D$164,$C477),SUMIFS('Inhalation Exposure'!$P$5:$P$164,'Inhalation Exposure'!$B$5:$B$164,$B477,'Inhalation Exposure'!$D$5:$D$164,$C477))),"--")</f>
        <v>314.98767171539265</v>
      </c>
      <c r="N477" s="491">
        <f>IFERROR(VLOOKUP($D477,$Y$9:$AB$9,4,FALSE)*IF($D477="Inhalation",IF($J477="Central Tendency",SUMIFS('Inhalation Exposure'!$S$5:$S$164,'Inhalation Exposure'!$B$5:$B$164,$B477,'Inhalation Exposure'!$D$5:$D$164,$C477),SUMIFS('Inhalation Exposure'!$R$5:$R$164,'Inhalation Exposure'!$B$5:$B$164,$B477,'Inhalation Exposure'!$D$5:$D$164,$C477))),"--")</f>
        <v>9.5829961362838085E-6</v>
      </c>
    </row>
    <row r="478" spans="2:14" ht="15" thickBot="1" x14ac:dyDescent="0.4">
      <c r="B478" s="203" t="s">
        <v>278</v>
      </c>
      <c r="C478" s="299" t="s">
        <v>68</v>
      </c>
      <c r="D478" s="299" t="s">
        <v>122</v>
      </c>
      <c r="E478" s="498"/>
      <c r="F478" s="498"/>
      <c r="G478" s="500"/>
      <c r="H478" s="502"/>
      <c r="I478" s="502"/>
      <c r="J478" s="505"/>
      <c r="K478" s="429"/>
      <c r="L478" s="492"/>
      <c r="M478" s="492"/>
      <c r="N478" s="492"/>
    </row>
    <row r="479" spans="2:14" ht="15" thickBot="1" x14ac:dyDescent="0.4">
      <c r="B479" s="203" t="s">
        <v>278</v>
      </c>
      <c r="C479" s="299" t="s">
        <v>68</v>
      </c>
      <c r="D479" s="299" t="s">
        <v>122</v>
      </c>
      <c r="E479" s="498"/>
      <c r="F479" s="498"/>
      <c r="G479" s="500"/>
      <c r="H479" s="502"/>
      <c r="I479" s="502"/>
      <c r="J479" s="506" t="s">
        <v>128</v>
      </c>
      <c r="K479" s="429"/>
      <c r="L479" s="491">
        <f>IFERROR(VLOOKUP($D479,$Y$9:$AB$9,2,FALSE)/IF($D479="Inhalation",IF($J479="Central Tendency",SUMIFS('Inhalation Exposure'!$O$5:$O$164,'Inhalation Exposure'!$B$5:$B$164,$B479,'Inhalation Exposure'!$D$5:$D$164,$C479),SUMIFS('Inhalation Exposure'!$N$5:$N$164,'Inhalation Exposure'!$B$5:$B$164,$B479,'Inhalation Exposure'!$D$5:$D$164,$C479))),"--")</f>
        <v>2.5699300699300696</v>
      </c>
      <c r="M479" s="491">
        <f>IFERROR(VLOOKUP($D479,$Y$9:$AB$9,3,FALSE)/IF($D479="Inhalation",IF($J479="Central Tendency",SUMIFS('Inhalation Exposure'!$Q$5:$Q$164,'Inhalation Exposure'!$B$5:$B$164,$B479,'Inhalation Exposure'!$D$5:$D$164,$C479),SUMIFS('Inhalation Exposure'!$P$5:$P$164,'Inhalation Exposure'!$B$5:$B$164,$B479,'Inhalation Exposure'!$D$5:$D$164,$C479))),"--")</f>
        <v>4.1190695532012889</v>
      </c>
      <c r="N479" s="491">
        <f>IFERROR(VLOOKUP($D479,$Y$9:$AB$9,4,FALSE)*IF($D479="Inhalation",IF($J479="Central Tendency",SUMIFS('Inhalation Exposure'!$S$5:$S$164,'Inhalation Exposure'!$B$5:$B$164,$B479,'Inhalation Exposure'!$D$5:$D$164,$C479),SUMIFS('Inhalation Exposure'!$R$5:$R$164,'Inhalation Exposure'!$B$5:$B$164,$B479,'Inhalation Exposure'!$D$5:$D$164,$C479))),"--")</f>
        <v>9.4557077625570789E-4</v>
      </c>
    </row>
    <row r="480" spans="2:14" ht="15" thickBot="1" x14ac:dyDescent="0.4">
      <c r="B480" s="203" t="s">
        <v>278</v>
      </c>
      <c r="C480" s="299" t="s">
        <v>68</v>
      </c>
      <c r="D480" s="299" t="s">
        <v>122</v>
      </c>
      <c r="E480" s="498"/>
      <c r="F480" s="498"/>
      <c r="G480" s="500"/>
      <c r="H480" s="502"/>
      <c r="I480" s="502"/>
      <c r="J480" s="502"/>
      <c r="K480" s="428" t="str">
        <f>IFERROR(VLOOKUP($D80,$Y$9:$AB$10,2,FALSE)/IF($D80="Inhalation",IF($J479="Central Tendency",SUMIFS(#REF!,#REF!,$B76,#REF!,$C80),SUMIFS(#REF!,#REF!,$B76,#REF!,$C80)),IF($J479="Central Tendency",VLOOKUP($B76,#REF!,17,FALSE),VLOOKUP($B76,#REF!,12,FALSE))),"--")</f>
        <v>--</v>
      </c>
      <c r="L480" s="497"/>
      <c r="M480" s="492"/>
      <c r="N480" s="492"/>
    </row>
    <row r="481" spans="2:14" ht="15" customHeight="1" thickBot="1" x14ac:dyDescent="0.4">
      <c r="B481" s="203">
        <v>8</v>
      </c>
      <c r="C481" s="299" t="s">
        <v>64</v>
      </c>
      <c r="D481" s="299" t="s">
        <v>122</v>
      </c>
      <c r="E481" s="508" t="s">
        <v>279</v>
      </c>
      <c r="F481" s="508" t="s">
        <v>280</v>
      </c>
      <c r="G481" s="509" t="s">
        <v>281</v>
      </c>
      <c r="H481" s="506" t="s">
        <v>64</v>
      </c>
      <c r="I481" s="506" t="s">
        <v>101</v>
      </c>
      <c r="J481" s="510" t="s">
        <v>69</v>
      </c>
      <c r="K481" s="493" t="str">
        <f>IFERROR(VLOOKUP($D381,$Y$9:$AB$10,2,FALSE)/IF($D381="Inhalation",IF($J481="Central Tendency",SUMIFS(#REF!,#REF!,$B377,#REF!,$C381),SUMIFS(#REF!,#REF!,$B377,#REF!,$C381))),"--")</f>
        <v>--</v>
      </c>
      <c r="L481" s="491">
        <f>IFERROR(VLOOKUP($D481,$Y$9:$AB$9,2,FALSE)/IF($D481="Inhalation",IF($J481="Central Tendency",SUMIFS('Inhalation Exposure'!$O$5:$O$164,'Inhalation Exposure'!$B$5:$B$164,$B481,'Inhalation Exposure'!$D$5:$D$164,$C481),SUMIFS('Inhalation Exposure'!$N$5:$N$164,'Inhalation Exposure'!$B$5:$B$164,$B481,'Inhalation Exposure'!$D$5:$D$164,$C481))),"--")</f>
        <v>110.86817066369211</v>
      </c>
      <c r="M481" s="491">
        <f>IFERROR(VLOOKUP($D481,$Y$9:$AB$9,3,FALSE)/IF($D481="Inhalation",IF($J481="Central Tendency",SUMIFS('Inhalation Exposure'!$Q$5:$Q$164,'Inhalation Exposure'!$B$5:$B$164,$B481,'Inhalation Exposure'!$D$5:$D$164,$C481),SUMIFS('Inhalation Exposure'!$P$5:$P$164,'Inhalation Exposure'!$B$5:$B$164,$B481,'Inhalation Exposure'!$D$5:$D$164,$C481))),"--")</f>
        <v>114.13736031146767</v>
      </c>
      <c r="N481" s="491">
        <f>IFERROR(VLOOKUP($D481,$Y$9:$AB$9,4,FALSE)*IF($D481="Inhalation",IF($J481="Central Tendency",SUMIFS('Inhalation Exposure'!$S$5:$S$164,'Inhalation Exposure'!$B$5:$B$164,$B481,'Inhalation Exposure'!$D$5:$D$164,$C481),SUMIFS('Inhalation Exposure'!$R$5:$R$164,'Inhalation Exposure'!$B$5:$B$164,$B481,'Inhalation Exposure'!$D$5:$D$164,$C481))),"--")</f>
        <v>2.6446429396898901E-5</v>
      </c>
    </row>
    <row r="482" spans="2:14" ht="15" thickBot="1" x14ac:dyDescent="0.4">
      <c r="B482" s="203">
        <v>8</v>
      </c>
      <c r="C482" s="299" t="s">
        <v>64</v>
      </c>
      <c r="D482" s="299" t="s">
        <v>122</v>
      </c>
      <c r="E482" s="498"/>
      <c r="F482" s="498"/>
      <c r="G482" s="500"/>
      <c r="H482" s="502"/>
      <c r="I482" s="502"/>
      <c r="J482" s="513"/>
      <c r="K482" s="495"/>
      <c r="L482" s="492"/>
      <c r="M482" s="492"/>
      <c r="N482" s="492"/>
    </row>
    <row r="483" spans="2:14" ht="15" thickBot="1" x14ac:dyDescent="0.4">
      <c r="B483" s="203">
        <v>8</v>
      </c>
      <c r="C483" s="299" t="s">
        <v>64</v>
      </c>
      <c r="D483" s="299" t="s">
        <v>122</v>
      </c>
      <c r="E483" s="498"/>
      <c r="F483" s="498"/>
      <c r="G483" s="500"/>
      <c r="H483" s="502"/>
      <c r="I483" s="502"/>
      <c r="J483" s="510" t="s">
        <v>128</v>
      </c>
      <c r="K483" s="493" t="str">
        <f>IFERROR(VLOOKUP($D383,$Y$9:$AB$10,2,FALSE)/IF($D383="Inhalation",IF($J483="Central Tendency",SUMIFS(#REF!,#REF!,$B379,#REF!,$C383),SUMIFS(#REF!,#REF!,$B379,#REF!,$C383))),"--")</f>
        <v>--</v>
      </c>
      <c r="L483" s="491">
        <f>IFERROR(VLOOKUP($D483,$Y$9:$AB$9,2,FALSE)/IF($D483="Inhalation",IF($J483="Central Tendency",SUMIFS('Inhalation Exposure'!$O$5:$O$164,'Inhalation Exposure'!$B$5:$B$164,$B483,'Inhalation Exposure'!$D$5:$D$164,$C483),SUMIFS('Inhalation Exposure'!$N$5:$N$164,'Inhalation Exposure'!$B$5:$B$164,$B483,'Inhalation Exposure'!$D$5:$D$164,$C483))),"--")</f>
        <v>55.434085331846056</v>
      </c>
      <c r="M483" s="491">
        <f>IFERROR(VLOOKUP($D483,$Y$9:$AB$9,3,FALSE)/IF($D483="Inhalation",IF($J483="Central Tendency",SUMIFS('Inhalation Exposure'!$Q$5:$Q$164,'Inhalation Exposure'!$B$5:$B$164,$B483,'Inhalation Exposure'!$D$5:$D$164,$C483),SUMIFS('Inhalation Exposure'!$P$5:$P$164,'Inhalation Exposure'!$B$5:$B$164,$B483,'Inhalation Exposure'!$D$5:$D$164,$C483))),"--")</f>
        <v>57.068680155733837</v>
      </c>
      <c r="N483" s="491">
        <f>IFERROR(VLOOKUP($D483,$Y$9:$AB$9,4,FALSE)*IF($D483="Inhalation",IF($J483="Central Tendency",SUMIFS('Inhalation Exposure'!$S$5:$S$164,'Inhalation Exposure'!$B$5:$B$164,$B483,'Inhalation Exposure'!$D$5:$D$164,$C483),SUMIFS('Inhalation Exposure'!$R$5:$R$164,'Inhalation Exposure'!$B$5:$B$164,$B483,'Inhalation Exposure'!$D$5:$D$164,$C483))),"--")</f>
        <v>6.8248850056513299E-5</v>
      </c>
    </row>
    <row r="484" spans="2:14" ht="15" thickBot="1" x14ac:dyDescent="0.4">
      <c r="B484" s="203">
        <v>8</v>
      </c>
      <c r="C484" s="299" t="s">
        <v>64</v>
      </c>
      <c r="D484" s="299" t="s">
        <v>122</v>
      </c>
      <c r="E484" s="498"/>
      <c r="F484" s="498"/>
      <c r="G484" s="500"/>
      <c r="H484" s="502"/>
      <c r="I484" s="503"/>
      <c r="J484" s="511"/>
      <c r="K484" s="495"/>
      <c r="L484" s="497"/>
      <c r="M484" s="492"/>
      <c r="N484" s="492"/>
    </row>
    <row r="485" spans="2:14" ht="15.65" customHeight="1" thickTop="1" thickBot="1" x14ac:dyDescent="0.4">
      <c r="B485" s="203">
        <v>8</v>
      </c>
      <c r="C485" s="299" t="s">
        <v>68</v>
      </c>
      <c r="D485" s="299" t="s">
        <v>122</v>
      </c>
      <c r="E485" s="498"/>
      <c r="F485" s="498"/>
      <c r="G485" s="500"/>
      <c r="H485" s="504" t="s">
        <v>68</v>
      </c>
      <c r="I485" s="504" t="s">
        <v>101</v>
      </c>
      <c r="J485" s="504" t="s">
        <v>69</v>
      </c>
      <c r="K485" s="493" t="str">
        <f>IFERROR(VLOOKUP($D385,$Y$9:$AB$10,2,FALSE)/IF($D385="Inhalation",IF($J485="Central Tendency",SUMIFS(#REF!,#REF!,$B381,#REF!,$C385),SUMIFS(#REF!,#REF!,$B381,#REF!,$C385))),"--")</f>
        <v>--</v>
      </c>
      <c r="L485" s="496">
        <f>IFERROR(VLOOKUP($D485,$Y$9:$AB$9,2,FALSE)/IF($D485="Inhalation",IF($J485="Central Tendency",SUMIFS('Inhalation Exposure'!$O$5:$O$164,'Inhalation Exposure'!$B$5:$B$164,$B485,'Inhalation Exposure'!$D$5:$D$164,$C485),SUMIFS('Inhalation Exposure'!$N$5:$N$164,'Inhalation Exposure'!$B$5:$B$164,$B485,'Inhalation Exposure'!$D$5:$D$164,$C485))),"--")</f>
        <v>110.86817066369211</v>
      </c>
      <c r="M485" s="491">
        <f>IFERROR(VLOOKUP($D485,$Y$9:$AB$9,3,FALSE)/IF($D485="Inhalation",IF($J485="Central Tendency",SUMIFS('Inhalation Exposure'!$Q$5:$Q$164,'Inhalation Exposure'!$B$5:$B$164,$B485,'Inhalation Exposure'!$D$5:$D$164,$C485),SUMIFS('Inhalation Exposure'!$P$5:$P$164,'Inhalation Exposure'!$B$5:$B$164,$B485,'Inhalation Exposure'!$D$5:$D$164,$C485))),"--")</f>
        <v>114.13736031146767</v>
      </c>
      <c r="N485" s="491">
        <f>IFERROR(VLOOKUP($D485,$Y$9:$AB$9,4,FALSE)*IF($D485="Inhalation",IF($J485="Central Tendency",SUMIFS('Inhalation Exposure'!$S$5:$S$164,'Inhalation Exposure'!$B$5:$B$164,$B485,'Inhalation Exposure'!$D$5:$D$164,$C485),SUMIFS('Inhalation Exposure'!$R$5:$R$164,'Inhalation Exposure'!$B$5:$B$164,$B485,'Inhalation Exposure'!$D$5:$D$164,$C485))),"--")</f>
        <v>2.6446429396898901E-5</v>
      </c>
    </row>
    <row r="486" spans="2:14" ht="15" thickBot="1" x14ac:dyDescent="0.4">
      <c r="B486" s="203">
        <v>8</v>
      </c>
      <c r="C486" s="299" t="s">
        <v>68</v>
      </c>
      <c r="D486" s="299" t="s">
        <v>122</v>
      </c>
      <c r="E486" s="498"/>
      <c r="F486" s="498"/>
      <c r="G486" s="500"/>
      <c r="H486" s="502"/>
      <c r="I486" s="502"/>
      <c r="J486" s="505"/>
      <c r="K486" s="494"/>
      <c r="L486" s="492"/>
      <c r="M486" s="492"/>
      <c r="N486" s="492"/>
    </row>
    <row r="487" spans="2:14" ht="15" thickBot="1" x14ac:dyDescent="0.4">
      <c r="B487" s="203">
        <v>8</v>
      </c>
      <c r="C487" s="299" t="s">
        <v>68</v>
      </c>
      <c r="D487" s="299" t="s">
        <v>122</v>
      </c>
      <c r="E487" s="498"/>
      <c r="F487" s="498"/>
      <c r="G487" s="500"/>
      <c r="H487" s="502"/>
      <c r="I487" s="502"/>
      <c r="J487" s="506" t="s">
        <v>128</v>
      </c>
      <c r="K487" s="494"/>
      <c r="L487" s="491">
        <f>IFERROR(VLOOKUP($D487,$Y$9:$AB$9,2,FALSE)/IF($D487="Inhalation",IF($J487="Central Tendency",SUMIFS('Inhalation Exposure'!$O$5:$O$164,'Inhalation Exposure'!$B$5:$B$164,$B487,'Inhalation Exposure'!$D$5:$D$164,$C487),SUMIFS('Inhalation Exposure'!$N$5:$N$164,'Inhalation Exposure'!$B$5:$B$164,$B487,'Inhalation Exposure'!$D$5:$D$164,$C487))),"--")</f>
        <v>110.86817066369211</v>
      </c>
      <c r="M487" s="491">
        <f>IFERROR(VLOOKUP($D487,$Y$9:$AB$9,3,FALSE)/IF($D487="Inhalation",IF($J487="Central Tendency",SUMIFS('Inhalation Exposure'!$Q$5:$Q$164,'Inhalation Exposure'!$B$5:$B$164,$B487,'Inhalation Exposure'!$D$5:$D$164,$C487),SUMIFS('Inhalation Exposure'!$P$5:$P$164,'Inhalation Exposure'!$B$5:$B$164,$B487,'Inhalation Exposure'!$D$5:$D$164,$C487))),"--")</f>
        <v>114.13736031146767</v>
      </c>
      <c r="N487" s="491">
        <f>IFERROR(VLOOKUP($D487,$Y$9:$AB$9,4,FALSE)*IF($D487="Inhalation",IF($J487="Central Tendency",SUMIFS('Inhalation Exposure'!$S$5:$S$164,'Inhalation Exposure'!$B$5:$B$164,$B487,'Inhalation Exposure'!$D$5:$D$164,$C487),SUMIFS('Inhalation Exposure'!$R$5:$R$164,'Inhalation Exposure'!$B$5:$B$164,$B487,'Inhalation Exposure'!$D$5:$D$164,$C487))),"--")</f>
        <v>3.412442502825665E-5</v>
      </c>
    </row>
    <row r="488" spans="2:14" ht="15" thickBot="1" x14ac:dyDescent="0.4">
      <c r="B488" s="203">
        <v>8</v>
      </c>
      <c r="C488" s="299" t="s">
        <v>68</v>
      </c>
      <c r="D488" s="299" t="s">
        <v>122</v>
      </c>
      <c r="E488" s="499"/>
      <c r="F488" s="499"/>
      <c r="G488" s="501"/>
      <c r="H488" s="505"/>
      <c r="I488" s="505"/>
      <c r="J488" s="505"/>
      <c r="K488" s="507"/>
      <c r="L488" s="497"/>
      <c r="M488" s="492"/>
      <c r="N488" s="492"/>
    </row>
    <row r="489" spans="2:14" ht="15" thickBot="1" x14ac:dyDescent="0.4">
      <c r="B489" s="203">
        <v>9</v>
      </c>
      <c r="C489" s="299" t="s">
        <v>64</v>
      </c>
      <c r="D489" s="299" t="s">
        <v>122</v>
      </c>
      <c r="E489" s="498" t="s">
        <v>282</v>
      </c>
      <c r="F489" s="498" t="s">
        <v>282</v>
      </c>
      <c r="G489" s="500" t="s">
        <v>283</v>
      </c>
      <c r="H489" s="502" t="s">
        <v>64</v>
      </c>
      <c r="I489" s="502" t="s">
        <v>101</v>
      </c>
      <c r="J489" s="512" t="s">
        <v>69</v>
      </c>
      <c r="K489" s="494" t="str">
        <f>IFERROR(VLOOKUP($D389,$Y$9:$AB$10,2,FALSE)/IF($D389="Inhalation",IF($J489="Central Tendency",SUMIFS(#REF!,#REF!,$B385,#REF!,$C389),SUMIFS(#REF!,#REF!,$B385,#REF!,$C389))),"--")</f>
        <v>--</v>
      </c>
      <c r="L489" s="491">
        <f>IFERROR(VLOOKUP($D489,$Y$9:$AB$9,2,FALSE)/IF($D489="Inhalation",IF($J489="Central Tendency",SUMIFS('Inhalation Exposure'!$O$5:$O$164,'Inhalation Exposure'!$B$5:$B$164,$B489,'Inhalation Exposure'!$D$5:$D$164,$C489),SUMIFS('Inhalation Exposure'!$N$5:$N$164,'Inhalation Exposure'!$B$5:$B$164,$B489,'Inhalation Exposure'!$D$5:$D$164,$C489))),"--")</f>
        <v>21.788537549407113</v>
      </c>
      <c r="M489" s="491">
        <f>IFERROR(VLOOKUP($D489,$Y$9:$AB$9,3,FALSE)/IF($D489="Inhalation",IF($J489="Central Tendency",SUMIFS('Inhalation Exposure'!$Q$5:$Q$164,'Inhalation Exposure'!$B$5:$B$164,$B489,'Inhalation Exposure'!$D$5:$D$164,$C489),SUMIFS('Inhalation Exposure'!$P$5:$P$164,'Inhalation Exposure'!$B$5:$B$164,$B489,'Inhalation Exposure'!$D$5:$D$164,$C489))),"--")</f>
        <v>22.43102006688963</v>
      </c>
      <c r="N489" s="491">
        <f>IFERROR(VLOOKUP($D489,$Y$9:$AB$9,4,FALSE)*IF($D489="Inhalation",IF($J489="Central Tendency",SUMIFS('Inhalation Exposure'!$S$5:$S$164,'Inhalation Exposure'!$B$5:$B$164,$B489,'Inhalation Exposure'!$D$5:$D$164,$C489),SUMIFS('Inhalation Exposure'!$R$5:$R$164,'Inhalation Exposure'!$B$5:$B$164,$B489,'Inhalation Exposure'!$D$5:$D$164,$C489))),"--")</f>
        <v>1.3456925418569256E-4</v>
      </c>
    </row>
    <row r="490" spans="2:14" ht="15" thickBot="1" x14ac:dyDescent="0.4">
      <c r="B490" s="203">
        <v>9</v>
      </c>
      <c r="C490" s="299" t="s">
        <v>64</v>
      </c>
      <c r="D490" s="299" t="s">
        <v>122</v>
      </c>
      <c r="E490" s="498"/>
      <c r="F490" s="498"/>
      <c r="G490" s="500"/>
      <c r="H490" s="502"/>
      <c r="I490" s="502"/>
      <c r="J490" s="513"/>
      <c r="K490" s="495"/>
      <c r="L490" s="492"/>
      <c r="M490" s="492"/>
      <c r="N490" s="492"/>
    </row>
    <row r="491" spans="2:14" ht="15" thickBot="1" x14ac:dyDescent="0.4">
      <c r="B491" s="203">
        <v>9</v>
      </c>
      <c r="C491" s="299" t="s">
        <v>64</v>
      </c>
      <c r="D491" s="299" t="s">
        <v>122</v>
      </c>
      <c r="E491" s="498"/>
      <c r="F491" s="498"/>
      <c r="G491" s="500"/>
      <c r="H491" s="502"/>
      <c r="I491" s="502"/>
      <c r="J491" s="510" t="s">
        <v>128</v>
      </c>
      <c r="K491" s="493" t="str">
        <f>IFERROR(VLOOKUP($D391,$Y$9:$AB$10,2,FALSE)/IF($D391="Inhalation",IF($J491="Central Tendency",SUMIFS(#REF!,#REF!,$B387,#REF!,$C391),SUMIFS(#REF!,#REF!,$B387,#REF!,$C391))),"--")</f>
        <v>--</v>
      </c>
      <c r="L491" s="491">
        <f>IFERROR(VLOOKUP($D491,$Y$9:$AB$9,2,FALSE)/IF($D491="Inhalation",IF($J491="Central Tendency",SUMIFS('Inhalation Exposure'!$O$5:$O$164,'Inhalation Exposure'!$B$5:$B$164,$B491,'Inhalation Exposure'!$D$5:$D$164,$C491),SUMIFS('Inhalation Exposure'!$N$5:$N$164,'Inhalation Exposure'!$B$5:$B$164,$B491,'Inhalation Exposure'!$D$5:$D$164,$C491))),"--")</f>
        <v>3.854895104895105</v>
      </c>
      <c r="M491" s="491">
        <f>IFERROR(VLOOKUP($D491,$Y$9:$AB$9,3,FALSE)/IF($D491="Inhalation",IF($J491="Central Tendency",SUMIFS('Inhalation Exposure'!$Q$5:$Q$164,'Inhalation Exposure'!$B$5:$B$164,$B491,'Inhalation Exposure'!$D$5:$D$164,$C491),SUMIFS('Inhalation Exposure'!$P$5:$P$164,'Inhalation Exposure'!$B$5:$B$164,$B491,'Inhalation Exposure'!$D$5:$D$164,$C491))),"--")</f>
        <v>3.9685650887573956</v>
      </c>
      <c r="N491" s="491">
        <f>IFERROR(VLOOKUP($D491,$Y$9:$AB$9,4,FALSE)*IF($D491="Inhalation",IF($J491="Central Tendency",SUMIFS('Inhalation Exposure'!$S$5:$S$164,'Inhalation Exposure'!$B$5:$B$164,$B491,'Inhalation Exposure'!$D$5:$D$164,$C491),SUMIFS('Inhalation Exposure'!$R$5:$R$164,'Inhalation Exposure'!$B$5:$B$164,$B491,'Inhalation Exposure'!$D$5:$D$164,$C491))),"--")</f>
        <v>9.8143074581430738E-4</v>
      </c>
    </row>
    <row r="492" spans="2:14" ht="15" thickBot="1" x14ac:dyDescent="0.4">
      <c r="B492" s="203">
        <v>9</v>
      </c>
      <c r="C492" s="299" t="s">
        <v>64</v>
      </c>
      <c r="D492" s="299" t="s">
        <v>122</v>
      </c>
      <c r="E492" s="498"/>
      <c r="F492" s="498"/>
      <c r="G492" s="500"/>
      <c r="H492" s="502"/>
      <c r="I492" s="503"/>
      <c r="J492" s="511"/>
      <c r="K492" s="495"/>
      <c r="L492" s="497"/>
      <c r="M492" s="492"/>
      <c r="N492" s="492"/>
    </row>
    <row r="493" spans="2:14" ht="15.5" thickTop="1" thickBot="1" x14ac:dyDescent="0.4">
      <c r="B493" s="203">
        <v>9</v>
      </c>
      <c r="C493" s="299" t="s">
        <v>68</v>
      </c>
      <c r="D493" s="299" t="s">
        <v>122</v>
      </c>
      <c r="E493" s="498"/>
      <c r="F493" s="498"/>
      <c r="G493" s="500"/>
      <c r="H493" s="504" t="s">
        <v>68</v>
      </c>
      <c r="I493" s="504" t="s">
        <v>101</v>
      </c>
      <c r="J493" s="504" t="s">
        <v>69</v>
      </c>
      <c r="K493" s="493" t="str">
        <f>IFERROR(VLOOKUP($D393,$Y$9:$AB$10,2,FALSE)/IF($D393="Inhalation",IF($J493="Central Tendency",SUMIFS(#REF!,#REF!,$B389,#REF!,$C393),SUMIFS(#REF!,#REF!,$B389,#REF!,$C393))),"--")</f>
        <v>--</v>
      </c>
      <c r="L493" s="496">
        <f>IFERROR(VLOOKUP($D493,$Y$9:$AB$9,2,FALSE)/IF($D493="Inhalation",IF($J493="Central Tendency",SUMIFS('Inhalation Exposure'!$O$5:$O$164,'Inhalation Exposure'!$B$5:$B$164,$B493,'Inhalation Exposure'!$D$5:$D$164,$C493),SUMIFS('Inhalation Exposure'!$N$5:$N$164,'Inhalation Exposure'!$B$5:$B$164,$B493,'Inhalation Exposure'!$D$5:$D$164,$C493))),"--")</f>
        <v>21.788537549407113</v>
      </c>
      <c r="M493" s="491">
        <f>IFERROR(VLOOKUP($D493,$Y$9:$AB$9,3,FALSE)/IF($D493="Inhalation",IF($J493="Central Tendency",SUMIFS('Inhalation Exposure'!$Q$5:$Q$164,'Inhalation Exposure'!$B$5:$B$164,$B493,'Inhalation Exposure'!$D$5:$D$164,$C493),SUMIFS('Inhalation Exposure'!$P$5:$P$164,'Inhalation Exposure'!$B$5:$B$164,$B493,'Inhalation Exposure'!$D$5:$D$164,$C493))),"--")</f>
        <v>22.43102006688963</v>
      </c>
      <c r="N493" s="491">
        <f>IFERROR(VLOOKUP($D493,$Y$9:$AB$9,4,FALSE)*IF($D493="Inhalation",IF($J493="Central Tendency",SUMIFS('Inhalation Exposure'!$S$5:$S$164,'Inhalation Exposure'!$B$5:$B$164,$B493,'Inhalation Exposure'!$D$5:$D$164,$C493),SUMIFS('Inhalation Exposure'!$R$5:$R$164,'Inhalation Exposure'!$B$5:$B$164,$B493,'Inhalation Exposure'!$D$5:$D$164,$C493))),"--")</f>
        <v>1.3456925418569256E-4</v>
      </c>
    </row>
    <row r="494" spans="2:14" ht="15" thickBot="1" x14ac:dyDescent="0.4">
      <c r="B494" s="203">
        <v>9</v>
      </c>
      <c r="C494" s="299" t="s">
        <v>68</v>
      </c>
      <c r="D494" s="299" t="s">
        <v>122</v>
      </c>
      <c r="E494" s="498"/>
      <c r="F494" s="498"/>
      <c r="G494" s="500"/>
      <c r="H494" s="502"/>
      <c r="I494" s="502"/>
      <c r="J494" s="505"/>
      <c r="K494" s="494"/>
      <c r="L494" s="492"/>
      <c r="M494" s="492"/>
      <c r="N494" s="492"/>
    </row>
    <row r="495" spans="2:14" ht="15" thickBot="1" x14ac:dyDescent="0.4">
      <c r="B495" s="203">
        <v>9</v>
      </c>
      <c r="C495" s="299" t="s">
        <v>68</v>
      </c>
      <c r="D495" s="299" t="s">
        <v>122</v>
      </c>
      <c r="E495" s="498"/>
      <c r="F495" s="498"/>
      <c r="G495" s="500"/>
      <c r="H495" s="502"/>
      <c r="I495" s="502"/>
      <c r="J495" s="506" t="s">
        <v>128</v>
      </c>
      <c r="K495" s="494"/>
      <c r="L495" s="491">
        <f>IFERROR(VLOOKUP($D495,$Y$9:$AB$9,2,FALSE)/IF($D495="Inhalation",IF($J495="Central Tendency",SUMIFS('Inhalation Exposure'!$O$5:$O$164,'Inhalation Exposure'!$B$5:$B$164,$B495,'Inhalation Exposure'!$D$5:$D$164,$C495),SUMIFS('Inhalation Exposure'!$N$5:$N$164,'Inhalation Exposure'!$B$5:$B$164,$B495,'Inhalation Exposure'!$D$5:$D$164,$C495))),"--")</f>
        <v>21.788537549407113</v>
      </c>
      <c r="M495" s="491">
        <f>IFERROR(VLOOKUP($D495,$Y$9:$AB$9,3,FALSE)/IF($D495="Inhalation",IF($J495="Central Tendency",SUMIFS('Inhalation Exposure'!$Q$5:$Q$164,'Inhalation Exposure'!$B$5:$B$164,$B495,'Inhalation Exposure'!$D$5:$D$164,$C495),SUMIFS('Inhalation Exposure'!$P$5:$P$164,'Inhalation Exposure'!$B$5:$B$164,$B495,'Inhalation Exposure'!$D$5:$D$164,$C495))),"--")</f>
        <v>22.431020066889634</v>
      </c>
      <c r="N495" s="491">
        <f>IFERROR(VLOOKUP($D495,$Y$9:$AB$9,4,FALSE)*IF($D495="Inhalation",IF($J495="Central Tendency",SUMIFS('Inhalation Exposure'!$S$5:$S$164,'Inhalation Exposure'!$B$5:$B$164,$B495,'Inhalation Exposure'!$D$5:$D$164,$C495),SUMIFS('Inhalation Exposure'!$R$5:$R$164,'Inhalation Exposure'!$B$5:$B$164,$B495,'Inhalation Exposure'!$D$5:$D$164,$C495))),"--")</f>
        <v>1.7363774733637747E-4</v>
      </c>
    </row>
    <row r="496" spans="2:14" ht="15" thickBot="1" x14ac:dyDescent="0.4">
      <c r="B496" s="203">
        <v>9</v>
      </c>
      <c r="C496" s="299" t="s">
        <v>68</v>
      </c>
      <c r="D496" s="299" t="s">
        <v>122</v>
      </c>
      <c r="E496" s="499"/>
      <c r="F496" s="499"/>
      <c r="G496" s="501"/>
      <c r="H496" s="505"/>
      <c r="I496" s="505"/>
      <c r="J496" s="505"/>
      <c r="K496" s="495"/>
      <c r="L496" s="497"/>
      <c r="M496" s="492"/>
      <c r="N496" s="492"/>
    </row>
    <row r="497" spans="2:14" ht="15" thickBot="1" x14ac:dyDescent="0.4">
      <c r="B497" s="203">
        <v>10</v>
      </c>
      <c r="C497" s="299" t="s">
        <v>64</v>
      </c>
      <c r="D497" s="299" t="s">
        <v>122</v>
      </c>
      <c r="E497" s="508" t="s">
        <v>282</v>
      </c>
      <c r="F497" s="508" t="s">
        <v>282</v>
      </c>
      <c r="G497" s="509" t="s">
        <v>284</v>
      </c>
      <c r="H497" s="506" t="s">
        <v>64</v>
      </c>
      <c r="I497" s="506" t="s">
        <v>101</v>
      </c>
      <c r="J497" s="510" t="s">
        <v>69</v>
      </c>
      <c r="K497" s="493" t="str">
        <f>IFERROR(VLOOKUP($D397,$Y$9:$AB$10,2,FALSE)/IF($D397="Inhalation",IF($J497="Central Tendency",SUMIFS(#REF!,#REF!,$B393,#REF!,$C397),SUMIFS(#REF!,#REF!,$B393,#REF!,$C397))),"--")</f>
        <v>--</v>
      </c>
      <c r="L497" s="491">
        <f>IFERROR(VLOOKUP($D497,$Y$9:$AB$9,2,FALSE)/IF($D497="Inhalation",IF($J497="Central Tendency",SUMIFS('Inhalation Exposure'!$O$5:$O$164,'Inhalation Exposure'!$B$5:$B$164,$B497,'Inhalation Exposure'!$D$5:$D$164,$C497),SUMIFS('Inhalation Exposure'!$N$5:$N$164,'Inhalation Exposure'!$B$5:$B$164,$B497,'Inhalation Exposure'!$D$5:$D$164,$C497))),"--")</f>
        <v>21.788537549407113</v>
      </c>
      <c r="M497" s="491">
        <f>IFERROR(VLOOKUP($D497,$Y$9:$AB$9,3,FALSE)/IF($D497="Inhalation",IF($J497="Central Tendency",SUMIFS('Inhalation Exposure'!$Q$5:$Q$164,'Inhalation Exposure'!$B$5:$B$164,$B497,'Inhalation Exposure'!$D$5:$D$164,$C497),SUMIFS('Inhalation Exposure'!$P$5:$P$164,'Inhalation Exposure'!$B$5:$B$164,$B497,'Inhalation Exposure'!$D$5:$D$164,$C497))),"--")</f>
        <v>22.43102006688963</v>
      </c>
      <c r="N497" s="491">
        <f>IFERROR(VLOOKUP($D497,$Y$9:$AB$9,4,FALSE)*IF($D497="Inhalation",IF($J497="Central Tendency",SUMIFS('Inhalation Exposure'!$S$5:$S$164,'Inhalation Exposure'!$B$5:$B$164,$B497,'Inhalation Exposure'!$D$5:$D$164,$C497),SUMIFS('Inhalation Exposure'!$R$5:$R$164,'Inhalation Exposure'!$B$5:$B$164,$B497,'Inhalation Exposure'!$D$5:$D$164,$C497))),"--")</f>
        <v>1.3456925418569256E-4</v>
      </c>
    </row>
    <row r="498" spans="2:14" ht="15" thickBot="1" x14ac:dyDescent="0.4">
      <c r="B498" s="203">
        <v>10</v>
      </c>
      <c r="C498" s="299" t="s">
        <v>64</v>
      </c>
      <c r="D498" s="299" t="s">
        <v>122</v>
      </c>
      <c r="E498" s="498"/>
      <c r="F498" s="498"/>
      <c r="G498" s="500"/>
      <c r="H498" s="502"/>
      <c r="I498" s="502"/>
      <c r="J498" s="513"/>
      <c r="K498" s="495"/>
      <c r="L498" s="492"/>
      <c r="M498" s="492"/>
      <c r="N498" s="492"/>
    </row>
    <row r="499" spans="2:14" ht="15" thickBot="1" x14ac:dyDescent="0.4">
      <c r="B499" s="203">
        <v>10</v>
      </c>
      <c r="C499" s="299" t="s">
        <v>64</v>
      </c>
      <c r="D499" s="299" t="s">
        <v>122</v>
      </c>
      <c r="E499" s="498"/>
      <c r="F499" s="498"/>
      <c r="G499" s="500"/>
      <c r="H499" s="502"/>
      <c r="I499" s="502"/>
      <c r="J499" s="510" t="s">
        <v>128</v>
      </c>
      <c r="K499" s="493" t="str">
        <f>IFERROR(VLOOKUP($D399,$Y$9:$AB$10,2,FALSE)/IF($D399="Inhalation",IF($J499="Central Tendency",SUMIFS(#REF!,#REF!,$B395,#REF!,$C399),SUMIFS(#REF!,#REF!,$B395,#REF!,$C399))),"--")</f>
        <v>--</v>
      </c>
      <c r="L499" s="491">
        <f>IFERROR(VLOOKUP($D499,$Y$9:$AB$9,2,FALSE)/IF($D499="Inhalation",IF($J499="Central Tendency",SUMIFS('Inhalation Exposure'!$O$5:$O$164,'Inhalation Exposure'!$B$5:$B$164,$B499,'Inhalation Exposure'!$D$5:$D$164,$C499),SUMIFS('Inhalation Exposure'!$N$5:$N$164,'Inhalation Exposure'!$B$5:$B$164,$B499,'Inhalation Exposure'!$D$5:$D$164,$C499))),"--")</f>
        <v>3.854895104895105</v>
      </c>
      <c r="M499" s="491">
        <f>IFERROR(VLOOKUP($D499,$Y$9:$AB$9,3,FALSE)/IF($D499="Inhalation",IF($J499="Central Tendency",SUMIFS('Inhalation Exposure'!$Q$5:$Q$164,'Inhalation Exposure'!$B$5:$B$164,$B499,'Inhalation Exposure'!$D$5:$D$164,$C499),SUMIFS('Inhalation Exposure'!$P$5:$P$164,'Inhalation Exposure'!$B$5:$B$164,$B499,'Inhalation Exposure'!$D$5:$D$164,$C499))),"--")</f>
        <v>3.9685650887573956</v>
      </c>
      <c r="N499" s="491">
        <f>IFERROR(VLOOKUP($D499,$Y$9:$AB$9,4,FALSE)*IF($D499="Inhalation",IF($J499="Central Tendency",SUMIFS('Inhalation Exposure'!$S$5:$S$164,'Inhalation Exposure'!$B$5:$B$164,$B499,'Inhalation Exposure'!$D$5:$D$164,$C499),SUMIFS('Inhalation Exposure'!$R$5:$R$164,'Inhalation Exposure'!$B$5:$B$164,$B499,'Inhalation Exposure'!$D$5:$D$164,$C499))),"--")</f>
        <v>9.8143074581430738E-4</v>
      </c>
    </row>
    <row r="500" spans="2:14" ht="15" thickBot="1" x14ac:dyDescent="0.4">
      <c r="B500" s="203">
        <v>10</v>
      </c>
      <c r="C500" s="299" t="s">
        <v>64</v>
      </c>
      <c r="D500" s="299" t="s">
        <v>122</v>
      </c>
      <c r="E500" s="498"/>
      <c r="F500" s="498"/>
      <c r="G500" s="500"/>
      <c r="H500" s="502"/>
      <c r="I500" s="503"/>
      <c r="J500" s="511"/>
      <c r="K500" s="495"/>
      <c r="L500" s="497"/>
      <c r="M500" s="492"/>
      <c r="N500" s="492"/>
    </row>
    <row r="501" spans="2:14" ht="15.5" thickTop="1" thickBot="1" x14ac:dyDescent="0.4">
      <c r="B501" s="203">
        <v>10</v>
      </c>
      <c r="C501" s="299" t="s">
        <v>68</v>
      </c>
      <c r="D501" s="299" t="s">
        <v>122</v>
      </c>
      <c r="E501" s="498"/>
      <c r="F501" s="498"/>
      <c r="G501" s="500"/>
      <c r="H501" s="504" t="s">
        <v>68</v>
      </c>
      <c r="I501" s="504" t="s">
        <v>101</v>
      </c>
      <c r="J501" s="504" t="s">
        <v>69</v>
      </c>
      <c r="K501" s="493" t="str">
        <f>IFERROR(VLOOKUP($D401,$Y$9:$AB$10,2,FALSE)/IF($D401="Inhalation",IF($J501="Central Tendency",SUMIFS(#REF!,#REF!,$B397,#REF!,$C401),SUMIFS(#REF!,#REF!,$B397,#REF!,$C401))),"--")</f>
        <v>--</v>
      </c>
      <c r="L501" s="496">
        <f>IFERROR(VLOOKUP($D501,$Y$9:$AB$9,2,FALSE)/IF($D501="Inhalation",IF($J501="Central Tendency",SUMIFS('Inhalation Exposure'!$O$5:$O$164,'Inhalation Exposure'!$B$5:$B$164,$B501,'Inhalation Exposure'!$D$5:$D$164,$C501),SUMIFS('Inhalation Exposure'!$N$5:$N$164,'Inhalation Exposure'!$B$5:$B$164,$B501,'Inhalation Exposure'!$D$5:$D$164,$C501))),"--")</f>
        <v>21.788537549407113</v>
      </c>
      <c r="M501" s="491">
        <f>IFERROR(VLOOKUP($D501,$Y$9:$AB$9,3,FALSE)/IF($D501="Inhalation",IF($J501="Central Tendency",SUMIFS('Inhalation Exposure'!$Q$5:$Q$164,'Inhalation Exposure'!$B$5:$B$164,$B501,'Inhalation Exposure'!$D$5:$D$164,$C501),SUMIFS('Inhalation Exposure'!$P$5:$P$164,'Inhalation Exposure'!$B$5:$B$164,$B501,'Inhalation Exposure'!$D$5:$D$164,$C501))),"--")</f>
        <v>22.43102006688963</v>
      </c>
      <c r="N501" s="491">
        <f>IFERROR(VLOOKUP($D501,$Y$9:$AB$9,4,FALSE)*IF($D501="Inhalation",IF($J501="Central Tendency",SUMIFS('Inhalation Exposure'!$S$5:$S$164,'Inhalation Exposure'!$B$5:$B$164,$B501,'Inhalation Exposure'!$D$5:$D$164,$C501),SUMIFS('Inhalation Exposure'!$R$5:$R$164,'Inhalation Exposure'!$B$5:$B$164,$B501,'Inhalation Exposure'!$D$5:$D$164,$C501))),"--")</f>
        <v>1.3456925418569256E-4</v>
      </c>
    </row>
    <row r="502" spans="2:14" ht="15" thickBot="1" x14ac:dyDescent="0.4">
      <c r="B502" s="203">
        <v>10</v>
      </c>
      <c r="C502" s="299" t="s">
        <v>68</v>
      </c>
      <c r="D502" s="299" t="s">
        <v>122</v>
      </c>
      <c r="E502" s="498"/>
      <c r="F502" s="498"/>
      <c r="G502" s="500"/>
      <c r="H502" s="502"/>
      <c r="I502" s="502"/>
      <c r="J502" s="505"/>
      <c r="K502" s="494"/>
      <c r="L502" s="492"/>
      <c r="M502" s="492"/>
      <c r="N502" s="492"/>
    </row>
    <row r="503" spans="2:14" ht="15" thickBot="1" x14ac:dyDescent="0.4">
      <c r="B503" s="203">
        <v>10</v>
      </c>
      <c r="C503" s="299" t="s">
        <v>68</v>
      </c>
      <c r="D503" s="299" t="s">
        <v>122</v>
      </c>
      <c r="E503" s="498"/>
      <c r="F503" s="498"/>
      <c r="G503" s="500"/>
      <c r="H503" s="502"/>
      <c r="I503" s="502"/>
      <c r="J503" s="506" t="s">
        <v>128</v>
      </c>
      <c r="K503" s="494"/>
      <c r="L503" s="491">
        <f>IFERROR(VLOOKUP($D503,$Y$9:$AB$9,2,FALSE)/IF($D503="Inhalation",IF($J503="Central Tendency",SUMIFS('Inhalation Exposure'!$O$5:$O$164,'Inhalation Exposure'!$B$5:$B$164,$B503,'Inhalation Exposure'!$D$5:$D$164,$C503),SUMIFS('Inhalation Exposure'!$N$5:$N$164,'Inhalation Exposure'!$B$5:$B$164,$B503,'Inhalation Exposure'!$D$5:$D$164,$C503))),"--")</f>
        <v>21.788537549407113</v>
      </c>
      <c r="M503" s="491">
        <f>IFERROR(VLOOKUP($D503,$Y$9:$AB$9,3,FALSE)/IF($D503="Inhalation",IF($J503="Central Tendency",SUMIFS('Inhalation Exposure'!$Q$5:$Q$164,'Inhalation Exposure'!$B$5:$B$164,$B503,'Inhalation Exposure'!$D$5:$D$164,$C503),SUMIFS('Inhalation Exposure'!$P$5:$P$164,'Inhalation Exposure'!$B$5:$B$164,$B503,'Inhalation Exposure'!$D$5:$D$164,$C503))),"--")</f>
        <v>22.431020066889634</v>
      </c>
      <c r="N503" s="491">
        <f>IFERROR(VLOOKUP($D503,$Y$9:$AB$9,4,FALSE)*IF($D503="Inhalation",IF($J503="Central Tendency",SUMIFS('Inhalation Exposure'!$S$5:$S$164,'Inhalation Exposure'!$B$5:$B$164,$B503,'Inhalation Exposure'!$D$5:$D$164,$C503),SUMIFS('Inhalation Exposure'!$R$5:$R$164,'Inhalation Exposure'!$B$5:$B$164,$B503,'Inhalation Exposure'!$D$5:$D$164,$C503))),"--")</f>
        <v>1.7363774733637747E-4</v>
      </c>
    </row>
    <row r="504" spans="2:14" ht="15" thickBot="1" x14ac:dyDescent="0.4">
      <c r="B504" s="203">
        <v>10</v>
      </c>
      <c r="C504" s="299" t="s">
        <v>68</v>
      </c>
      <c r="D504" s="299" t="s">
        <v>122</v>
      </c>
      <c r="E504" s="499"/>
      <c r="F504" s="499"/>
      <c r="G504" s="501"/>
      <c r="H504" s="505"/>
      <c r="I504" s="505"/>
      <c r="J504" s="505"/>
      <c r="K504" s="495"/>
      <c r="L504" s="497"/>
      <c r="M504" s="492"/>
      <c r="N504" s="492"/>
    </row>
    <row r="505" spans="2:14" x14ac:dyDescent="0.35">
      <c r="E505" s="225"/>
    </row>
    <row r="506" spans="2:14" x14ac:dyDescent="0.35">
      <c r="E506" s="226"/>
    </row>
    <row r="507" spans="2:14" x14ac:dyDescent="0.35">
      <c r="E507" s="226"/>
    </row>
    <row r="508" spans="2:14" x14ac:dyDescent="0.35">
      <c r="E508" s="225"/>
    </row>
  </sheetData>
  <sheetProtection sheet="1" objects="1" scenarios="1" formatCells="0" formatColumns="0" formatRows="0"/>
  <mergeCells count="1416">
    <mergeCell ref="M63:M64"/>
    <mergeCell ref="N63:N64"/>
    <mergeCell ref="M51:M52"/>
    <mergeCell ref="N51:N52"/>
    <mergeCell ref="L53:L54"/>
    <mergeCell ref="M53:M54"/>
    <mergeCell ref="N501:N502"/>
    <mergeCell ref="J503:J504"/>
    <mergeCell ref="L503:L504"/>
    <mergeCell ref="M503:M504"/>
    <mergeCell ref="N503:N504"/>
    <mergeCell ref="M29:M30"/>
    <mergeCell ref="N29:N30"/>
    <mergeCell ref="J31:J32"/>
    <mergeCell ref="K31:K32"/>
    <mergeCell ref="L31:L32"/>
    <mergeCell ref="M31:M32"/>
    <mergeCell ref="N31:N32"/>
    <mergeCell ref="N481:N482"/>
    <mergeCell ref="N483:N484"/>
    <mergeCell ref="J457:J458"/>
    <mergeCell ref="K457:K458"/>
    <mergeCell ref="L457:L458"/>
    <mergeCell ref="M457:M458"/>
    <mergeCell ref="N457:N458"/>
    <mergeCell ref="M495:M496"/>
    <mergeCell ref="N495:N496"/>
    <mergeCell ref="N145:N146"/>
    <mergeCell ref="N147:N148"/>
    <mergeCell ref="J497:J498"/>
    <mergeCell ref="K489:K490"/>
    <mergeCell ref="M489:M490"/>
    <mergeCell ref="K37:K38"/>
    <mergeCell ref="L37:L38"/>
    <mergeCell ref="M37:M38"/>
    <mergeCell ref="N37:N38"/>
    <mergeCell ref="J39:J40"/>
    <mergeCell ref="K39:K40"/>
    <mergeCell ref="L39:L40"/>
    <mergeCell ref="M39:M40"/>
    <mergeCell ref="N39:N40"/>
    <mergeCell ref="I33:I36"/>
    <mergeCell ref="J33:J34"/>
    <mergeCell ref="J35:J36"/>
    <mergeCell ref="M33:M34"/>
    <mergeCell ref="N33:N34"/>
    <mergeCell ref="I45:I48"/>
    <mergeCell ref="J45:J46"/>
    <mergeCell ref="K45:K46"/>
    <mergeCell ref="L45:L46"/>
    <mergeCell ref="J29:J30"/>
    <mergeCell ref="K29:K30"/>
    <mergeCell ref="L29:L30"/>
    <mergeCell ref="K497:K498"/>
    <mergeCell ref="M497:M498"/>
    <mergeCell ref="N497:N498"/>
    <mergeCell ref="J495:J496"/>
    <mergeCell ref="H497:H500"/>
    <mergeCell ref="I497:I500"/>
    <mergeCell ref="L497:L498"/>
    <mergeCell ref="J499:J500"/>
    <mergeCell ref="K499:K500"/>
    <mergeCell ref="L499:L500"/>
    <mergeCell ref="M499:M500"/>
    <mergeCell ref="H45:H48"/>
    <mergeCell ref="M45:M46"/>
    <mergeCell ref="N45:N46"/>
    <mergeCell ref="J47:J48"/>
    <mergeCell ref="K47:K48"/>
    <mergeCell ref="M47:M48"/>
    <mergeCell ref="N47:N48"/>
    <mergeCell ref="L69:L70"/>
    <mergeCell ref="M69:M70"/>
    <mergeCell ref="M49:M50"/>
    <mergeCell ref="N49:N50"/>
    <mergeCell ref="N69:N70"/>
    <mergeCell ref="J71:J72"/>
    <mergeCell ref="K71:K72"/>
    <mergeCell ref="H457:H460"/>
    <mergeCell ref="I457:I460"/>
    <mergeCell ref="I37:I40"/>
    <mergeCell ref="J37:J38"/>
    <mergeCell ref="E145:E152"/>
    <mergeCell ref="G145:G152"/>
    <mergeCell ref="F145:F152"/>
    <mergeCell ref="E481:E488"/>
    <mergeCell ref="F481:F488"/>
    <mergeCell ref="G481:G488"/>
    <mergeCell ref="H481:H484"/>
    <mergeCell ref="I481:I484"/>
    <mergeCell ref="H485:H488"/>
    <mergeCell ref="I485:I488"/>
    <mergeCell ref="J481:J482"/>
    <mergeCell ref="K481:K482"/>
    <mergeCell ref="L481:L482"/>
    <mergeCell ref="M481:M482"/>
    <mergeCell ref="J483:J484"/>
    <mergeCell ref="K483:K484"/>
    <mergeCell ref="L483:L484"/>
    <mergeCell ref="M483:M484"/>
    <mergeCell ref="K425:K426"/>
    <mergeCell ref="K145:K146"/>
    <mergeCell ref="M145:M146"/>
    <mergeCell ref="K147:K148"/>
    <mergeCell ref="M147:M148"/>
    <mergeCell ref="L147:L148"/>
    <mergeCell ref="L145:L146"/>
    <mergeCell ref="H145:H148"/>
    <mergeCell ref="H149:H152"/>
    <mergeCell ref="I149:I152"/>
    <mergeCell ref="J151:J152"/>
    <mergeCell ref="J149:J150"/>
    <mergeCell ref="L149:L150"/>
    <mergeCell ref="M149:M150"/>
    <mergeCell ref="N489:N490"/>
    <mergeCell ref="J491:J492"/>
    <mergeCell ref="K491:K492"/>
    <mergeCell ref="M491:M492"/>
    <mergeCell ref="N491:N492"/>
    <mergeCell ref="J489:J490"/>
    <mergeCell ref="L489:L490"/>
    <mergeCell ref="L491:L492"/>
    <mergeCell ref="H289:H292"/>
    <mergeCell ref="I289:I292"/>
    <mergeCell ref="J427:J428"/>
    <mergeCell ref="J289:J290"/>
    <mergeCell ref="J291:J292"/>
    <mergeCell ref="N299:N300"/>
    <mergeCell ref="H301:H304"/>
    <mergeCell ref="I301:I304"/>
    <mergeCell ref="J459:J460"/>
    <mergeCell ref="K459:K460"/>
    <mergeCell ref="L459:L460"/>
    <mergeCell ref="M459:M460"/>
    <mergeCell ref="N459:N460"/>
    <mergeCell ref="H465:H468"/>
    <mergeCell ref="I465:I468"/>
    <mergeCell ref="K427:K428"/>
    <mergeCell ref="L427:L428"/>
    <mergeCell ref="M427:M428"/>
    <mergeCell ref="N427:N428"/>
    <mergeCell ref="J301:J302"/>
    <mergeCell ref="L301:L302"/>
    <mergeCell ref="L425:L426"/>
    <mergeCell ref="M425:M426"/>
    <mergeCell ref="N425:N426"/>
    <mergeCell ref="T7:W7"/>
    <mergeCell ref="I9:I12"/>
    <mergeCell ref="J9:J10"/>
    <mergeCell ref="K9:K10"/>
    <mergeCell ref="M9:M10"/>
    <mergeCell ref="N9:N10"/>
    <mergeCell ref="J11:J12"/>
    <mergeCell ref="K11:K12"/>
    <mergeCell ref="M11:M12"/>
    <mergeCell ref="N11:N12"/>
    <mergeCell ref="L9:L10"/>
    <mergeCell ref="L11:L12"/>
    <mergeCell ref="J147:J148"/>
    <mergeCell ref="I21:I24"/>
    <mergeCell ref="J21:J22"/>
    <mergeCell ref="J23:J24"/>
    <mergeCell ref="I25:I28"/>
    <mergeCell ref="J25:J26"/>
    <mergeCell ref="J27:J28"/>
    <mergeCell ref="M27:M28"/>
    <mergeCell ref="N27:N28"/>
    <mergeCell ref="M55:M56"/>
    <mergeCell ref="N55:N56"/>
    <mergeCell ref="M61:M62"/>
    <mergeCell ref="N61:N62"/>
    <mergeCell ref="I145:I148"/>
    <mergeCell ref="J145:J146"/>
    <mergeCell ref="L33:L34"/>
    <mergeCell ref="I41:I44"/>
    <mergeCell ref="J41:J42"/>
    <mergeCell ref="J43:J44"/>
    <mergeCell ref="M57:M58"/>
    <mergeCell ref="K4:R4"/>
    <mergeCell ref="B7:B8"/>
    <mergeCell ref="C7:C8"/>
    <mergeCell ref="D7:D8"/>
    <mergeCell ref="E7:E8"/>
    <mergeCell ref="F7:F8"/>
    <mergeCell ref="G7:G8"/>
    <mergeCell ref="H7:H8"/>
    <mergeCell ref="I7:I8"/>
    <mergeCell ref="J7:J8"/>
    <mergeCell ref="K7:N7"/>
    <mergeCell ref="O7:R7"/>
    <mergeCell ref="H9:H12"/>
    <mergeCell ref="H37:H40"/>
    <mergeCell ref="H57:H60"/>
    <mergeCell ref="H73:H76"/>
    <mergeCell ref="H13:H16"/>
    <mergeCell ref="H33:H36"/>
    <mergeCell ref="H41:H44"/>
    <mergeCell ref="H61:H64"/>
    <mergeCell ref="H65:H68"/>
    <mergeCell ref="L17:L18"/>
    <mergeCell ref="M17:M18"/>
    <mergeCell ref="N17:N18"/>
    <mergeCell ref="J19:J20"/>
    <mergeCell ref="K19:K20"/>
    <mergeCell ref="L19:L20"/>
    <mergeCell ref="I13:I16"/>
    <mergeCell ref="J13:J14"/>
    <mergeCell ref="J15:J16"/>
    <mergeCell ref="H21:H24"/>
    <mergeCell ref="H25:H28"/>
    <mergeCell ref="K73:K74"/>
    <mergeCell ref="L73:L74"/>
    <mergeCell ref="H93:H96"/>
    <mergeCell ref="I93:I96"/>
    <mergeCell ref="J93:J94"/>
    <mergeCell ref="L93:L94"/>
    <mergeCell ref="J57:J58"/>
    <mergeCell ref="K57:K58"/>
    <mergeCell ref="L57:L58"/>
    <mergeCell ref="I73:I76"/>
    <mergeCell ref="J73:J74"/>
    <mergeCell ref="J75:J76"/>
    <mergeCell ref="L81:L82"/>
    <mergeCell ref="I69:I72"/>
    <mergeCell ref="J69:J70"/>
    <mergeCell ref="K69:K70"/>
    <mergeCell ref="K75:K76"/>
    <mergeCell ref="L75:L76"/>
    <mergeCell ref="K87:K88"/>
    <mergeCell ref="L87:L88"/>
    <mergeCell ref="E9:E76"/>
    <mergeCell ref="L13:L14"/>
    <mergeCell ref="L15:L16"/>
    <mergeCell ref="M13:M14"/>
    <mergeCell ref="N13:N14"/>
    <mergeCell ref="M15:M16"/>
    <mergeCell ref="N15:N16"/>
    <mergeCell ref="L21:L22"/>
    <mergeCell ref="M21:M22"/>
    <mergeCell ref="N21:N22"/>
    <mergeCell ref="L23:L24"/>
    <mergeCell ref="M23:M24"/>
    <mergeCell ref="N23:N24"/>
    <mergeCell ref="L25:L26"/>
    <mergeCell ref="M25:M26"/>
    <mergeCell ref="N25:N26"/>
    <mergeCell ref="L27:L28"/>
    <mergeCell ref="I17:I20"/>
    <mergeCell ref="J17:J18"/>
    <mergeCell ref="K17:K18"/>
    <mergeCell ref="M19:M20"/>
    <mergeCell ref="N19:N20"/>
    <mergeCell ref="L71:L72"/>
    <mergeCell ref="M71:M72"/>
    <mergeCell ref="N71:N72"/>
    <mergeCell ref="I57:I60"/>
    <mergeCell ref="H49:H52"/>
    <mergeCell ref="I49:I52"/>
    <mergeCell ref="J49:J50"/>
    <mergeCell ref="J51:J52"/>
    <mergeCell ref="J53:J54"/>
    <mergeCell ref="J55:J56"/>
    <mergeCell ref="H17:H20"/>
    <mergeCell ref="L47:L48"/>
    <mergeCell ref="L35:L36"/>
    <mergeCell ref="M35:M36"/>
    <mergeCell ref="N35:N36"/>
    <mergeCell ref="L41:L42"/>
    <mergeCell ref="M41:M42"/>
    <mergeCell ref="N41:N42"/>
    <mergeCell ref="L43:L44"/>
    <mergeCell ref="M43:M44"/>
    <mergeCell ref="N43:N44"/>
    <mergeCell ref="J65:J66"/>
    <mergeCell ref="J67:J68"/>
    <mergeCell ref="N57:N58"/>
    <mergeCell ref="J59:J60"/>
    <mergeCell ref="K59:K60"/>
    <mergeCell ref="L59:L60"/>
    <mergeCell ref="M59:M60"/>
    <mergeCell ref="N59:N60"/>
    <mergeCell ref="I61:I64"/>
    <mergeCell ref="J61:J62"/>
    <mergeCell ref="J63:J64"/>
    <mergeCell ref="I65:I68"/>
    <mergeCell ref="H53:H56"/>
    <mergeCell ref="I53:I56"/>
    <mergeCell ref="L55:L56"/>
    <mergeCell ref="L61:L62"/>
    <mergeCell ref="L63:L64"/>
    <mergeCell ref="L49:L50"/>
    <mergeCell ref="L51:L52"/>
    <mergeCell ref="H29:H32"/>
    <mergeCell ref="I29:I32"/>
    <mergeCell ref="N53:N54"/>
    <mergeCell ref="L65:L66"/>
    <mergeCell ref="M65:M66"/>
    <mergeCell ref="N65:N66"/>
    <mergeCell ref="L67:L68"/>
    <mergeCell ref="M67:M68"/>
    <mergeCell ref="N67:N68"/>
    <mergeCell ref="E77:E144"/>
    <mergeCell ref="F77:F144"/>
    <mergeCell ref="G77:G144"/>
    <mergeCell ref="H77:H80"/>
    <mergeCell ref="I77:I80"/>
    <mergeCell ref="J77:J78"/>
    <mergeCell ref="K77:K78"/>
    <mergeCell ref="L77:L78"/>
    <mergeCell ref="M77:M78"/>
    <mergeCell ref="N77:N78"/>
    <mergeCell ref="J79:J80"/>
    <mergeCell ref="K79:K80"/>
    <mergeCell ref="L79:L80"/>
    <mergeCell ref="M79:M80"/>
    <mergeCell ref="N79:N80"/>
    <mergeCell ref="H81:H84"/>
    <mergeCell ref="I81:I84"/>
    <mergeCell ref="J81:J82"/>
    <mergeCell ref="H69:H72"/>
    <mergeCell ref="M73:M74"/>
    <mergeCell ref="N73:N74"/>
    <mergeCell ref="M75:M76"/>
    <mergeCell ref="N75:N76"/>
    <mergeCell ref="G9:G76"/>
    <mergeCell ref="F9:F76"/>
    <mergeCell ref="M93:M94"/>
    <mergeCell ref="N93:N94"/>
    <mergeCell ref="J95:J96"/>
    <mergeCell ref="L95:L96"/>
    <mergeCell ref="M95:M96"/>
    <mergeCell ref="N95:N96"/>
    <mergeCell ref="H89:H92"/>
    <mergeCell ref="I89:I92"/>
    <mergeCell ref="J89:J90"/>
    <mergeCell ref="L89:L90"/>
    <mergeCell ref="M89:M90"/>
    <mergeCell ref="N89:N90"/>
    <mergeCell ref="J91:J92"/>
    <mergeCell ref="L91:L92"/>
    <mergeCell ref="M91:M92"/>
    <mergeCell ref="N91:N92"/>
    <mergeCell ref="M81:M82"/>
    <mergeCell ref="N81:N82"/>
    <mergeCell ref="J83:J84"/>
    <mergeCell ref="L83:L84"/>
    <mergeCell ref="M83:M84"/>
    <mergeCell ref="N83:N84"/>
    <mergeCell ref="H85:H88"/>
    <mergeCell ref="I85:I88"/>
    <mergeCell ref="J85:J86"/>
    <mergeCell ref="K85:K86"/>
    <mergeCell ref="L85:L86"/>
    <mergeCell ref="M85:M86"/>
    <mergeCell ref="N85:N86"/>
    <mergeCell ref="J87:J88"/>
    <mergeCell ref="M87:M88"/>
    <mergeCell ref="N87:N88"/>
    <mergeCell ref="H101:H104"/>
    <mergeCell ref="I101:I104"/>
    <mergeCell ref="J101:J102"/>
    <mergeCell ref="L101:L102"/>
    <mergeCell ref="M101:M102"/>
    <mergeCell ref="N101:N102"/>
    <mergeCell ref="J103:J104"/>
    <mergeCell ref="L103:L104"/>
    <mergeCell ref="M103:M104"/>
    <mergeCell ref="N103:N104"/>
    <mergeCell ref="H97:H100"/>
    <mergeCell ref="I97:I100"/>
    <mergeCell ref="J97:J98"/>
    <mergeCell ref="K97:K98"/>
    <mergeCell ref="L97:L98"/>
    <mergeCell ref="M97:M98"/>
    <mergeCell ref="N97:N98"/>
    <mergeCell ref="J99:J100"/>
    <mergeCell ref="K99:K100"/>
    <mergeCell ref="L99:L100"/>
    <mergeCell ref="M99:M100"/>
    <mergeCell ref="N99:N100"/>
    <mergeCell ref="H109:H112"/>
    <mergeCell ref="I109:I112"/>
    <mergeCell ref="J109:J110"/>
    <mergeCell ref="L109:L110"/>
    <mergeCell ref="M109:M110"/>
    <mergeCell ref="N109:N110"/>
    <mergeCell ref="J111:J112"/>
    <mergeCell ref="L111:L112"/>
    <mergeCell ref="M111:M112"/>
    <mergeCell ref="N111:N112"/>
    <mergeCell ref="H105:H108"/>
    <mergeCell ref="I105:I108"/>
    <mergeCell ref="J105:J106"/>
    <mergeCell ref="K105:K106"/>
    <mergeCell ref="L105:L106"/>
    <mergeCell ref="M105:M106"/>
    <mergeCell ref="N105:N106"/>
    <mergeCell ref="J107:J108"/>
    <mergeCell ref="K107:K108"/>
    <mergeCell ref="L107:L108"/>
    <mergeCell ref="M107:M108"/>
    <mergeCell ref="N107:N108"/>
    <mergeCell ref="M117:M118"/>
    <mergeCell ref="N117:N118"/>
    <mergeCell ref="J119:J120"/>
    <mergeCell ref="L119:L120"/>
    <mergeCell ref="M119:M120"/>
    <mergeCell ref="N119:N120"/>
    <mergeCell ref="H113:H116"/>
    <mergeCell ref="I113:I116"/>
    <mergeCell ref="J113:J114"/>
    <mergeCell ref="K113:K114"/>
    <mergeCell ref="L113:L114"/>
    <mergeCell ref="M113:M114"/>
    <mergeCell ref="N113:N114"/>
    <mergeCell ref="J115:J116"/>
    <mergeCell ref="K115:K116"/>
    <mergeCell ref="L115:L116"/>
    <mergeCell ref="M115:M116"/>
    <mergeCell ref="N115:N116"/>
    <mergeCell ref="H117:H120"/>
    <mergeCell ref="I117:I120"/>
    <mergeCell ref="J117:J118"/>
    <mergeCell ref="L117:L118"/>
    <mergeCell ref="H125:H128"/>
    <mergeCell ref="I125:I128"/>
    <mergeCell ref="J125:J126"/>
    <mergeCell ref="K125:K126"/>
    <mergeCell ref="L125:L126"/>
    <mergeCell ref="M125:M126"/>
    <mergeCell ref="N125:N126"/>
    <mergeCell ref="J127:J128"/>
    <mergeCell ref="K127:K128"/>
    <mergeCell ref="L127:L128"/>
    <mergeCell ref="M127:M128"/>
    <mergeCell ref="N127:N128"/>
    <mergeCell ref="H121:H124"/>
    <mergeCell ref="I121:I124"/>
    <mergeCell ref="J121:J122"/>
    <mergeCell ref="L121:L122"/>
    <mergeCell ref="M121:M122"/>
    <mergeCell ref="N121:N122"/>
    <mergeCell ref="J123:J124"/>
    <mergeCell ref="L123:L124"/>
    <mergeCell ref="M123:M124"/>
    <mergeCell ref="N123:N124"/>
    <mergeCell ref="H133:H136"/>
    <mergeCell ref="I133:I136"/>
    <mergeCell ref="J133:J134"/>
    <mergeCell ref="L133:L134"/>
    <mergeCell ref="M133:M134"/>
    <mergeCell ref="N133:N134"/>
    <mergeCell ref="J135:J136"/>
    <mergeCell ref="L135:L136"/>
    <mergeCell ref="M135:M136"/>
    <mergeCell ref="N135:N136"/>
    <mergeCell ref="H129:H132"/>
    <mergeCell ref="I129:I132"/>
    <mergeCell ref="J129:J130"/>
    <mergeCell ref="L129:L130"/>
    <mergeCell ref="M129:M130"/>
    <mergeCell ref="N129:N130"/>
    <mergeCell ref="J131:J132"/>
    <mergeCell ref="L131:L132"/>
    <mergeCell ref="M131:M132"/>
    <mergeCell ref="N131:N132"/>
    <mergeCell ref="H141:H144"/>
    <mergeCell ref="I141:I144"/>
    <mergeCell ref="J141:J142"/>
    <mergeCell ref="K141:K142"/>
    <mergeCell ref="L141:L142"/>
    <mergeCell ref="M141:M142"/>
    <mergeCell ref="N141:N142"/>
    <mergeCell ref="J143:J144"/>
    <mergeCell ref="K143:K144"/>
    <mergeCell ref="L143:L144"/>
    <mergeCell ref="M143:M144"/>
    <mergeCell ref="N143:N144"/>
    <mergeCell ref="H137:H140"/>
    <mergeCell ref="I137:I140"/>
    <mergeCell ref="J137:J138"/>
    <mergeCell ref="K137:K138"/>
    <mergeCell ref="L137:L138"/>
    <mergeCell ref="M137:M138"/>
    <mergeCell ref="N137:N138"/>
    <mergeCell ref="J139:J140"/>
    <mergeCell ref="K139:K140"/>
    <mergeCell ref="L139:L140"/>
    <mergeCell ref="M139:M140"/>
    <mergeCell ref="N139:N140"/>
    <mergeCell ref="N149:N150"/>
    <mergeCell ref="L151:L152"/>
    <mergeCell ref="M151:M152"/>
    <mergeCell ref="N151:N152"/>
    <mergeCell ref="E153:E220"/>
    <mergeCell ref="F153:F220"/>
    <mergeCell ref="G153:G220"/>
    <mergeCell ref="H153:H156"/>
    <mergeCell ref="I153:I156"/>
    <mergeCell ref="J153:J154"/>
    <mergeCell ref="K153:K154"/>
    <mergeCell ref="L153:L154"/>
    <mergeCell ref="M153:M154"/>
    <mergeCell ref="N153:N154"/>
    <mergeCell ref="J155:J156"/>
    <mergeCell ref="K155:K156"/>
    <mergeCell ref="L155:L156"/>
    <mergeCell ref="M155:M156"/>
    <mergeCell ref="N155:N156"/>
    <mergeCell ref="H157:H160"/>
    <mergeCell ref="K149:K152"/>
    <mergeCell ref="H161:H164"/>
    <mergeCell ref="I161:I164"/>
    <mergeCell ref="J161:J162"/>
    <mergeCell ref="K161:K162"/>
    <mergeCell ref="L161:L162"/>
    <mergeCell ref="M161:M162"/>
    <mergeCell ref="N161:N162"/>
    <mergeCell ref="J163:J164"/>
    <mergeCell ref="K163:K164"/>
    <mergeCell ref="L163:L164"/>
    <mergeCell ref="M163:M164"/>
    <mergeCell ref="N163:N164"/>
    <mergeCell ref="I157:I160"/>
    <mergeCell ref="J157:J158"/>
    <mergeCell ref="L157:L158"/>
    <mergeCell ref="M157:M158"/>
    <mergeCell ref="N157:N158"/>
    <mergeCell ref="J159:J160"/>
    <mergeCell ref="L159:L160"/>
    <mergeCell ref="M159:M160"/>
    <mergeCell ref="N159:N160"/>
    <mergeCell ref="H169:H172"/>
    <mergeCell ref="I169:I172"/>
    <mergeCell ref="J169:J170"/>
    <mergeCell ref="L169:L170"/>
    <mergeCell ref="M169:M170"/>
    <mergeCell ref="N169:N170"/>
    <mergeCell ref="J171:J172"/>
    <mergeCell ref="L171:L172"/>
    <mergeCell ref="M171:M172"/>
    <mergeCell ref="N171:N172"/>
    <mergeCell ref="H165:H168"/>
    <mergeCell ref="I165:I168"/>
    <mergeCell ref="J165:J166"/>
    <mergeCell ref="L165:L166"/>
    <mergeCell ref="M165:M166"/>
    <mergeCell ref="N165:N166"/>
    <mergeCell ref="J167:J168"/>
    <mergeCell ref="L167:L168"/>
    <mergeCell ref="M167:M168"/>
    <mergeCell ref="N167:N168"/>
    <mergeCell ref="H177:H180"/>
    <mergeCell ref="I177:I180"/>
    <mergeCell ref="J177:J178"/>
    <mergeCell ref="L177:L178"/>
    <mergeCell ref="M177:M178"/>
    <mergeCell ref="N177:N178"/>
    <mergeCell ref="J179:J180"/>
    <mergeCell ref="L179:L180"/>
    <mergeCell ref="M179:M180"/>
    <mergeCell ref="N179:N180"/>
    <mergeCell ref="H173:H176"/>
    <mergeCell ref="I173:I176"/>
    <mergeCell ref="J173:J174"/>
    <mergeCell ref="K173:K174"/>
    <mergeCell ref="L173:L174"/>
    <mergeCell ref="M173:M174"/>
    <mergeCell ref="N173:N174"/>
    <mergeCell ref="J175:J176"/>
    <mergeCell ref="K175:K176"/>
    <mergeCell ref="L175:L176"/>
    <mergeCell ref="M175:M176"/>
    <mergeCell ref="N175:N176"/>
    <mergeCell ref="H185:H188"/>
    <mergeCell ref="I185:I188"/>
    <mergeCell ref="J185:J186"/>
    <mergeCell ref="L185:L186"/>
    <mergeCell ref="M185:M186"/>
    <mergeCell ref="N185:N186"/>
    <mergeCell ref="J187:J188"/>
    <mergeCell ref="L187:L188"/>
    <mergeCell ref="M187:M188"/>
    <mergeCell ref="N187:N188"/>
    <mergeCell ref="H181:H184"/>
    <mergeCell ref="I181:I184"/>
    <mergeCell ref="J181:J182"/>
    <mergeCell ref="K181:K182"/>
    <mergeCell ref="L181:L182"/>
    <mergeCell ref="M181:M182"/>
    <mergeCell ref="N181:N182"/>
    <mergeCell ref="J183:J184"/>
    <mergeCell ref="K183:K184"/>
    <mergeCell ref="L183:L184"/>
    <mergeCell ref="M183:M184"/>
    <mergeCell ref="N183:N184"/>
    <mergeCell ref="H193:H196"/>
    <mergeCell ref="I193:I196"/>
    <mergeCell ref="J193:J194"/>
    <mergeCell ref="L193:L194"/>
    <mergeCell ref="M193:M194"/>
    <mergeCell ref="N193:N194"/>
    <mergeCell ref="J195:J196"/>
    <mergeCell ref="L195:L196"/>
    <mergeCell ref="M195:M196"/>
    <mergeCell ref="N195:N196"/>
    <mergeCell ref="H189:H192"/>
    <mergeCell ref="I189:I192"/>
    <mergeCell ref="J189:J190"/>
    <mergeCell ref="K189:K190"/>
    <mergeCell ref="L189:L190"/>
    <mergeCell ref="M189:M190"/>
    <mergeCell ref="N189:N190"/>
    <mergeCell ref="J191:J192"/>
    <mergeCell ref="K191:K192"/>
    <mergeCell ref="L191:L192"/>
    <mergeCell ref="M191:M192"/>
    <mergeCell ref="N191:N192"/>
    <mergeCell ref="H201:H204"/>
    <mergeCell ref="I201:I204"/>
    <mergeCell ref="J201:J202"/>
    <mergeCell ref="K201:K202"/>
    <mergeCell ref="L201:L202"/>
    <mergeCell ref="M201:M202"/>
    <mergeCell ref="N201:N202"/>
    <mergeCell ref="J203:J204"/>
    <mergeCell ref="K203:K204"/>
    <mergeCell ref="L203:L204"/>
    <mergeCell ref="M203:M204"/>
    <mergeCell ref="N203:N204"/>
    <mergeCell ref="H197:H200"/>
    <mergeCell ref="I197:I200"/>
    <mergeCell ref="J197:J198"/>
    <mergeCell ref="L197:L198"/>
    <mergeCell ref="M197:M198"/>
    <mergeCell ref="N197:N198"/>
    <mergeCell ref="J199:J200"/>
    <mergeCell ref="L199:L200"/>
    <mergeCell ref="M199:M200"/>
    <mergeCell ref="N199:N200"/>
    <mergeCell ref="H209:H212"/>
    <mergeCell ref="I209:I212"/>
    <mergeCell ref="J209:J210"/>
    <mergeCell ref="L209:L210"/>
    <mergeCell ref="M209:M210"/>
    <mergeCell ref="N209:N210"/>
    <mergeCell ref="J211:J212"/>
    <mergeCell ref="L211:L212"/>
    <mergeCell ref="M211:M212"/>
    <mergeCell ref="N211:N212"/>
    <mergeCell ref="H205:H208"/>
    <mergeCell ref="I205:I208"/>
    <mergeCell ref="J205:J206"/>
    <mergeCell ref="L205:L206"/>
    <mergeCell ref="M205:M206"/>
    <mergeCell ref="N205:N206"/>
    <mergeCell ref="J207:J208"/>
    <mergeCell ref="L207:L208"/>
    <mergeCell ref="M207:M208"/>
    <mergeCell ref="N207:N208"/>
    <mergeCell ref="H217:H220"/>
    <mergeCell ref="I217:I220"/>
    <mergeCell ref="J217:J218"/>
    <mergeCell ref="K217:K218"/>
    <mergeCell ref="L217:L218"/>
    <mergeCell ref="M217:M218"/>
    <mergeCell ref="N217:N218"/>
    <mergeCell ref="J219:J220"/>
    <mergeCell ref="K219:K220"/>
    <mergeCell ref="L219:L220"/>
    <mergeCell ref="M219:M220"/>
    <mergeCell ref="N219:N220"/>
    <mergeCell ref="H213:H216"/>
    <mergeCell ref="I213:I216"/>
    <mergeCell ref="J213:J214"/>
    <mergeCell ref="K213:K214"/>
    <mergeCell ref="L213:L214"/>
    <mergeCell ref="M213:M214"/>
    <mergeCell ref="N213:N214"/>
    <mergeCell ref="J215:J216"/>
    <mergeCell ref="K215:K216"/>
    <mergeCell ref="L215:L216"/>
    <mergeCell ref="M215:M216"/>
    <mergeCell ref="N215:N216"/>
    <mergeCell ref="E221:E288"/>
    <mergeCell ref="F221:F288"/>
    <mergeCell ref="G221:G288"/>
    <mergeCell ref="H221:H224"/>
    <mergeCell ref="I221:I224"/>
    <mergeCell ref="J221:J222"/>
    <mergeCell ref="K221:K222"/>
    <mergeCell ref="L221:L222"/>
    <mergeCell ref="M221:M222"/>
    <mergeCell ref="H229:H232"/>
    <mergeCell ref="I229:I232"/>
    <mergeCell ref="J229:J230"/>
    <mergeCell ref="K229:K230"/>
    <mergeCell ref="L229:L230"/>
    <mergeCell ref="M229:M230"/>
    <mergeCell ref="H237:H240"/>
    <mergeCell ref="I237:I240"/>
    <mergeCell ref="J237:J238"/>
    <mergeCell ref="L237:L238"/>
    <mergeCell ref="M237:M238"/>
    <mergeCell ref="H245:H248"/>
    <mergeCell ref="I245:I248"/>
    <mergeCell ref="J245:J246"/>
    <mergeCell ref="L245:L246"/>
    <mergeCell ref="H253:H256"/>
    <mergeCell ref="I253:I256"/>
    <mergeCell ref="J253:J254"/>
    <mergeCell ref="L253:L254"/>
    <mergeCell ref="M253:M254"/>
    <mergeCell ref="H261:H264"/>
    <mergeCell ref="I261:I264"/>
    <mergeCell ref="J261:J262"/>
    <mergeCell ref="N229:N230"/>
    <mergeCell ref="J231:J232"/>
    <mergeCell ref="K231:K232"/>
    <mergeCell ref="L231:L232"/>
    <mergeCell ref="M231:M232"/>
    <mergeCell ref="N231:N232"/>
    <mergeCell ref="H233:H236"/>
    <mergeCell ref="I233:I236"/>
    <mergeCell ref="J233:J234"/>
    <mergeCell ref="L233:L234"/>
    <mergeCell ref="M233:M234"/>
    <mergeCell ref="N233:N234"/>
    <mergeCell ref="J235:J236"/>
    <mergeCell ref="L235:L236"/>
    <mergeCell ref="M235:M236"/>
    <mergeCell ref="N235:N236"/>
    <mergeCell ref="N221:N222"/>
    <mergeCell ref="J223:J224"/>
    <mergeCell ref="K223:K224"/>
    <mergeCell ref="L223:L224"/>
    <mergeCell ref="M223:M224"/>
    <mergeCell ref="N223:N224"/>
    <mergeCell ref="H225:H228"/>
    <mergeCell ref="I225:I228"/>
    <mergeCell ref="J225:J226"/>
    <mergeCell ref="L225:L226"/>
    <mergeCell ref="M225:M226"/>
    <mergeCell ref="N225:N226"/>
    <mergeCell ref="J227:J228"/>
    <mergeCell ref="L227:L228"/>
    <mergeCell ref="M227:M228"/>
    <mergeCell ref="N227:N228"/>
    <mergeCell ref="N237:N238"/>
    <mergeCell ref="J239:J240"/>
    <mergeCell ref="L239:L240"/>
    <mergeCell ref="M239:M240"/>
    <mergeCell ref="N239:N240"/>
    <mergeCell ref="H241:H244"/>
    <mergeCell ref="I241:I244"/>
    <mergeCell ref="J241:J242"/>
    <mergeCell ref="K241:K242"/>
    <mergeCell ref="L241:L242"/>
    <mergeCell ref="M241:M242"/>
    <mergeCell ref="N241:N242"/>
    <mergeCell ref="J243:J244"/>
    <mergeCell ref="K243:K244"/>
    <mergeCell ref="L243:L244"/>
    <mergeCell ref="M243:M244"/>
    <mergeCell ref="N243:N244"/>
    <mergeCell ref="N253:N254"/>
    <mergeCell ref="J255:J256"/>
    <mergeCell ref="L255:L256"/>
    <mergeCell ref="M255:M256"/>
    <mergeCell ref="N255:N256"/>
    <mergeCell ref="M245:M246"/>
    <mergeCell ref="N245:N246"/>
    <mergeCell ref="J247:J248"/>
    <mergeCell ref="L247:L248"/>
    <mergeCell ref="M247:M248"/>
    <mergeCell ref="N247:N248"/>
    <mergeCell ref="H249:H252"/>
    <mergeCell ref="I249:I252"/>
    <mergeCell ref="J249:J250"/>
    <mergeCell ref="K249:K250"/>
    <mergeCell ref="L249:L250"/>
    <mergeCell ref="M249:M250"/>
    <mergeCell ref="N249:N250"/>
    <mergeCell ref="J251:J252"/>
    <mergeCell ref="K251:K252"/>
    <mergeCell ref="L251:L252"/>
    <mergeCell ref="M251:M252"/>
    <mergeCell ref="N251:N252"/>
    <mergeCell ref="L261:L262"/>
    <mergeCell ref="M261:M262"/>
    <mergeCell ref="N261:N262"/>
    <mergeCell ref="J263:J264"/>
    <mergeCell ref="L263:L264"/>
    <mergeCell ref="M263:M264"/>
    <mergeCell ref="N263:N264"/>
    <mergeCell ref="H257:H260"/>
    <mergeCell ref="I257:I260"/>
    <mergeCell ref="J257:J258"/>
    <mergeCell ref="K257:K258"/>
    <mergeCell ref="L257:L258"/>
    <mergeCell ref="M257:M258"/>
    <mergeCell ref="N257:N258"/>
    <mergeCell ref="J259:J260"/>
    <mergeCell ref="K259:K260"/>
    <mergeCell ref="L259:L260"/>
    <mergeCell ref="M259:M260"/>
    <mergeCell ref="N259:N260"/>
    <mergeCell ref="H269:H272"/>
    <mergeCell ref="I269:I272"/>
    <mergeCell ref="J269:J270"/>
    <mergeCell ref="K269:K270"/>
    <mergeCell ref="L269:L270"/>
    <mergeCell ref="M269:M270"/>
    <mergeCell ref="N269:N270"/>
    <mergeCell ref="J271:J272"/>
    <mergeCell ref="K271:K272"/>
    <mergeCell ref="L271:L272"/>
    <mergeCell ref="M271:M272"/>
    <mergeCell ref="N271:N272"/>
    <mergeCell ref="H265:H268"/>
    <mergeCell ref="I265:I268"/>
    <mergeCell ref="J265:J266"/>
    <mergeCell ref="L265:L266"/>
    <mergeCell ref="M265:M266"/>
    <mergeCell ref="N265:N266"/>
    <mergeCell ref="J267:J268"/>
    <mergeCell ref="L267:L268"/>
    <mergeCell ref="M267:M268"/>
    <mergeCell ref="N267:N268"/>
    <mergeCell ref="H277:H280"/>
    <mergeCell ref="I277:I280"/>
    <mergeCell ref="J277:J278"/>
    <mergeCell ref="L277:L278"/>
    <mergeCell ref="M277:M278"/>
    <mergeCell ref="N277:N278"/>
    <mergeCell ref="J279:J280"/>
    <mergeCell ref="L279:L280"/>
    <mergeCell ref="M279:M280"/>
    <mergeCell ref="N279:N280"/>
    <mergeCell ref="H273:H276"/>
    <mergeCell ref="I273:I276"/>
    <mergeCell ref="J273:J274"/>
    <mergeCell ref="L273:L274"/>
    <mergeCell ref="M273:M274"/>
    <mergeCell ref="N273:N274"/>
    <mergeCell ref="J275:J276"/>
    <mergeCell ref="L275:L276"/>
    <mergeCell ref="M275:M276"/>
    <mergeCell ref="N275:N276"/>
    <mergeCell ref="H285:H288"/>
    <mergeCell ref="I285:I288"/>
    <mergeCell ref="J285:J286"/>
    <mergeCell ref="K285:K286"/>
    <mergeCell ref="L285:L286"/>
    <mergeCell ref="M285:M286"/>
    <mergeCell ref="N285:N286"/>
    <mergeCell ref="J287:J288"/>
    <mergeCell ref="K287:K288"/>
    <mergeCell ref="L287:L288"/>
    <mergeCell ref="M287:M288"/>
    <mergeCell ref="N287:N288"/>
    <mergeCell ref="H281:H284"/>
    <mergeCell ref="I281:I284"/>
    <mergeCell ref="J281:J282"/>
    <mergeCell ref="K281:K282"/>
    <mergeCell ref="L281:L282"/>
    <mergeCell ref="M281:M282"/>
    <mergeCell ref="N281:N282"/>
    <mergeCell ref="J283:J284"/>
    <mergeCell ref="K283:K284"/>
    <mergeCell ref="L283:L284"/>
    <mergeCell ref="M283:M284"/>
    <mergeCell ref="N283:N284"/>
    <mergeCell ref="E289:E356"/>
    <mergeCell ref="F289:F356"/>
    <mergeCell ref="G289:G356"/>
    <mergeCell ref="H293:H296"/>
    <mergeCell ref="I293:I296"/>
    <mergeCell ref="J293:J294"/>
    <mergeCell ref="L293:L294"/>
    <mergeCell ref="M293:M294"/>
    <mergeCell ref="N293:N294"/>
    <mergeCell ref="J295:J296"/>
    <mergeCell ref="L295:L296"/>
    <mergeCell ref="M295:M296"/>
    <mergeCell ref="N295:N296"/>
    <mergeCell ref="H297:H300"/>
    <mergeCell ref="I297:I300"/>
    <mergeCell ref="J297:J298"/>
    <mergeCell ref="K297:K298"/>
    <mergeCell ref="L297:L298"/>
    <mergeCell ref="M297:M298"/>
    <mergeCell ref="N297:N298"/>
    <mergeCell ref="J299:J300"/>
    <mergeCell ref="K299:K300"/>
    <mergeCell ref="L299:L300"/>
    <mergeCell ref="M299:M300"/>
    <mergeCell ref="L291:L292"/>
    <mergeCell ref="K289:K290"/>
    <mergeCell ref="M289:M290"/>
    <mergeCell ref="N289:N290"/>
    <mergeCell ref="M291:M292"/>
    <mergeCell ref="L289:L290"/>
    <mergeCell ref="K291:K292"/>
    <mergeCell ref="N291:N292"/>
    <mergeCell ref="M301:M302"/>
    <mergeCell ref="N301:N302"/>
    <mergeCell ref="J303:J304"/>
    <mergeCell ref="L303:L304"/>
    <mergeCell ref="M303:M304"/>
    <mergeCell ref="N303:N304"/>
    <mergeCell ref="H305:H308"/>
    <mergeCell ref="I305:I308"/>
    <mergeCell ref="J305:J306"/>
    <mergeCell ref="L305:L306"/>
    <mergeCell ref="M305:M306"/>
    <mergeCell ref="N305:N306"/>
    <mergeCell ref="J307:J308"/>
    <mergeCell ref="L307:L308"/>
    <mergeCell ref="M307:M308"/>
    <mergeCell ref="N307:N308"/>
    <mergeCell ref="H313:H316"/>
    <mergeCell ref="I313:I316"/>
    <mergeCell ref="J313:J314"/>
    <mergeCell ref="L313:L314"/>
    <mergeCell ref="M313:M314"/>
    <mergeCell ref="N313:N314"/>
    <mergeCell ref="J315:J316"/>
    <mergeCell ref="L315:L316"/>
    <mergeCell ref="M315:M316"/>
    <mergeCell ref="N315:N316"/>
    <mergeCell ref="H309:H312"/>
    <mergeCell ref="I309:I312"/>
    <mergeCell ref="J309:J310"/>
    <mergeCell ref="K309:K310"/>
    <mergeCell ref="L309:L310"/>
    <mergeCell ref="M309:M310"/>
    <mergeCell ref="N309:N310"/>
    <mergeCell ref="J311:J312"/>
    <mergeCell ref="K311:K312"/>
    <mergeCell ref="L311:L312"/>
    <mergeCell ref="M311:M312"/>
    <mergeCell ref="N311:N312"/>
    <mergeCell ref="H321:H324"/>
    <mergeCell ref="I321:I324"/>
    <mergeCell ref="J321:J322"/>
    <mergeCell ref="L321:L322"/>
    <mergeCell ref="M321:M322"/>
    <mergeCell ref="N321:N322"/>
    <mergeCell ref="J323:J324"/>
    <mergeCell ref="L323:L324"/>
    <mergeCell ref="M323:M324"/>
    <mergeCell ref="N323:N324"/>
    <mergeCell ref="H317:H320"/>
    <mergeCell ref="I317:I320"/>
    <mergeCell ref="J317:J318"/>
    <mergeCell ref="K317:K318"/>
    <mergeCell ref="L317:L318"/>
    <mergeCell ref="M317:M318"/>
    <mergeCell ref="N317:N318"/>
    <mergeCell ref="J319:J320"/>
    <mergeCell ref="K319:K320"/>
    <mergeCell ref="L319:L320"/>
    <mergeCell ref="M319:M320"/>
    <mergeCell ref="N319:N320"/>
    <mergeCell ref="H329:H332"/>
    <mergeCell ref="I329:I332"/>
    <mergeCell ref="J329:J330"/>
    <mergeCell ref="L329:L330"/>
    <mergeCell ref="M329:M330"/>
    <mergeCell ref="N329:N330"/>
    <mergeCell ref="J331:J332"/>
    <mergeCell ref="L331:L332"/>
    <mergeCell ref="M331:M332"/>
    <mergeCell ref="N331:N332"/>
    <mergeCell ref="H325:H328"/>
    <mergeCell ref="I325:I328"/>
    <mergeCell ref="J325:J326"/>
    <mergeCell ref="K325:K326"/>
    <mergeCell ref="L325:L326"/>
    <mergeCell ref="M325:M326"/>
    <mergeCell ref="N325:N326"/>
    <mergeCell ref="J327:J328"/>
    <mergeCell ref="K327:K328"/>
    <mergeCell ref="L327:L328"/>
    <mergeCell ref="M327:M328"/>
    <mergeCell ref="N327:N328"/>
    <mergeCell ref="H337:H340"/>
    <mergeCell ref="I337:I340"/>
    <mergeCell ref="J337:J338"/>
    <mergeCell ref="K337:K338"/>
    <mergeCell ref="L337:L338"/>
    <mergeCell ref="M337:M338"/>
    <mergeCell ref="N337:N338"/>
    <mergeCell ref="J339:J340"/>
    <mergeCell ref="K339:K340"/>
    <mergeCell ref="L339:L340"/>
    <mergeCell ref="M339:M340"/>
    <mergeCell ref="N339:N340"/>
    <mergeCell ref="H333:H336"/>
    <mergeCell ref="I333:I336"/>
    <mergeCell ref="J333:J334"/>
    <mergeCell ref="L333:L334"/>
    <mergeCell ref="M333:M334"/>
    <mergeCell ref="N333:N334"/>
    <mergeCell ref="J335:J336"/>
    <mergeCell ref="L335:L336"/>
    <mergeCell ref="M335:M336"/>
    <mergeCell ref="N335:N336"/>
    <mergeCell ref="H345:H348"/>
    <mergeCell ref="I345:I348"/>
    <mergeCell ref="J345:J346"/>
    <mergeCell ref="L345:L346"/>
    <mergeCell ref="M345:M346"/>
    <mergeCell ref="N345:N346"/>
    <mergeCell ref="J347:J348"/>
    <mergeCell ref="L347:L348"/>
    <mergeCell ref="M347:M348"/>
    <mergeCell ref="N347:N348"/>
    <mergeCell ref="H341:H344"/>
    <mergeCell ref="I341:I344"/>
    <mergeCell ref="J341:J342"/>
    <mergeCell ref="L341:L342"/>
    <mergeCell ref="M341:M342"/>
    <mergeCell ref="N341:N342"/>
    <mergeCell ref="J343:J344"/>
    <mergeCell ref="L343:L344"/>
    <mergeCell ref="M343:M344"/>
    <mergeCell ref="N343:N344"/>
    <mergeCell ref="H353:H356"/>
    <mergeCell ref="I353:I356"/>
    <mergeCell ref="J353:J354"/>
    <mergeCell ref="K353:K354"/>
    <mergeCell ref="L353:L354"/>
    <mergeCell ref="M353:M354"/>
    <mergeCell ref="N353:N354"/>
    <mergeCell ref="J355:J356"/>
    <mergeCell ref="K355:K356"/>
    <mergeCell ref="L355:L356"/>
    <mergeCell ref="M355:M356"/>
    <mergeCell ref="N355:N356"/>
    <mergeCell ref="H349:H352"/>
    <mergeCell ref="I349:I352"/>
    <mergeCell ref="J349:J350"/>
    <mergeCell ref="K349:K350"/>
    <mergeCell ref="L349:L350"/>
    <mergeCell ref="M349:M350"/>
    <mergeCell ref="N349:N350"/>
    <mergeCell ref="J351:J352"/>
    <mergeCell ref="K351:K352"/>
    <mergeCell ref="L351:L352"/>
    <mergeCell ref="M351:M352"/>
    <mergeCell ref="N351:N352"/>
    <mergeCell ref="E357:E424"/>
    <mergeCell ref="F357:F424"/>
    <mergeCell ref="G357:G424"/>
    <mergeCell ref="H357:H360"/>
    <mergeCell ref="I357:I360"/>
    <mergeCell ref="J357:J358"/>
    <mergeCell ref="K357:K358"/>
    <mergeCell ref="L357:L358"/>
    <mergeCell ref="M357:M358"/>
    <mergeCell ref="H365:H368"/>
    <mergeCell ref="I365:I368"/>
    <mergeCell ref="J365:J366"/>
    <mergeCell ref="K365:K366"/>
    <mergeCell ref="L365:L366"/>
    <mergeCell ref="M365:M366"/>
    <mergeCell ref="H373:H376"/>
    <mergeCell ref="I373:I376"/>
    <mergeCell ref="J373:J374"/>
    <mergeCell ref="L373:L374"/>
    <mergeCell ref="M373:M374"/>
    <mergeCell ref="H381:H384"/>
    <mergeCell ref="I381:I384"/>
    <mergeCell ref="J381:J382"/>
    <mergeCell ref="L381:L382"/>
    <mergeCell ref="M381:M382"/>
    <mergeCell ref="H393:H396"/>
    <mergeCell ref="I393:I396"/>
    <mergeCell ref="J393:J394"/>
    <mergeCell ref="K393:K394"/>
    <mergeCell ref="L393:L394"/>
    <mergeCell ref="M393:M394"/>
    <mergeCell ref="J399:J400"/>
    <mergeCell ref="N365:N366"/>
    <mergeCell ref="J367:J368"/>
    <mergeCell ref="K367:K368"/>
    <mergeCell ref="L367:L368"/>
    <mergeCell ref="M367:M368"/>
    <mergeCell ref="N367:N368"/>
    <mergeCell ref="H369:H372"/>
    <mergeCell ref="I369:I372"/>
    <mergeCell ref="J369:J370"/>
    <mergeCell ref="L369:L370"/>
    <mergeCell ref="M369:M370"/>
    <mergeCell ref="N369:N370"/>
    <mergeCell ref="J371:J372"/>
    <mergeCell ref="L371:L372"/>
    <mergeCell ref="M371:M372"/>
    <mergeCell ref="N371:N372"/>
    <mergeCell ref="N357:N358"/>
    <mergeCell ref="J359:J360"/>
    <mergeCell ref="K359:K360"/>
    <mergeCell ref="L359:L360"/>
    <mergeCell ref="M359:M360"/>
    <mergeCell ref="N359:N360"/>
    <mergeCell ref="H361:H364"/>
    <mergeCell ref="I361:I364"/>
    <mergeCell ref="J361:J362"/>
    <mergeCell ref="L361:L362"/>
    <mergeCell ref="M361:M362"/>
    <mergeCell ref="N361:N362"/>
    <mergeCell ref="J363:J364"/>
    <mergeCell ref="L363:L364"/>
    <mergeCell ref="M363:M364"/>
    <mergeCell ref="N363:N364"/>
    <mergeCell ref="N373:N374"/>
    <mergeCell ref="J375:J376"/>
    <mergeCell ref="L375:L376"/>
    <mergeCell ref="M375:M376"/>
    <mergeCell ref="N375:N376"/>
    <mergeCell ref="H377:H380"/>
    <mergeCell ref="I377:I380"/>
    <mergeCell ref="J377:J378"/>
    <mergeCell ref="K377:K378"/>
    <mergeCell ref="L377:L378"/>
    <mergeCell ref="M377:M378"/>
    <mergeCell ref="N377:N378"/>
    <mergeCell ref="J379:J380"/>
    <mergeCell ref="K379:K380"/>
    <mergeCell ref="L379:L380"/>
    <mergeCell ref="M379:M380"/>
    <mergeCell ref="N379:N380"/>
    <mergeCell ref="N381:N382"/>
    <mergeCell ref="J383:J384"/>
    <mergeCell ref="L383:L384"/>
    <mergeCell ref="M383:M384"/>
    <mergeCell ref="N383:N384"/>
    <mergeCell ref="H385:H388"/>
    <mergeCell ref="I385:I388"/>
    <mergeCell ref="J385:J386"/>
    <mergeCell ref="K385:K386"/>
    <mergeCell ref="L385:L386"/>
    <mergeCell ref="M385:M386"/>
    <mergeCell ref="N385:N386"/>
    <mergeCell ref="J387:J388"/>
    <mergeCell ref="K387:K388"/>
    <mergeCell ref="L387:L388"/>
    <mergeCell ref="M387:M388"/>
    <mergeCell ref="N387:N388"/>
    <mergeCell ref="N393:N394"/>
    <mergeCell ref="J395:J396"/>
    <mergeCell ref="K395:K396"/>
    <mergeCell ref="L395:L396"/>
    <mergeCell ref="M395:M396"/>
    <mergeCell ref="N395:N396"/>
    <mergeCell ref="H389:H392"/>
    <mergeCell ref="I389:I392"/>
    <mergeCell ref="J389:J390"/>
    <mergeCell ref="L389:L390"/>
    <mergeCell ref="M389:M390"/>
    <mergeCell ref="N389:N390"/>
    <mergeCell ref="J391:J392"/>
    <mergeCell ref="L391:L392"/>
    <mergeCell ref="M391:M392"/>
    <mergeCell ref="N391:N392"/>
    <mergeCell ref="H401:H404"/>
    <mergeCell ref="I401:I404"/>
    <mergeCell ref="J401:J402"/>
    <mergeCell ref="L401:L402"/>
    <mergeCell ref="M401:M402"/>
    <mergeCell ref="N401:N402"/>
    <mergeCell ref="J403:J404"/>
    <mergeCell ref="L403:L404"/>
    <mergeCell ref="M403:M404"/>
    <mergeCell ref="N403:N404"/>
    <mergeCell ref="H397:H400"/>
    <mergeCell ref="I397:I400"/>
    <mergeCell ref="J397:J398"/>
    <mergeCell ref="L397:L398"/>
    <mergeCell ref="M397:M398"/>
    <mergeCell ref="N397:N398"/>
    <mergeCell ref="L399:L400"/>
    <mergeCell ref="M399:M400"/>
    <mergeCell ref="N399:N400"/>
    <mergeCell ref="H409:H412"/>
    <mergeCell ref="I409:I412"/>
    <mergeCell ref="J409:J410"/>
    <mergeCell ref="L409:L410"/>
    <mergeCell ref="M409:M410"/>
    <mergeCell ref="N409:N410"/>
    <mergeCell ref="J411:J412"/>
    <mergeCell ref="L411:L412"/>
    <mergeCell ref="M411:M412"/>
    <mergeCell ref="N411:N412"/>
    <mergeCell ref="H405:H408"/>
    <mergeCell ref="I405:I408"/>
    <mergeCell ref="J405:J406"/>
    <mergeCell ref="K405:K406"/>
    <mergeCell ref="L405:L406"/>
    <mergeCell ref="M405:M406"/>
    <mergeCell ref="N405:N406"/>
    <mergeCell ref="J407:J408"/>
    <mergeCell ref="K407:K408"/>
    <mergeCell ref="L407:L408"/>
    <mergeCell ref="M407:M408"/>
    <mergeCell ref="N407:N408"/>
    <mergeCell ref="H417:H420"/>
    <mergeCell ref="I417:I420"/>
    <mergeCell ref="J417:J418"/>
    <mergeCell ref="K417:K418"/>
    <mergeCell ref="L417:L418"/>
    <mergeCell ref="M417:M418"/>
    <mergeCell ref="N417:N418"/>
    <mergeCell ref="J419:J420"/>
    <mergeCell ref="K419:K420"/>
    <mergeCell ref="L419:L420"/>
    <mergeCell ref="M419:M420"/>
    <mergeCell ref="N419:N420"/>
    <mergeCell ref="H413:H416"/>
    <mergeCell ref="I413:I416"/>
    <mergeCell ref="J413:J414"/>
    <mergeCell ref="L413:L414"/>
    <mergeCell ref="M413:M414"/>
    <mergeCell ref="N413:N414"/>
    <mergeCell ref="J415:J416"/>
    <mergeCell ref="L415:L416"/>
    <mergeCell ref="M415:M416"/>
    <mergeCell ref="N415:N416"/>
    <mergeCell ref="L431:L432"/>
    <mergeCell ref="L429:L430"/>
    <mergeCell ref="M429:M430"/>
    <mergeCell ref="N429:N430"/>
    <mergeCell ref="M431:M432"/>
    <mergeCell ref="N431:N432"/>
    <mergeCell ref="I433:I436"/>
    <mergeCell ref="H421:H424"/>
    <mergeCell ref="I421:I424"/>
    <mergeCell ref="J421:J422"/>
    <mergeCell ref="K421:K422"/>
    <mergeCell ref="L421:L422"/>
    <mergeCell ref="M421:M422"/>
    <mergeCell ref="N421:N422"/>
    <mergeCell ref="J423:J424"/>
    <mergeCell ref="K423:K424"/>
    <mergeCell ref="L423:L424"/>
    <mergeCell ref="M423:M424"/>
    <mergeCell ref="N423:N424"/>
    <mergeCell ref="H425:H428"/>
    <mergeCell ref="I425:I428"/>
    <mergeCell ref="J425:J426"/>
    <mergeCell ref="H429:H432"/>
    <mergeCell ref="I429:I432"/>
    <mergeCell ref="K433:K434"/>
    <mergeCell ref="L433:L434"/>
    <mergeCell ref="M433:M434"/>
    <mergeCell ref="N433:N434"/>
    <mergeCell ref="J435:J436"/>
    <mergeCell ref="K435:K436"/>
    <mergeCell ref="L435:L436"/>
    <mergeCell ref="M435:M436"/>
    <mergeCell ref="E425:E440"/>
    <mergeCell ref="F425:F440"/>
    <mergeCell ref="G425:G440"/>
    <mergeCell ref="E441:E456"/>
    <mergeCell ref="F441:F456"/>
    <mergeCell ref="G441:G456"/>
    <mergeCell ref="H441:H444"/>
    <mergeCell ref="I441:I444"/>
    <mergeCell ref="J441:J442"/>
    <mergeCell ref="H445:H448"/>
    <mergeCell ref="I445:I448"/>
    <mergeCell ref="J445:J446"/>
    <mergeCell ref="H453:H456"/>
    <mergeCell ref="I453:I456"/>
    <mergeCell ref="J453:J454"/>
    <mergeCell ref="I437:I440"/>
    <mergeCell ref="H433:H436"/>
    <mergeCell ref="H437:H440"/>
    <mergeCell ref="J433:J434"/>
    <mergeCell ref="J429:J430"/>
    <mergeCell ref="J431:J432"/>
    <mergeCell ref="H449:H452"/>
    <mergeCell ref="I449:I452"/>
    <mergeCell ref="K441:K442"/>
    <mergeCell ref="L441:L442"/>
    <mergeCell ref="M441:M442"/>
    <mergeCell ref="N441:N442"/>
    <mergeCell ref="J443:J444"/>
    <mergeCell ref="K443:K444"/>
    <mergeCell ref="L443:L444"/>
    <mergeCell ref="M443:M444"/>
    <mergeCell ref="N443:N444"/>
    <mergeCell ref="N435:N436"/>
    <mergeCell ref="J437:J438"/>
    <mergeCell ref="L437:L438"/>
    <mergeCell ref="M437:M438"/>
    <mergeCell ref="N437:N438"/>
    <mergeCell ref="J439:J440"/>
    <mergeCell ref="L439:L440"/>
    <mergeCell ref="M439:M440"/>
    <mergeCell ref="N439:N440"/>
    <mergeCell ref="L453:L454"/>
    <mergeCell ref="M453:M454"/>
    <mergeCell ref="N453:N454"/>
    <mergeCell ref="J455:J456"/>
    <mergeCell ref="L455:L456"/>
    <mergeCell ref="M455:M456"/>
    <mergeCell ref="N455:N456"/>
    <mergeCell ref="J465:J466"/>
    <mergeCell ref="J467:J468"/>
    <mergeCell ref="L465:L466"/>
    <mergeCell ref="M465:M466"/>
    <mergeCell ref="N465:N466"/>
    <mergeCell ref="L467:L468"/>
    <mergeCell ref="M467:M468"/>
    <mergeCell ref="N467:N468"/>
    <mergeCell ref="L445:L446"/>
    <mergeCell ref="M445:M446"/>
    <mergeCell ref="N445:N446"/>
    <mergeCell ref="J447:J448"/>
    <mergeCell ref="L447:L448"/>
    <mergeCell ref="M447:M448"/>
    <mergeCell ref="N447:N448"/>
    <mergeCell ref="J449:J450"/>
    <mergeCell ref="K449:K450"/>
    <mergeCell ref="L449:L450"/>
    <mergeCell ref="M449:M450"/>
    <mergeCell ref="N449:N450"/>
    <mergeCell ref="J451:J452"/>
    <mergeCell ref="K451:K452"/>
    <mergeCell ref="L451:L452"/>
    <mergeCell ref="M451:M452"/>
    <mergeCell ref="N451:N452"/>
    <mergeCell ref="H461:H464"/>
    <mergeCell ref="I461:I464"/>
    <mergeCell ref="J461:J462"/>
    <mergeCell ref="K461:K462"/>
    <mergeCell ref="L461:L462"/>
    <mergeCell ref="M461:M462"/>
    <mergeCell ref="N461:N462"/>
    <mergeCell ref="J463:J464"/>
    <mergeCell ref="K463:K464"/>
    <mergeCell ref="L463:L464"/>
    <mergeCell ref="M463:M464"/>
    <mergeCell ref="N463:N464"/>
    <mergeCell ref="N477:N478"/>
    <mergeCell ref="J479:J480"/>
    <mergeCell ref="L479:L480"/>
    <mergeCell ref="M479:M480"/>
    <mergeCell ref="N479:N480"/>
    <mergeCell ref="F457:F480"/>
    <mergeCell ref="G457:G480"/>
    <mergeCell ref="E457:E480"/>
    <mergeCell ref="N469:N470"/>
    <mergeCell ref="J471:J472"/>
    <mergeCell ref="K471:K472"/>
    <mergeCell ref="L471:L472"/>
    <mergeCell ref="M471:M472"/>
    <mergeCell ref="N471:N472"/>
    <mergeCell ref="H473:H476"/>
    <mergeCell ref="I473:I476"/>
    <mergeCell ref="J473:J474"/>
    <mergeCell ref="K473:K474"/>
    <mergeCell ref="L473:L474"/>
    <mergeCell ref="M473:M474"/>
    <mergeCell ref="N473:N474"/>
    <mergeCell ref="J475:J476"/>
    <mergeCell ref="K475:K476"/>
    <mergeCell ref="L475:L476"/>
    <mergeCell ref="M475:M476"/>
    <mergeCell ref="N475:N476"/>
    <mergeCell ref="H469:H472"/>
    <mergeCell ref="I469:I472"/>
    <mergeCell ref="J469:J470"/>
    <mergeCell ref="K469:K470"/>
    <mergeCell ref="L469:L470"/>
    <mergeCell ref="M469:M470"/>
    <mergeCell ref="H477:H480"/>
    <mergeCell ref="I477:I480"/>
    <mergeCell ref="J477:J478"/>
    <mergeCell ref="L477:L478"/>
    <mergeCell ref="M477:M478"/>
    <mergeCell ref="N499:N500"/>
    <mergeCell ref="K501:K504"/>
    <mergeCell ref="L485:L486"/>
    <mergeCell ref="M485:M486"/>
    <mergeCell ref="N485:N486"/>
    <mergeCell ref="L487:L488"/>
    <mergeCell ref="M487:M488"/>
    <mergeCell ref="N487:N488"/>
    <mergeCell ref="E489:E496"/>
    <mergeCell ref="F489:F496"/>
    <mergeCell ref="G489:G496"/>
    <mergeCell ref="H489:H492"/>
    <mergeCell ref="I489:I492"/>
    <mergeCell ref="H493:H496"/>
    <mergeCell ref="I493:I496"/>
    <mergeCell ref="J493:J494"/>
    <mergeCell ref="K493:K496"/>
    <mergeCell ref="L493:L494"/>
    <mergeCell ref="M493:M494"/>
    <mergeCell ref="N493:N494"/>
    <mergeCell ref="L495:L496"/>
    <mergeCell ref="J485:J486"/>
    <mergeCell ref="J487:J488"/>
    <mergeCell ref="K485:K488"/>
    <mergeCell ref="H501:H504"/>
    <mergeCell ref="I501:I504"/>
    <mergeCell ref="J501:J502"/>
    <mergeCell ref="L501:L502"/>
    <mergeCell ref="M501:M502"/>
    <mergeCell ref="E497:E504"/>
    <mergeCell ref="F497:F504"/>
    <mergeCell ref="G497:G504"/>
  </mergeCells>
  <conditionalFormatting sqref="K9:K504">
    <cfRule type="expression" dxfId="114" priority="207">
      <formula>K9&lt;$K$5</formula>
    </cfRule>
  </conditionalFormatting>
  <conditionalFormatting sqref="K13:N16 K17:K504 L21:N24 L29:N32 L37:N40 L45:N48 L53:N56 L61:N64 L69:N72 L77:N80 L85:N88 L93:N96 L101:N104 L109:N112 L117:N120 L125:N128 L133:N136 L141:N144 L149:N152 L157:N160 L165:N168 L173:N176 L181:N184 L189:N192 L197:N200 L205:N208 L213:N216 L221:N224 L229:N232 L237:N240 L245:N248 L253:N256 L261:N264 L269:N272 L277:N280 L285:N288 L293:N296 L301:N304 L309:N312 L317:N320 L325:N328 L333:N336 L341:N344 L349:N352 L357:N360 L365:N368 L373:N376 L381:N384 L389:N392 L397:N400 L405:N408 L413:N416 L421:N424 L429:N432 L437:N440 L445:N448 L453:N456 L461:N464 L469:N472 L477:N480 L485:N488 L493:N496 L501:N504">
    <cfRule type="cellIs" dxfId="113" priority="5" operator="greaterThanOrEqual">
      <formula>10</formula>
    </cfRule>
    <cfRule type="cellIs" dxfId="112" priority="6" operator="between">
      <formula>1</formula>
      <formula>10</formula>
    </cfRule>
    <cfRule type="cellIs" dxfId="111" priority="7" operator="between">
      <formula>0.1</formula>
      <formula>0.999</formula>
    </cfRule>
  </conditionalFormatting>
  <conditionalFormatting sqref="K13:N504">
    <cfRule type="cellIs" dxfId="110" priority="8" operator="lessThan">
      <formula>0.1</formula>
    </cfRule>
    <cfRule type="cellIs" dxfId="109" priority="4" operator="greaterThanOrEqual">
      <formula>10000</formula>
    </cfRule>
  </conditionalFormatting>
  <conditionalFormatting sqref="K9:R12 M11:N16 M19:N24 M27:N32 M35:N40 M43:N48 M51:N56 M59:N64 M67:N72 M75:N80 M83:N88 M91:N96 M99:N104 M107:N112 M115:N120 M123:N128 M131:N136 M139:N144 M147:N152 M155:N160 M163:N168 M171:N176 M179:N184 M187:N192 M195:N200 M203:N208 M211:N216 M219:N224 M227:N232 M235:N240 M243:N248 M251:N256 M259:N264 M267:N272 M275:N280 M283:N288 M291:N296 M299:N304 M307:N312 M315:N320 M323:N328 M331:N336 M339:N344 M347:N352 M355:N360 M363:N368 M371:N376 M379:N384 M387:N392 M395:N400 M403:N408 M411:N416 M419:N424 M427:N432 M435:N440 M443:N448 M451:N456 M459:N464 M467:N472 M475:N480 M483:N488 M491:N496 M499:N504 O13:R110">
    <cfRule type="cellIs" dxfId="108" priority="70" operator="lessThan">
      <formula>0.1</formula>
    </cfRule>
  </conditionalFormatting>
  <conditionalFormatting sqref="K9:R12 M11:N16 O13:R110 L17:N20 M19:N24 L25:N28 M27:N32 L33:N36 M35:N40 L41:N44 M43:N48 L49:N52 M51:N56 L57:N60 M59:N64 L65:N68 M67:N72 L73:N76 M75:N80 L81:N84 M83:N88 L89:N92 M91:N96 L97:N100 M99:N104 L105:N108 M107:N112 L113:N116 M115:N120 L121:N124 M123:N128 L129:N132 M131:N136 L137:N140 M139:N144 L145:N148 M147:N152 L153:N156 M155:N160 L161:N164 M163:N168 L169:N172 M171:N176 L177:N180 M179:N184 L185:N188 M187:N192 L193:N196 M195:N200 L201:N204 M203:N208 L209:N212 M211:N216 L217:N220 M219:N224 L225:N228 M227:N232 L233:N236 M235:N240 L241:N244 M243:N248 L249:N252 M251:N256 L257:N260 M259:N264 L265:N268 M267:N272 L273:N276 M275:N280 L281:N284 M283:N288 L289:N292 M291:N296 L297:N300 M299:N304 L305:N308 M307:N312 L313:N316 M315:N320 L321:N324 M323:N328 L329:N332 M331:N336 L337:N340 M339:N344 L345:N348 M347:N352 L353:N356 M355:N360 L361:N364 M363:N368 L369:N372 M371:N376 L377:N380 M379:N384 L385:N388 M387:N392 L393:N396 M395:N400 L401:N404 M403:N408 L409:N412 M411:N416 L417:N420 M419:N424 L425:N428 M427:N432 L433:N436 M435:N440 L441:N444 M443:N448 L449:N452 M451:N456 L457:N460 M459:N464 L465:N468 M467:N472 L473:N476 M475:N480 L481:N484 M483:N488 L489:N492 M491:N496 L497:N500 M499:N504">
    <cfRule type="cellIs" dxfId="107" priority="69" operator="between">
      <formula>0.1</formula>
      <formula>0.999</formula>
    </cfRule>
    <cfRule type="cellIs" dxfId="106" priority="68" operator="between">
      <formula>1</formula>
      <formula>10</formula>
    </cfRule>
    <cfRule type="cellIs" dxfId="105" priority="67" operator="greaterThanOrEqual">
      <formula>10</formula>
    </cfRule>
  </conditionalFormatting>
  <conditionalFormatting sqref="L9:L504">
    <cfRule type="expression" dxfId="104" priority="109">
      <formula>L9&lt;$L$5</formula>
    </cfRule>
  </conditionalFormatting>
  <conditionalFormatting sqref="L9:N504">
    <cfRule type="cellIs" dxfId="103" priority="1" operator="equal">
      <formula>0</formula>
    </cfRule>
  </conditionalFormatting>
  <conditionalFormatting sqref="M9:M504">
    <cfRule type="expression" dxfId="102" priority="71">
      <formula>M9&lt;$M$5</formula>
    </cfRule>
  </conditionalFormatting>
  <conditionalFormatting sqref="M11:N16 M19:N24 M27:N32 M35:N40 M43:N48 M51:N56 M59:N64 M67:N72 M75:N80 M83:N88 M91:N96 M99:N104 M107:N112 M115:N120 M123:N128 M131:N136 M139:N144 M147:N152 M155:N160 M163:N168 M171:N176 M179:N184 M187:N192 M195:N200 M203:N208 M211:N216 M219:N224 M227:N232 M235:N240 M243:N248 M251:N256 M259:N264 M267:N272 M275:N280 M283:N288 M291:N296 M299:N304 M307:N312 M315:N320 M323:N328 M331:N336 M339:N344 M347:N352 M355:N360 M363:N368 M371:N376 M379:N384 M387:N392 M395:N400 M403:N408 M411:N416 M419:N424 M427:N432 M435:N440 M443:N448 M451:N456 M459:N464 M467:N472 M475:N480 M483:N488 M491:N496 M499:N504 K9:R12 O13:R110">
    <cfRule type="cellIs" dxfId="101" priority="66" operator="greaterThanOrEqual">
      <formula>10000</formula>
    </cfRule>
  </conditionalFormatting>
  <conditionalFormatting sqref="N9:N504">
    <cfRule type="expression" dxfId="100" priority="209">
      <formula>N9&gt;$N$5</formula>
    </cfRule>
  </conditionalFormatting>
  <conditionalFormatting sqref="O9:Q9 O11:Q11 O15:Q15 O19:Q19 O23:Q23 O27:Q27 O31:Q31 O35:Q35 O45:Q45 O47:Q47 O51:Q51 O53:Q53 O59:Q59 O65:Q65 O71:Q71 O75:Q75 O77:Q77 O81:Q81 O83:Q83 O89:Q89 O95:Q95 O101:Q101 O105:Q105 O107:Q107">
    <cfRule type="expression" dxfId="99" priority="210">
      <formula>O9&lt;#REF!</formula>
    </cfRule>
  </conditionalFormatting>
  <conditionalFormatting sqref="O13:Q13">
    <cfRule type="expression" dxfId="98" priority="39">
      <formula>O13&lt;#REF!</formula>
    </cfRule>
  </conditionalFormatting>
  <conditionalFormatting sqref="O17:Q17">
    <cfRule type="expression" dxfId="97" priority="36">
      <formula>O17&lt;#REF!</formula>
    </cfRule>
  </conditionalFormatting>
  <conditionalFormatting sqref="O21:Q21">
    <cfRule type="expression" dxfId="96" priority="33">
      <formula>O21&lt;#REF!</formula>
    </cfRule>
  </conditionalFormatting>
  <conditionalFormatting sqref="O25:Q25">
    <cfRule type="expression" dxfId="95" priority="30">
      <formula>O25&lt;#REF!</formula>
    </cfRule>
  </conditionalFormatting>
  <conditionalFormatting sqref="O29:Q29">
    <cfRule type="expression" dxfId="94" priority="27">
      <formula>O29&lt;#REF!</formula>
    </cfRule>
  </conditionalFormatting>
  <conditionalFormatting sqref="O33:Q33">
    <cfRule type="expression" dxfId="93" priority="24">
      <formula>O33&lt;#REF!</formula>
    </cfRule>
  </conditionalFormatting>
  <conditionalFormatting sqref="O57:Q57">
    <cfRule type="expression" dxfId="92" priority="60">
      <formula>O57&lt;#REF!</formula>
    </cfRule>
  </conditionalFormatting>
  <conditionalFormatting sqref="O63:Q63">
    <cfRule type="expression" dxfId="91" priority="57">
      <formula>O63&lt;#REF!</formula>
    </cfRule>
  </conditionalFormatting>
  <conditionalFormatting sqref="O69:Q69">
    <cfRule type="expression" dxfId="90" priority="54">
      <formula>O69&lt;#REF!</formula>
    </cfRule>
  </conditionalFormatting>
  <conditionalFormatting sqref="O87:Q87">
    <cfRule type="expression" dxfId="89" priority="45">
      <formula>O87&lt;#REF!</formula>
    </cfRule>
  </conditionalFormatting>
  <conditionalFormatting sqref="O93:Q93">
    <cfRule type="expression" dxfId="88" priority="42">
      <formula>O93&lt;#REF!</formula>
    </cfRule>
  </conditionalFormatting>
  <conditionalFormatting sqref="O99:Q99">
    <cfRule type="expression" dxfId="87" priority="48">
      <formula>O99&lt;#REF!</formula>
    </cfRule>
  </conditionalFormatting>
  <conditionalFormatting sqref="P9:Q9 P11:Q11 P15:Q15 P19:Q19 P23:Q23 P27:Q27 P31:Q31 P35:Q35 P45:Q45 P47:Q47 P51:Q51 P53:Q53 P59:Q59 P65:Q65 P71:Q71 P75:Q75 P77:Q77 P81:Q81 P83:Q83 P89:Q89 P95:Q95 P101:Q101 P105:Q105 P107:Q107">
    <cfRule type="expression" dxfId="86" priority="211">
      <formula>P9&lt;#REF!</formula>
    </cfRule>
  </conditionalFormatting>
  <conditionalFormatting sqref="R9 R11 R15 R19 R23 R27 R31 R35 R45 R47 R51 R53 R59 R65 R71 R75 R77 R81 R83 R89 R95 R101 R105 R107">
    <cfRule type="expression" dxfId="85" priority="212">
      <formula>R9&gt;#REF!</formula>
    </cfRule>
  </conditionalFormatting>
  <conditionalFormatting sqref="R13">
    <cfRule type="expression" dxfId="84" priority="41">
      <formula>R13&gt;#REF!</formula>
    </cfRule>
  </conditionalFormatting>
  <conditionalFormatting sqref="R17">
    <cfRule type="expression" dxfId="83" priority="38">
      <formula>R17&gt;#REF!</formula>
    </cfRule>
  </conditionalFormatting>
  <conditionalFormatting sqref="R21">
    <cfRule type="expression" dxfId="82" priority="35">
      <formula>R21&gt;#REF!</formula>
    </cfRule>
  </conditionalFormatting>
  <conditionalFormatting sqref="R25">
    <cfRule type="expression" dxfId="81" priority="32">
      <formula>R25&gt;#REF!</formula>
    </cfRule>
  </conditionalFormatting>
  <conditionalFormatting sqref="R29">
    <cfRule type="expression" dxfId="80" priority="29">
      <formula>R29&gt;#REF!</formula>
    </cfRule>
  </conditionalFormatting>
  <conditionalFormatting sqref="R33">
    <cfRule type="expression" dxfId="79" priority="26">
      <formula>R33&gt;#REF!</formula>
    </cfRule>
  </conditionalFormatting>
  <conditionalFormatting sqref="R57">
    <cfRule type="expression" dxfId="78" priority="62">
      <formula>R57&gt;#REF!</formula>
    </cfRule>
  </conditionalFormatting>
  <conditionalFormatting sqref="R63">
    <cfRule type="expression" dxfId="77" priority="59">
      <formula>R63&gt;#REF!</formula>
    </cfRule>
  </conditionalFormatting>
  <conditionalFormatting sqref="R69">
    <cfRule type="expression" dxfId="76" priority="56">
      <formula>R69&gt;#REF!</formula>
    </cfRule>
  </conditionalFormatting>
  <conditionalFormatting sqref="R87">
    <cfRule type="expression" dxfId="75" priority="47">
      <formula>R87&gt;#REF!</formula>
    </cfRule>
  </conditionalFormatting>
  <conditionalFormatting sqref="R93">
    <cfRule type="expression" dxfId="74" priority="44">
      <formula>R93&gt;#REF!</formula>
    </cfRule>
  </conditionalFormatting>
  <conditionalFormatting sqref="R99">
    <cfRule type="expression" dxfId="73" priority="50">
      <formula>R99&gt;#REF!</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53F590B-A07D-4623-BF0D-F103D0FBB70E}">
          <x14:formula1>
            <xm:f>'List Values'!$E$17:$E$19</xm:f>
          </x14:formula1>
          <xm:sqref>T107:W107 T105:W105 T83:W83 T81:W81 T77:W77 T75:W75 T47:W47 T45:W45 T53:W53 T51:W51 T11:W11 T9:W9 T59:W59 T57:W57 T65:W65 T63:W63 T71:W71 T69:W69 T101:W101 T99:W99 T89:W89 T87:W87 T95:W95 T93:W93 T15:W15 T13:W13 T19:W19 T17:W17 T23:W23 T21:W21 T27:W27 T25:W25 T31:W31 T29:W29 T35:W35 T33:W33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D8A6-1677-465E-88B2-1343E7284108}">
  <sheetPr>
    <tabColor rgb="FF92D050"/>
  </sheetPr>
  <dimension ref="A1:AA64"/>
  <sheetViews>
    <sheetView zoomScale="70" zoomScaleNormal="70" workbookViewId="0">
      <selection activeCell="I2" sqref="I2"/>
    </sheetView>
  </sheetViews>
  <sheetFormatPr defaultColWidth="8.81640625" defaultRowHeight="13" x14ac:dyDescent="0.35"/>
  <cols>
    <col min="1" max="1" width="2.26953125" style="85" customWidth="1"/>
    <col min="2" max="2" width="4.81640625" style="86" bestFit="1" customWidth="1"/>
    <col min="3" max="3" width="11.7265625" style="60" customWidth="1"/>
    <col min="4" max="4" width="14.26953125" style="87" customWidth="1"/>
    <col min="5" max="5" width="22.1796875" style="60" customWidth="1"/>
    <col min="6" max="6" width="18.54296875" style="60" customWidth="1"/>
    <col min="7" max="7" width="2.7265625" style="85" customWidth="1"/>
    <col min="8" max="8" width="21.7265625" style="85" customWidth="1"/>
    <col min="9" max="9" width="20" style="85" customWidth="1"/>
    <col min="10" max="10" width="20.7265625" style="85" customWidth="1"/>
    <col min="11" max="13" width="14" style="85" customWidth="1"/>
    <col min="14" max="14" width="16.1796875" style="85" customWidth="1"/>
    <col min="15" max="16" width="14" style="85" customWidth="1"/>
    <col min="17" max="17" width="2.54296875" style="85" customWidth="1"/>
    <col min="18" max="18" width="23.453125" style="85" customWidth="1"/>
    <col min="19" max="19" width="16.81640625" style="85" customWidth="1"/>
    <col min="20" max="20" width="21.26953125" style="85" customWidth="1"/>
    <col min="21" max="21" width="18.26953125" style="85" customWidth="1"/>
    <col min="22" max="22" width="14" style="85" customWidth="1"/>
    <col min="23" max="25" width="12.1796875" style="85" customWidth="1"/>
    <col min="26" max="27" width="11.1796875" style="85" customWidth="1"/>
    <col min="28" max="16384" width="8.81640625" style="85"/>
  </cols>
  <sheetData>
    <row r="1" spans="1:25" ht="13.5" thickBot="1" x14ac:dyDescent="0.4">
      <c r="E1" s="105"/>
    </row>
    <row r="2" spans="1:25" s="25" customFormat="1" ht="27.75" customHeight="1" thickBot="1" x14ac:dyDescent="0.4">
      <c r="B2" s="433"/>
      <c r="C2" s="57"/>
      <c r="D2" s="57"/>
      <c r="E2" s="57"/>
      <c r="F2" s="57"/>
      <c r="H2" s="88" t="s">
        <v>43</v>
      </c>
      <c r="I2" s="139" t="s">
        <v>285</v>
      </c>
      <c r="J2" s="140"/>
      <c r="L2" s="89"/>
      <c r="R2" s="361"/>
    </row>
    <row r="3" spans="1:25" s="25" customFormat="1" ht="26" x14ac:dyDescent="0.35">
      <c r="B3" s="433"/>
      <c r="C3" s="57"/>
      <c r="D3" s="57"/>
      <c r="E3" s="57"/>
      <c r="F3" s="57"/>
      <c r="H3" s="90" t="s">
        <v>44</v>
      </c>
      <c r="I3" s="576" t="s">
        <v>286</v>
      </c>
      <c r="J3" s="577"/>
      <c r="R3" s="413"/>
    </row>
    <row r="4" spans="1:25" s="25" customFormat="1" ht="26" x14ac:dyDescent="0.35">
      <c r="B4" s="433"/>
      <c r="C4" s="57"/>
      <c r="D4" s="57"/>
      <c r="E4" s="57"/>
      <c r="F4" s="57"/>
      <c r="H4" s="421" t="s">
        <v>268</v>
      </c>
      <c r="I4" s="578" t="s">
        <v>64</v>
      </c>
      <c r="J4" s="579"/>
      <c r="R4" s="26"/>
    </row>
    <row r="5" spans="1:25" s="25" customFormat="1" ht="23.25" customHeight="1" x14ac:dyDescent="0.35">
      <c r="A5" s="91"/>
      <c r="B5" s="433"/>
      <c r="C5" s="57"/>
      <c r="D5" s="57"/>
      <c r="E5" s="57"/>
      <c r="F5" s="57"/>
      <c r="J5" s="57"/>
      <c r="K5" s="57"/>
      <c r="L5" s="92"/>
      <c r="M5" s="92"/>
      <c r="R5" s="60"/>
      <c r="S5" s="93"/>
    </row>
    <row r="6" spans="1:25" s="25" customFormat="1" x14ac:dyDescent="0.35">
      <c r="B6" s="433"/>
      <c r="C6" s="57"/>
      <c r="D6" s="57"/>
      <c r="E6" s="57"/>
      <c r="F6" s="57"/>
      <c r="H6" s="93" t="s">
        <v>46</v>
      </c>
      <c r="I6" s="433"/>
      <c r="J6" s="57"/>
      <c r="K6" s="57"/>
      <c r="L6" s="57"/>
      <c r="M6" s="57"/>
      <c r="R6" s="93"/>
      <c r="S6" s="93" t="s">
        <v>47</v>
      </c>
      <c r="T6" s="60"/>
      <c r="U6" s="57"/>
    </row>
    <row r="7" spans="1:25" ht="13.5" thickBot="1" x14ac:dyDescent="0.4">
      <c r="H7" s="94" t="s">
        <v>48</v>
      </c>
      <c r="I7" s="86"/>
      <c r="L7" s="57"/>
      <c r="M7" s="57"/>
      <c r="R7" s="94"/>
      <c r="S7" s="94" t="s">
        <v>48</v>
      </c>
      <c r="T7" s="60"/>
      <c r="U7" s="57"/>
    </row>
    <row r="8" spans="1:25" ht="39" x14ac:dyDescent="0.35">
      <c r="H8" s="567" t="s">
        <v>49</v>
      </c>
      <c r="I8" s="467" t="s">
        <v>50</v>
      </c>
      <c r="J8" s="476" t="s">
        <v>51</v>
      </c>
      <c r="K8" s="415" t="s">
        <v>52</v>
      </c>
      <c r="L8" s="415" t="s">
        <v>54</v>
      </c>
      <c r="M8" s="415" t="s">
        <v>55</v>
      </c>
      <c r="N8" s="414" t="s">
        <v>56</v>
      </c>
      <c r="S8" s="567" t="s">
        <v>49</v>
      </c>
      <c r="T8" s="467" t="s">
        <v>50</v>
      </c>
      <c r="U8" s="476" t="s">
        <v>51</v>
      </c>
      <c r="V8" s="415" t="s">
        <v>57</v>
      </c>
      <c r="W8" s="415" t="s">
        <v>54</v>
      </c>
      <c r="X8" s="415" t="s">
        <v>55</v>
      </c>
      <c r="Y8" s="414" t="s">
        <v>56</v>
      </c>
    </row>
    <row r="9" spans="1:25" ht="40.5" customHeight="1" thickBot="1" x14ac:dyDescent="0.4">
      <c r="H9" s="568"/>
      <c r="I9" s="570"/>
      <c r="J9" s="477"/>
      <c r="K9" s="422" t="s">
        <v>287</v>
      </c>
      <c r="L9" s="422" t="s">
        <v>288</v>
      </c>
      <c r="M9" s="422" t="s">
        <v>288</v>
      </c>
      <c r="N9" s="432" t="s">
        <v>289</v>
      </c>
      <c r="S9" s="568"/>
      <c r="T9" s="570"/>
      <c r="U9" s="477"/>
      <c r="V9" s="422" t="s">
        <v>290</v>
      </c>
      <c r="W9" s="422" t="s">
        <v>288</v>
      </c>
      <c r="X9" s="422" t="s">
        <v>288</v>
      </c>
      <c r="Y9" s="432" t="s">
        <v>289</v>
      </c>
    </row>
    <row r="10" spans="1:25" x14ac:dyDescent="0.3">
      <c r="H10" s="257" t="s">
        <v>64</v>
      </c>
      <c r="I10" s="436" t="s">
        <v>65</v>
      </c>
      <c r="J10" s="582" t="s">
        <v>66</v>
      </c>
      <c r="K10" s="386">
        <f>SUMIFS('Inhalation Exposure'!$H:$H,'Inhalation Exposure'!$C:$C,$H$4,'Inhalation Exposure'!$D:$D,$H10, 'Inhalation Exposure'!$E:$E, $I10)</f>
        <v>0.28849999999999992</v>
      </c>
      <c r="L10" s="386">
        <f>SUMIFS('Inhalation Exposure'!$N:$N,'Inhalation Exposure'!$C:$C,$H$4,'Inhalation Exposure'!$D:$D,$H10, 'Inhalation Exposure'!$E:$E, $I10)</f>
        <v>0.14392290249433104</v>
      </c>
      <c r="M10" s="386">
        <f>SUMIFS('Inhalation Exposure'!$P:$P,'Inhalation Exposure'!$C:$C,$H$4,'Inhalation Exposure'!$D:$D,$H10, 'Inhalation Exposure'!$E:$E, $I10)</f>
        <v>0.13980057776535268</v>
      </c>
      <c r="N10" s="386">
        <f>SUMIFS('Inhalation Exposure'!$R:$R,'Inhalation Exposure'!$C:$C,$H$4,'Inhalation Exposure'!$D:$D,$H10, 'Inhalation Exposure'!$E:$E, $I10)</f>
        <v>3.512937595129375E-2</v>
      </c>
      <c r="S10" s="257" t="s">
        <v>64</v>
      </c>
      <c r="T10" s="436" t="s">
        <v>67</v>
      </c>
      <c r="U10" s="589" t="s">
        <v>66</v>
      </c>
      <c r="V10" s="386">
        <f>SUMIFS('Inhalation Exposure'!$H:$H,'Inhalation Exposure'!$C:$C,$H$4,'Inhalation Exposure'!$D:$D,$S10, 'Inhalation Exposure'!$E:$E, $T10)</f>
        <v>0.28890000000000005</v>
      </c>
      <c r="W10" s="386">
        <f>SUMIFS('Inhalation Exposure'!$N:$N,'Inhalation Exposure'!$C:$C,$H$4,'Inhalation Exposure'!$D:$D,$S10, 'Inhalation Exposure'!$E:$E, $T10)</f>
        <v>0.21618367346938777</v>
      </c>
      <c r="X10" s="386">
        <f>SUMIFS('Inhalation Exposure'!$P:$P,'Inhalation Exposure'!$C:$C,$H$4,'Inhalation Exposure'!$D:$D,$S10, 'Inhalation Exposure'!$E:$E, $T10)</f>
        <v>0.13487922840369029</v>
      </c>
      <c r="Y10" s="386">
        <f>SUMIFS('Inhalation Exposure'!$R:$R,'Inhalation Exposure'!$C:$C,$H$4,'Inhalation Exposure'!$D:$D,$S10, 'Inhalation Exposure'!$E:$E, $T10)</f>
        <v>3.3892729188619609E-2</v>
      </c>
    </row>
    <row r="11" spans="1:25" x14ac:dyDescent="0.3">
      <c r="H11" s="258" t="s">
        <v>68</v>
      </c>
      <c r="I11" s="366" t="s">
        <v>65</v>
      </c>
      <c r="J11" s="583"/>
      <c r="K11" s="386">
        <f>SUMIFS('Inhalation Exposure'!$H:$H,'Inhalation Exposure'!$C:$C,$H$4,'Inhalation Exposure'!$D:$D,$H11, 'Inhalation Exposure'!$E:$E, $I11)</f>
        <v>2.4748737341529162E-2</v>
      </c>
      <c r="L11" s="386">
        <f>SUMIFS('Inhalation Exposure'!$N:$N,'Inhalation Exposure'!$C:$C,$H$4,'Inhalation Exposure'!$D:$D,$H11, 'Inhalation Exposure'!$E:$E, $I11)</f>
        <v>1.2346308877860354E-2</v>
      </c>
      <c r="M11" s="386">
        <f>SUMIFS('Inhalation Exposure'!$P:$P,'Inhalation Exposure'!$C:$C,$H$4,'Inhalation Exposure'!$D:$D,$H11, 'Inhalation Exposure'!$E:$E, $I11)</f>
        <v>1.1992678611122135E-2</v>
      </c>
      <c r="N11" s="386">
        <f>SUMIFS('Inhalation Exposure'!$R:$R,'Inhalation Exposure'!$C:$C,$H$4,'Inhalation Exposure'!$D:$D,$H11, 'Inhalation Exposure'!$E:$E, $I11)</f>
        <v>3.013544881769152E-3</v>
      </c>
      <c r="S11" s="258" t="s">
        <v>68</v>
      </c>
      <c r="T11" s="436" t="s">
        <v>67</v>
      </c>
      <c r="U11" s="590"/>
      <c r="V11" s="386">
        <f>SUMIFS('Inhalation Exposure'!$H:$H,'Inhalation Exposure'!$C:$C,$H$4,'Inhalation Exposure'!$D:$D,$S11, 'Inhalation Exposure'!$E:$E, $T11)</f>
        <v>9.0999999999999998E-2</v>
      </c>
      <c r="W11" s="386">
        <f>SUMIFS('Inhalation Exposure'!$N:$N,'Inhalation Exposure'!$C:$C,$H$4,'Inhalation Exposure'!$D:$D,$S11, 'Inhalation Exposure'!$E:$E, $T11)</f>
        <v>6.8095238095238098E-2</v>
      </c>
      <c r="X11" s="386">
        <f>SUMIFS('Inhalation Exposure'!$P:$P,'Inhalation Exposure'!$C:$C,$H$4,'Inhalation Exposure'!$D:$D,$S11, 'Inhalation Exposure'!$E:$E, $T11)</f>
        <v>4.2485322896281798E-2</v>
      </c>
      <c r="Y11" s="386">
        <f>SUMIFS('Inhalation Exposure'!$R:$R,'Inhalation Exposure'!$C:$C,$H$4,'Inhalation Exposure'!$D:$D,$S11, 'Inhalation Exposure'!$E:$E, $T11)</f>
        <v>1.0675799086757991E-2</v>
      </c>
    </row>
    <row r="12" spans="1:25" x14ac:dyDescent="0.3">
      <c r="H12" s="258" t="s">
        <v>64</v>
      </c>
      <c r="I12" s="366" t="s">
        <v>65</v>
      </c>
      <c r="J12" s="584" t="s">
        <v>69</v>
      </c>
      <c r="K12" s="386">
        <f>SUMIFS('Inhalation Exposure'!$I:$I,'Inhalation Exposure'!$C:$C,$H$4,'Inhalation Exposure'!$D:$D,$H12, 'Inhalation Exposure'!$E:$E, $I12)</f>
        <v>2.4748737341529162E-2</v>
      </c>
      <c r="L12" s="386">
        <f>SUMIFS('Inhalation Exposure'!$O:$O,'Inhalation Exposure'!$C:$C,$H$4,'Inhalation Exposure'!$D:$D,$H12, 'Inhalation Exposure'!$E:$E, $I12)</f>
        <v>1.2346308877860354E-2</v>
      </c>
      <c r="M12" s="386">
        <f>SUMIFS('Inhalation Exposure'!$Q:$Q,'Inhalation Exposure'!$C:$C,$H$4,'Inhalation Exposure'!$D:$D,$H12, 'Inhalation Exposure'!$E:$E, $I12)</f>
        <v>1.1992678611122135E-2</v>
      </c>
      <c r="N12" s="386">
        <f>SUMIFS('Inhalation Exposure'!$S:$S,'Inhalation Exposure'!$C:$C,$H$4,'Inhalation Exposure'!$D:$D,$H12, 'Inhalation Exposure'!$E:$E, $I12)</f>
        <v>2.3354972833710928E-3</v>
      </c>
      <c r="S12" s="258" t="s">
        <v>64</v>
      </c>
      <c r="T12" s="436" t="s">
        <v>67</v>
      </c>
      <c r="U12" s="591" t="s">
        <v>69</v>
      </c>
      <c r="V12" s="386">
        <f>SUMIFS('Inhalation Exposure'!$I:$I,'Inhalation Exposure'!$C:$C,$H$4,'Inhalation Exposure'!$D:$D,$S12, 'Inhalation Exposure'!$E:$E, $T12)</f>
        <v>9.0999999999999998E-2</v>
      </c>
      <c r="W12" s="386">
        <f>SUMIFS('Inhalation Exposure'!$O:$O,'Inhalation Exposure'!$C:$C,$H$4,'Inhalation Exposure'!$D:$D,$S12, 'Inhalation Exposure'!$E:$E, $T12)</f>
        <v>6.8095238095238098E-2</v>
      </c>
      <c r="X12" s="386">
        <f>SUMIFS('Inhalation Exposure'!$Q:$Q,'Inhalation Exposure'!$C:$C,$H$4,'Inhalation Exposure'!$D:$D,$S12, 'Inhalation Exposure'!$E:$E, $T12)</f>
        <v>4.2485322896281812E-2</v>
      </c>
      <c r="Y12" s="386">
        <f>SUMIFS('Inhalation Exposure'!$S:$S,'Inhalation Exposure'!$C:$C,$H$4,'Inhalation Exposure'!$D:$D,$S12, 'Inhalation Exposure'!$E:$E, $T12)</f>
        <v>8.2737442922374439E-3</v>
      </c>
    </row>
    <row r="13" spans="1:25" ht="13.5" thickBot="1" x14ac:dyDescent="0.35">
      <c r="H13" s="24" t="s">
        <v>68</v>
      </c>
      <c r="I13" s="55" t="s">
        <v>65</v>
      </c>
      <c r="J13" s="585"/>
      <c r="K13" s="388">
        <f>SUMIFS('Inhalation Exposure'!$I:$I,'Inhalation Exposure'!$C:$C,$H$4,'Inhalation Exposure'!$D:$D,$H13, 'Inhalation Exposure'!$E:$E, $I13)</f>
        <v>2.4748737341529162E-2</v>
      </c>
      <c r="L13" s="388">
        <f>SUMIFS('Inhalation Exposure'!$O:$O,'Inhalation Exposure'!$C:$C,$H$4,'Inhalation Exposure'!$D:$D,$H13, 'Inhalation Exposure'!$E:$E, $I13)</f>
        <v>1.2346308877860354E-2</v>
      </c>
      <c r="M13" s="388">
        <f>SUMIFS('Inhalation Exposure'!$Q:$Q,'Inhalation Exposure'!$C:$C,$H$4,'Inhalation Exposure'!$D:$D,$H13, 'Inhalation Exposure'!$E:$E, $I13)</f>
        <v>1.1992678611122135E-2</v>
      </c>
      <c r="N13" s="388">
        <f>SUMIFS('Inhalation Exposure'!$S:$S,'Inhalation Exposure'!$C:$C,$H$4,'Inhalation Exposure'!$D:$D,$H13, 'Inhalation Exposure'!$E:$E, $I13)</f>
        <v>2.3354972833710928E-3</v>
      </c>
      <c r="S13" s="24" t="s">
        <v>68</v>
      </c>
      <c r="T13" s="55" t="s">
        <v>67</v>
      </c>
      <c r="U13" s="592"/>
      <c r="V13" s="388">
        <f>SUMIFS('Inhalation Exposure'!$I:$I,'Inhalation Exposure'!$C:$C,$H$4,'Inhalation Exposure'!$D:$D,$S13, 'Inhalation Exposure'!$E:$E, $T13)</f>
        <v>9.0999999999999998E-2</v>
      </c>
      <c r="W13" s="388">
        <f>SUMIFS('Inhalation Exposure'!$O:$O,'Inhalation Exposure'!$C:$C,$H$4,'Inhalation Exposure'!$D:$D,$S13, 'Inhalation Exposure'!$E:$E, $T13)</f>
        <v>6.8095238095238098E-2</v>
      </c>
      <c r="X13" s="388">
        <f>SUMIFS('Inhalation Exposure'!$Q:$Q,'Inhalation Exposure'!$C:$C,$H$4,'Inhalation Exposure'!$D:$D,$S13, 'Inhalation Exposure'!$E:$E, $T13)</f>
        <v>4.2485322896281812E-2</v>
      </c>
      <c r="Y13" s="388">
        <f>SUMIFS('Inhalation Exposure'!$S:$S,'Inhalation Exposure'!$C:$C,$H$4,'Inhalation Exposure'!$D:$D,$S13, 'Inhalation Exposure'!$E:$E, $T13)</f>
        <v>8.2737442922374439E-3</v>
      </c>
    </row>
    <row r="14" spans="1:25" x14ac:dyDescent="0.35">
      <c r="R14" s="569"/>
      <c r="S14" s="362"/>
      <c r="T14" s="362"/>
      <c r="U14" s="362"/>
      <c r="V14" s="362"/>
      <c r="W14" s="362"/>
    </row>
    <row r="15" spans="1:25" x14ac:dyDescent="0.35">
      <c r="D15" s="60"/>
      <c r="H15" s="86"/>
      <c r="R15" s="569"/>
      <c r="S15" s="362"/>
      <c r="T15" s="362"/>
      <c r="U15" s="362"/>
      <c r="V15" s="362"/>
      <c r="W15" s="362"/>
    </row>
    <row r="16" spans="1:25" ht="15" customHeight="1" x14ac:dyDescent="0.35">
      <c r="D16" s="60"/>
      <c r="H16" s="86"/>
      <c r="M16" s="296"/>
      <c r="R16" s="569"/>
      <c r="S16" s="362"/>
      <c r="T16" s="362"/>
      <c r="U16" s="362"/>
      <c r="V16" s="362"/>
      <c r="W16" s="362"/>
    </row>
    <row r="17" spans="2:27" x14ac:dyDescent="0.35">
      <c r="D17" s="60"/>
      <c r="H17" s="86"/>
      <c r="R17" s="569"/>
      <c r="S17" s="362"/>
      <c r="T17" s="362"/>
      <c r="U17" s="362"/>
      <c r="V17" s="362"/>
      <c r="W17" s="362"/>
    </row>
    <row r="18" spans="2:27" s="25" customFormat="1" x14ac:dyDescent="0.35">
      <c r="B18" s="433"/>
      <c r="C18" s="413"/>
      <c r="D18" s="413"/>
      <c r="E18" s="413"/>
      <c r="F18" s="413"/>
      <c r="G18" s="413"/>
      <c r="H18" s="26"/>
      <c r="I18" s="57"/>
      <c r="K18" s="26"/>
      <c r="L18" s="26"/>
      <c r="M18" s="26"/>
      <c r="N18" s="26"/>
      <c r="O18" s="26"/>
      <c r="P18" s="26"/>
      <c r="R18" s="413"/>
      <c r="S18" s="57"/>
      <c r="U18" s="26"/>
    </row>
    <row r="19" spans="2:27" s="25" customFormat="1" ht="36" customHeight="1" thickBot="1" x14ac:dyDescent="0.4">
      <c r="B19" s="433"/>
      <c r="C19" s="57"/>
      <c r="D19" s="59"/>
      <c r="E19" s="59"/>
      <c r="F19" s="59"/>
      <c r="G19" s="95"/>
      <c r="H19" s="95" t="s">
        <v>291</v>
      </c>
      <c r="I19" s="57"/>
      <c r="K19" s="26"/>
      <c r="L19" s="573"/>
      <c r="M19" s="573"/>
      <c r="N19" s="435"/>
      <c r="O19" s="435"/>
      <c r="R19" s="95"/>
      <c r="S19" s="95" t="s">
        <v>292</v>
      </c>
      <c r="T19" s="57"/>
      <c r="V19" s="26"/>
      <c r="W19" s="573"/>
      <c r="X19" s="573"/>
      <c r="Y19" s="435"/>
      <c r="Z19" s="435"/>
    </row>
    <row r="20" spans="2:27" s="25" customFormat="1" ht="13.5" customHeight="1" x14ac:dyDescent="0.35">
      <c r="C20" s="580" t="s">
        <v>293</v>
      </c>
      <c r="D20" s="580" t="s">
        <v>294</v>
      </c>
      <c r="E20" s="580"/>
      <c r="F20" s="580" t="s">
        <v>295</v>
      </c>
      <c r="G20" s="81"/>
      <c r="H20" s="562" t="s">
        <v>72</v>
      </c>
      <c r="I20" s="476" t="s">
        <v>51</v>
      </c>
      <c r="J20" s="460" t="s">
        <v>73</v>
      </c>
      <c r="K20" s="536" t="str">
        <f>_xlfn.CONCAT("Exposure Estimates: ",$I$4," MOE")</f>
        <v>Exposure Estimates: Worker MOE</v>
      </c>
      <c r="L20" s="537"/>
      <c r="M20" s="537"/>
      <c r="N20" s="537"/>
      <c r="O20" s="537"/>
      <c r="P20" s="538"/>
      <c r="Q20" s="289"/>
      <c r="R20" s="458"/>
      <c r="S20" s="459" t="s">
        <v>72</v>
      </c>
      <c r="T20" s="476" t="s">
        <v>51</v>
      </c>
      <c r="U20" s="460" t="s">
        <v>73</v>
      </c>
      <c r="V20" s="536" t="str">
        <f>_xlfn.CONCAT("Exposure Estimates: ",$I$4," MOE")</f>
        <v>Exposure Estimates: Worker MOE</v>
      </c>
      <c r="W20" s="537"/>
      <c r="X20" s="537"/>
      <c r="Y20" s="537"/>
      <c r="Z20" s="537"/>
      <c r="AA20" s="538"/>
    </row>
    <row r="21" spans="2:27" s="25" customFormat="1" ht="40.5" customHeight="1" thickBot="1" x14ac:dyDescent="0.4">
      <c r="C21" s="581"/>
      <c r="D21" s="581"/>
      <c r="E21" s="581"/>
      <c r="F21" s="581"/>
      <c r="G21" s="82"/>
      <c r="H21" s="563"/>
      <c r="I21" s="477"/>
      <c r="J21" s="535"/>
      <c r="K21" s="420" t="s">
        <v>296</v>
      </c>
      <c r="L21" s="422" t="s">
        <v>297</v>
      </c>
      <c r="M21" s="422" t="s">
        <v>298</v>
      </c>
      <c r="N21" s="422" t="s">
        <v>299</v>
      </c>
      <c r="O21" s="422" t="s">
        <v>300</v>
      </c>
      <c r="P21" s="432" t="s">
        <v>301</v>
      </c>
      <c r="Q21" s="289"/>
      <c r="R21" s="458"/>
      <c r="S21" s="478"/>
      <c r="T21" s="477"/>
      <c r="U21" s="535"/>
      <c r="V21" s="420" t="s">
        <v>296</v>
      </c>
      <c r="W21" s="422" t="s">
        <v>297</v>
      </c>
      <c r="X21" s="422" t="s">
        <v>298</v>
      </c>
      <c r="Y21" s="422" t="s">
        <v>299</v>
      </c>
      <c r="Z21" s="422" t="s">
        <v>300</v>
      </c>
      <c r="AA21" s="432" t="s">
        <v>301</v>
      </c>
    </row>
    <row r="22" spans="2:27" s="25" customFormat="1" ht="20.25" customHeight="1" x14ac:dyDescent="0.35">
      <c r="B22" s="549" t="s">
        <v>77</v>
      </c>
      <c r="C22" s="545" t="s">
        <v>302</v>
      </c>
      <c r="D22" s="539" t="s">
        <v>303</v>
      </c>
      <c r="E22" s="540"/>
      <c r="F22" s="547" t="s">
        <v>304</v>
      </c>
      <c r="G22" s="96"/>
      <c r="H22" s="574" t="s">
        <v>305</v>
      </c>
      <c r="I22" s="436" t="s">
        <v>66</v>
      </c>
      <c r="J22" s="110" t="s">
        <v>305</v>
      </c>
      <c r="K22" s="79" t="str">
        <f>IFERROR($H22/IF($I$4="Worker",$K$10,$K$11), "")</f>
        <v/>
      </c>
      <c r="L22" s="392" t="str">
        <f>IFERROR($K22/'List Values'!$E$17, "")</f>
        <v/>
      </c>
      <c r="M22" s="392" t="str">
        <f>IFERROR($K22/'List Values'!$E$18, "")</f>
        <v/>
      </c>
      <c r="N22" s="392" t="str">
        <f>IFERROR($K22/'List Values'!$E$19, "")</f>
        <v/>
      </c>
      <c r="O22" s="392" t="str">
        <f>IFERROR($K22/'List Values'!$E$20, "")</f>
        <v/>
      </c>
      <c r="P22" s="393" t="str">
        <f>IFERROR($K22/'List Values'!$E$21, "")</f>
        <v/>
      </c>
      <c r="Q22" s="289"/>
      <c r="R22" s="532"/>
      <c r="S22" s="571" t="s">
        <v>305</v>
      </c>
      <c r="T22" s="436" t="s">
        <v>66</v>
      </c>
      <c r="U22" s="110" t="s">
        <v>305</v>
      </c>
      <c r="V22" s="79" t="str">
        <f>IFERROR($S22/IF($I$4="Worker",$V$10,$V$11), "")</f>
        <v/>
      </c>
      <c r="W22" s="69" t="str">
        <f>IFERROR($V22/'List Values'!$E$17, "")</f>
        <v/>
      </c>
      <c r="X22" s="69" t="str">
        <f>IFERROR($V22/'List Values'!$E$18, "")</f>
        <v/>
      </c>
      <c r="Y22" s="69" t="str">
        <f>IFERROR($V22/'List Values'!$E$19, "")</f>
        <v/>
      </c>
      <c r="Z22" s="69" t="str">
        <f>IFERROR($V22/'List Values'!$E$20, "")</f>
        <v/>
      </c>
      <c r="AA22" s="80" t="str">
        <f>IFERROR($V22/'List Values'!$E$21, "")</f>
        <v/>
      </c>
    </row>
    <row r="23" spans="2:27" s="25" customFormat="1" ht="20.25" customHeight="1" thickBot="1" x14ac:dyDescent="0.4">
      <c r="B23" s="549"/>
      <c r="C23" s="586"/>
      <c r="D23" s="541"/>
      <c r="E23" s="542"/>
      <c r="F23" s="548"/>
      <c r="G23" s="96"/>
      <c r="H23" s="575"/>
      <c r="I23" s="55" t="s">
        <v>69</v>
      </c>
      <c r="J23" s="111" t="s">
        <v>305</v>
      </c>
      <c r="K23" s="79" t="str">
        <f>IFERROR($H22/IF($I$4="Worker",$K$12,$K$13), "")</f>
        <v/>
      </c>
      <c r="L23" s="394" t="str">
        <f>IFERROR($K23/'List Values'!$E$17, "")</f>
        <v/>
      </c>
      <c r="M23" s="394" t="str">
        <f>IFERROR($K23/'List Values'!$E$18, "")</f>
        <v/>
      </c>
      <c r="N23" s="394" t="str">
        <f>IFERROR($K23/'List Values'!$E$19, "")</f>
        <v/>
      </c>
      <c r="O23" s="394" t="str">
        <f>IFERROR($K23/'List Values'!$E$20, "")</f>
        <v/>
      </c>
      <c r="P23" s="395" t="str">
        <f>IFERROR($K23/'List Values'!$E$21, "")</f>
        <v/>
      </c>
      <c r="Q23" s="289"/>
      <c r="R23" s="532"/>
      <c r="S23" s="572"/>
      <c r="T23" s="55" t="s">
        <v>69</v>
      </c>
      <c r="U23" s="111" t="s">
        <v>305</v>
      </c>
      <c r="V23" s="123" t="str">
        <f>IFERROR($S22/IF($I$4="Worker",$V$12,$V$13), "")</f>
        <v/>
      </c>
      <c r="W23" s="69" t="str">
        <f>IFERROR($V23/'List Values'!$E$17, "")</f>
        <v/>
      </c>
      <c r="X23" s="69" t="str">
        <f>IFERROR($V23/'List Values'!$E$18, "")</f>
        <v/>
      </c>
      <c r="Y23" s="69" t="str">
        <f>IFERROR($V23/'List Values'!$E$19, "")</f>
        <v/>
      </c>
      <c r="Z23" s="69" t="str">
        <f>IFERROR($V23/'List Values'!$E$20, "")</f>
        <v/>
      </c>
      <c r="AA23" s="80" t="str">
        <f>IFERROR($V23/'List Values'!$E$21, "")</f>
        <v/>
      </c>
    </row>
    <row r="24" spans="2:27" s="25" customFormat="1" ht="20.25" customHeight="1" x14ac:dyDescent="0.35">
      <c r="B24" s="433" t="s">
        <v>81</v>
      </c>
      <c r="C24" s="545" t="s">
        <v>306</v>
      </c>
      <c r="D24" s="539" t="str">
        <f>INDEX('Health Data'!$D:$D, MATCH($B24, 'Health Data'!$F:$F, 0))</f>
        <v>Decreased fetal body weight</v>
      </c>
      <c r="E24" s="540"/>
      <c r="F24" s="547" t="str">
        <f>INDEX('Health Data'!$E:$E, MATCH($B24, 'Health Data'!$F:$F, 0))</f>
        <v>Hackett et al, 1987</v>
      </c>
      <c r="G24" s="96"/>
      <c r="H24" s="560">
        <f>INDEX('Health Data'!$G:$G,MATCH(B24,'Health Data'!$F:$F,0))</f>
        <v>2.5</v>
      </c>
      <c r="I24" s="436" t="s">
        <v>66</v>
      </c>
      <c r="J24" s="137">
        <f>INDEX('Health Data'!$H:$H,MATCH(B24,'Health Data'!$F:$F,0))</f>
        <v>30</v>
      </c>
      <c r="K24" s="112">
        <f>IFERROR($H24/IF($I$4="Worker",$L$10,$L$11), "")</f>
        <v>17.370411217898223</v>
      </c>
      <c r="L24" s="394">
        <f>IFERROR($H24/(IF($I$4="Worker",$L$10,$L$11)/'List Values'!$E$17), "")</f>
        <v>173.70411217898223</v>
      </c>
      <c r="M24" s="394">
        <f>IFERROR($H24/(IF($I$4="Worker",$L$10,$L$11)/'List Values'!$E$18), "")</f>
        <v>434.26028044745556</v>
      </c>
      <c r="N24" s="394">
        <f>IFERROR($H24/(IF($I$4="Worker",$L$10,$L$11)/'List Values'!$E$19), "")</f>
        <v>868.52056089491111</v>
      </c>
      <c r="O24" s="394">
        <f>IFERROR($H24/(IF($I$4="Worker",$L$10,$L$11)/'List Values'!$E$20), "")</f>
        <v>17370.411217898221</v>
      </c>
      <c r="P24" s="394">
        <f>IFERROR($H24/(IF($I$4="Worker",$L$10,$L$11)/'List Values'!$E$21), "")</f>
        <v>173704.11217898224</v>
      </c>
      <c r="Q24" s="289"/>
      <c r="R24" s="532"/>
      <c r="S24" s="533">
        <f>INDEX('Health Data'!$G:$G,MATCH(B24,'Health Data'!$F:$F,0))</f>
        <v>2.5</v>
      </c>
      <c r="T24" s="436" t="s">
        <v>66</v>
      </c>
      <c r="U24" s="137">
        <f>INDEX('Health Data'!$H:$H,MATCH(B24,'Health Data'!$F:$F,0))</f>
        <v>30</v>
      </c>
      <c r="V24" s="112">
        <f>IFERROR($S24/IF($I$4="Worker",$W$10,$W$11), "")</f>
        <v>11.564240536203153</v>
      </c>
      <c r="W24" s="394">
        <f>IFERROR($S24/(IF($I$4="Worker",$W$10,$W$11)/'List Values'!$E$17), "")</f>
        <v>115.64240536203152</v>
      </c>
      <c r="X24" s="394">
        <f>IFERROR($S24/(IF($I$4="Worker",$W$10,$W$11)/'List Values'!$E$18), "")</f>
        <v>289.10601340507878</v>
      </c>
      <c r="Y24" s="394">
        <f>IFERROR($S24/(IF($I$4="Worker",$W$10,$W$11)/'List Values'!$E$19), "")</f>
        <v>578.21202681015757</v>
      </c>
      <c r="Z24" s="394">
        <f>IFERROR($S24/(IF($I$4="Worker",$W$10,$W$11)/'List Values'!$E$20), "")</f>
        <v>11564.240536203153</v>
      </c>
      <c r="AA24" s="394">
        <f>IFERROR($S24/(IF($I$4="Worker",$W$10,$W$11)/'List Values'!$E$21), "")</f>
        <v>115642.40536203151</v>
      </c>
    </row>
    <row r="25" spans="2:27" s="25" customFormat="1" ht="20.25" customHeight="1" thickBot="1" x14ac:dyDescent="0.4">
      <c r="B25" s="433"/>
      <c r="C25" s="546"/>
      <c r="D25" s="543"/>
      <c r="E25" s="544"/>
      <c r="F25" s="548"/>
      <c r="G25" s="96"/>
      <c r="H25" s="561"/>
      <c r="I25" s="55" t="s">
        <v>69</v>
      </c>
      <c r="J25" s="138">
        <f>INDEX('Health Data'!$H:$H,MATCH(B24,'Health Data'!$F:$F,0))</f>
        <v>30</v>
      </c>
      <c r="K25" s="136">
        <f>IFERROR($H24/IF($I$4="Worker",$L$12,$L$13), "")</f>
        <v>202.48966915796586</v>
      </c>
      <c r="L25" s="394">
        <f>IFERROR($H24/(IF($I$4="Worker",$L$12,$L$13)/'List Values'!$E$17), "")</f>
        <v>2024.8966915796586</v>
      </c>
      <c r="M25" s="394">
        <f>IFERROR($H24/(IF($I$4="Worker",$L$12,$L$13)/'List Values'!$E$18), "")</f>
        <v>5062.2417289491468</v>
      </c>
      <c r="N25" s="394">
        <f>IFERROR($H24/(IF($I$4="Worker",$L$12,$L$13)/'List Values'!$E$19), "")</f>
        <v>10124.483457898294</v>
      </c>
      <c r="O25" s="394">
        <f>IFERROR($H24/(IF($I$4="Worker",$L$12,$L$13)/'List Values'!$E$20), "")</f>
        <v>202489.66915796587</v>
      </c>
      <c r="P25" s="394">
        <f>IFERROR($H24/(IF($I$4="Worker",$L$12,$L$13)/'List Values'!$E$21), "")</f>
        <v>2024896.6915796585</v>
      </c>
      <c r="Q25" s="289"/>
      <c r="R25" s="532"/>
      <c r="S25" s="534"/>
      <c r="T25" s="55" t="s">
        <v>69</v>
      </c>
      <c r="U25" s="138">
        <f>INDEX('Health Data'!$H:$H,MATCH(B24,'Health Data'!$F:$F,0))</f>
        <v>30</v>
      </c>
      <c r="V25" s="136">
        <f>IFERROR($S24/IF($I$4="Worker",$W$12,$W$13), "")</f>
        <v>36.713286713286713</v>
      </c>
      <c r="W25" s="394">
        <f>IFERROR($S24/(IF($I$4="Worker",$W$12,$W$13)/'List Values'!$E$17), "")</f>
        <v>367.13286713286715</v>
      </c>
      <c r="X25" s="394">
        <f>IFERROR($S24/(IF($I$4="Worker",$W$12,$W$13)/'List Values'!$E$18), "")</f>
        <v>917.8321678321679</v>
      </c>
      <c r="Y25" s="394">
        <f>IFERROR($S24/(IF($I$4="Worker",$W$12,$W$13)/'List Values'!$E$19), "")</f>
        <v>1835.6643356643358</v>
      </c>
      <c r="Z25" s="394">
        <f>IFERROR($S24/(IF($I$4="Worker",$W$12,$W$13)/'List Values'!$E$20), "")</f>
        <v>36713.28671328671</v>
      </c>
      <c r="AA25" s="394">
        <f>IFERROR($S24/(IF($I$4="Worker",$W$12,$W$13)/'List Values'!$E$21), "")</f>
        <v>367132.86713286716</v>
      </c>
    </row>
    <row r="26" spans="2:27" s="25" customFormat="1" ht="20.25" customHeight="1" x14ac:dyDescent="0.35">
      <c r="B26" s="549" t="s">
        <v>84</v>
      </c>
      <c r="C26" s="587" t="s">
        <v>307</v>
      </c>
      <c r="D26" s="539" t="str">
        <f>INDEX('Health Data'!$D:$D, MATCH($B26, 'Health Data'!$F:$F, 0))</f>
        <v>Decreased fetal body weight</v>
      </c>
      <c r="E26" s="540"/>
      <c r="F26" s="547" t="str">
        <f>INDEX('Health Data'!$E:$E, MATCH($B26, 'Health Data'!$F:$F, 0))</f>
        <v>Hackett et al, 1987</v>
      </c>
      <c r="G26" s="96"/>
      <c r="H26" s="560">
        <f>INDEX('Health Data'!$G:$G,MATCH(B26,'Health Data'!$F:$F,0))</f>
        <v>2.5</v>
      </c>
      <c r="I26" s="436" t="s">
        <v>66</v>
      </c>
      <c r="J26" s="137">
        <f>INDEX('Health Data'!$H:$H,MATCH(B26,'Health Data'!$F:$F,0))</f>
        <v>30</v>
      </c>
      <c r="K26" s="382">
        <f>IFERROR($H26/IF($I$4="Worker",$M$10,$M$11), "")</f>
        <v>17.882615651246507</v>
      </c>
      <c r="L26" s="394">
        <f>IFERROR($H26/(IF($I$4="Worker",$M$10,$M$11)/'List Values'!$E$17), "")</f>
        <v>178.82615651246505</v>
      </c>
      <c r="M26" s="394">
        <f>IFERROR($H26/(IF($I$4="Worker",$M$10,$M$11)/'List Values'!$E$18), "")</f>
        <v>447.06539128116265</v>
      </c>
      <c r="N26" s="394">
        <f>IFERROR($H26/(IF($I$4="Worker",$M$10,$M$11)/'List Values'!$E$19), "")</f>
        <v>894.13078256232529</v>
      </c>
      <c r="O26" s="394">
        <f>IFERROR($H26/(IF($I$4="Worker",$M$10,$M$11)/'List Values'!$E$20), "")</f>
        <v>17882.615651246506</v>
      </c>
      <c r="P26" s="394">
        <f>IFERROR($H26/(IF($I$4="Worker",$M$10,$M$11)/'List Values'!$E$21), "")</f>
        <v>178826.15651246504</v>
      </c>
      <c r="Q26" s="391"/>
      <c r="R26" s="532"/>
      <c r="S26" s="533">
        <f>INDEX('Health Data'!$G:$G,MATCH(B26,'Health Data'!$F:$F,0))</f>
        <v>2.5</v>
      </c>
      <c r="T26" s="436" t="s">
        <v>66</v>
      </c>
      <c r="U26" s="137">
        <f>INDEX('Health Data'!$H:$H,MATCH(B26,'Health Data'!$F:$F,0))</f>
        <v>30</v>
      </c>
      <c r="V26" s="382">
        <f>IFERROR($S26/IF($I$4="Worker",$X$10,$X$11), "")</f>
        <v>18.535100100940376</v>
      </c>
      <c r="W26" s="394">
        <f>IFERROR($S26/(IF($I$4="Worker",$X$10,$X$11)/'List Values'!$E$17), "")</f>
        <v>185.35100100940377</v>
      </c>
      <c r="X26" s="394">
        <f>IFERROR($S26/(IF($I$4="Worker",$X$10,$X$11)/'List Values'!$E$18), "")</f>
        <v>463.37750252350941</v>
      </c>
      <c r="Y26" s="394">
        <f>IFERROR($S26/(IF($I$4="Worker",$X$10,$X$11)/'List Values'!$E$19), "")</f>
        <v>926.75500504701881</v>
      </c>
      <c r="Z26" s="394">
        <f>IFERROR($S26/(IF($I$4="Worker",$X$10,$X$11)/'List Values'!$E$20), "")</f>
        <v>18535.100100940377</v>
      </c>
      <c r="AA26" s="394">
        <f>IFERROR($S26/(IF($I$4="Worker",$X$10,$X$11)/'List Values'!$E$21), "")</f>
        <v>185351.00100940376</v>
      </c>
    </row>
    <row r="27" spans="2:27" s="25" customFormat="1" ht="20.25" customHeight="1" thickBot="1" x14ac:dyDescent="0.4">
      <c r="B27" s="549"/>
      <c r="C27" s="588"/>
      <c r="D27" s="543"/>
      <c r="E27" s="544"/>
      <c r="F27" s="566"/>
      <c r="G27" s="96"/>
      <c r="H27" s="561"/>
      <c r="I27" s="55" t="s">
        <v>69</v>
      </c>
      <c r="J27" s="138">
        <f>INDEX('Health Data'!$H:$H,MATCH(B26,'Health Data'!$F:$F,0))</f>
        <v>30</v>
      </c>
      <c r="K27" s="136">
        <f>IFERROR($H26/IF($I$4="Worker",$M$12,$M$13), "")</f>
        <v>208.46051837672644</v>
      </c>
      <c r="L27" s="394">
        <f>IFERROR($H26/(IF($I$4="Worker",$M$12,$M$13)/'List Values'!$E$17), "")</f>
        <v>2084.6051837672644</v>
      </c>
      <c r="M27" s="394">
        <f>IFERROR($H26/(IF($I$4="Worker",$M$12,$M$13)/'List Values'!$E$18), "")</f>
        <v>5211.5129594181608</v>
      </c>
      <c r="N27" s="394">
        <f>IFERROR($H26/(IF($I$4="Worker",$M$12,$M$13)/'List Values'!$E$19), "")</f>
        <v>10423.025918836322</v>
      </c>
      <c r="O27" s="394">
        <f>IFERROR($H26/(IF($I$4="Worker",$M$12,$M$13)/'List Values'!$E$20), "")</f>
        <v>208460.51837672645</v>
      </c>
      <c r="P27" s="394">
        <f>IFERROR($H26/(IF($I$4="Worker",$M$12,$M$13)/'List Values'!$E$21), "")</f>
        <v>2084605.1837672645</v>
      </c>
      <c r="Q27" s="391"/>
      <c r="R27" s="532"/>
      <c r="S27" s="534"/>
      <c r="T27" s="55" t="s">
        <v>69</v>
      </c>
      <c r="U27" s="138">
        <f>INDEX('Health Data'!$H:$H,MATCH(B26,'Health Data'!$F:$F,0))</f>
        <v>30</v>
      </c>
      <c r="V27" s="136">
        <f>IFERROR($S26/IF($I$4="Worker",$X$12,$X$13), "")</f>
        <v>58.843850760018412</v>
      </c>
      <c r="W27" s="394">
        <f>IFERROR($S26/(IF($I$4="Worker",$X$12,$X$13)/'List Values'!$E$17), "")</f>
        <v>588.43850760018415</v>
      </c>
      <c r="X27" s="394">
        <f>IFERROR($S26/(IF($I$4="Worker",$X$12,$X$13)/'List Values'!$E$18), "")</f>
        <v>1471.0962690004603</v>
      </c>
      <c r="Y27" s="394">
        <f>IFERROR($S26/(IF($I$4="Worker",$X$12,$X$13)/'List Values'!$E$19), "")</f>
        <v>2942.1925380009206</v>
      </c>
      <c r="Z27" s="394">
        <f>IFERROR($S26/(IF($I$4="Worker",$X$12,$X$13)/'List Values'!$E$20), "")</f>
        <v>58843.850760018409</v>
      </c>
      <c r="AA27" s="394">
        <f>IFERROR($S26/(IF($I$4="Worker",$X$12,$X$13)/'List Values'!$E$21), "")</f>
        <v>588438.50760018406</v>
      </c>
    </row>
    <row r="28" spans="2:27" s="25" customFormat="1" ht="20.25" customHeight="1" x14ac:dyDescent="0.35">
      <c r="B28" s="433"/>
      <c r="C28" s="396"/>
      <c r="D28"/>
      <c r="E28"/>
      <c r="F28"/>
      <c r="G28" s="268"/>
      <c r="H28" s="562" t="s">
        <v>503</v>
      </c>
      <c r="I28" s="476" t="s">
        <v>51</v>
      </c>
      <c r="J28" s="460" t="s">
        <v>73</v>
      </c>
      <c r="K28" s="536" t="str">
        <f>_xlfn.CONCAT("Exposure Estimates: ",$I$4," Cancer Risk")</f>
        <v>Exposure Estimates: Worker Cancer Risk</v>
      </c>
      <c r="L28" s="537"/>
      <c r="M28" s="537"/>
      <c r="N28" s="537"/>
      <c r="O28" s="537"/>
      <c r="P28" s="538"/>
      <c r="Q28" s="391"/>
      <c r="R28" s="458"/>
      <c r="S28" s="459" t="s">
        <v>503</v>
      </c>
      <c r="T28" s="476" t="s">
        <v>51</v>
      </c>
      <c r="U28" s="460" t="s">
        <v>73</v>
      </c>
      <c r="V28" s="536" t="str">
        <f>_xlfn.CONCAT("Exposure Estimates: ",$I$4," Cancer Risk")</f>
        <v>Exposure Estimates: Worker Cancer Risk</v>
      </c>
      <c r="W28" s="537"/>
      <c r="X28" s="537"/>
      <c r="Y28" s="537"/>
      <c r="Z28" s="537"/>
      <c r="AA28" s="538"/>
    </row>
    <row r="29" spans="2:27" s="25" customFormat="1" ht="28.5" customHeight="1" thickBot="1" x14ac:dyDescent="0.4">
      <c r="B29" s="433"/>
      <c r="C29" s="396"/>
      <c r="D29"/>
      <c r="E29"/>
      <c r="F29"/>
      <c r="G29" s="268"/>
      <c r="H29" s="563"/>
      <c r="I29" s="477"/>
      <c r="J29" s="535"/>
      <c r="K29" s="420" t="s">
        <v>296</v>
      </c>
      <c r="L29" s="422" t="s">
        <v>297</v>
      </c>
      <c r="M29" s="422" t="s">
        <v>298</v>
      </c>
      <c r="N29" s="422" t="s">
        <v>299</v>
      </c>
      <c r="O29" s="422" t="s">
        <v>300</v>
      </c>
      <c r="P29" s="432" t="s">
        <v>301</v>
      </c>
      <c r="Q29" s="391"/>
      <c r="R29" s="458"/>
      <c r="S29" s="478"/>
      <c r="T29" s="477"/>
      <c r="U29" s="535"/>
      <c r="V29" s="420" t="s">
        <v>296</v>
      </c>
      <c r="W29" s="422" t="s">
        <v>297</v>
      </c>
      <c r="X29" s="422" t="s">
        <v>298</v>
      </c>
      <c r="Y29" s="422" t="s">
        <v>299</v>
      </c>
      <c r="Z29" s="422" t="s">
        <v>300</v>
      </c>
      <c r="AA29" s="432" t="s">
        <v>301</v>
      </c>
    </row>
    <row r="30" spans="2:27" s="25" customFormat="1" ht="27.75" customHeight="1" thickBot="1" x14ac:dyDescent="0.4">
      <c r="B30" s="549" t="s">
        <v>91</v>
      </c>
      <c r="C30" s="552" t="s">
        <v>308</v>
      </c>
      <c r="D30" s="554" t="s">
        <v>117</v>
      </c>
      <c r="E30" s="558" t="str">
        <f>INDEX('Health Data'!$D:$D, MATCH($B30, 'Health Data'!$F:$F, 0))</f>
        <v>Increased leukemia incidence</v>
      </c>
      <c r="F30" s="564" t="str">
        <f>INDEX('Health Data'!$E:$E, MATCH($B30, 'Health Data'!$F:$F, 0))</f>
        <v>Sathiakumar, 2021</v>
      </c>
      <c r="G30" s="99"/>
      <c r="H30" s="485">
        <f>INDEX('Health Data'!$K:$K,MATCH(B30,'Health Data'!$F:$F,0))</f>
        <v>6.1999999999999998E-3</v>
      </c>
      <c r="I30" s="436" t="s">
        <v>66</v>
      </c>
      <c r="J30" s="70" t="s">
        <v>92</v>
      </c>
      <c r="K30" s="165">
        <f>IFERROR($H30*IF($I$4="Worker",$N$10,$N$11), "")</f>
        <v>2.1780213089802125E-4</v>
      </c>
      <c r="L30" s="166">
        <f>IFERROR($K30/'List Values'!$E$17, "")</f>
        <v>2.1780213089802126E-5</v>
      </c>
      <c r="M30" s="166">
        <f>IFERROR($K30/'List Values'!$E$18, "")</f>
        <v>8.7120852359208492E-6</v>
      </c>
      <c r="N30" s="166">
        <f>IFERROR($K30/'List Values'!$E$19, "")</f>
        <v>4.3560426179604246E-6</v>
      </c>
      <c r="O30" s="166">
        <f>IFERROR($K30/'List Values'!$E$20, "")</f>
        <v>2.1780213089802126E-7</v>
      </c>
      <c r="P30" s="167">
        <f>IFERROR($K30/'List Values'!$E$21, "")</f>
        <v>2.1780213089802124E-8</v>
      </c>
      <c r="Q30" s="289"/>
      <c r="R30" s="550"/>
      <c r="S30" s="556">
        <f>INDEX('Health Data'!$K:$K,MATCH(B30,'Health Data'!$F:$F,0))</f>
        <v>6.1999999999999998E-3</v>
      </c>
      <c r="T30" s="436" t="s">
        <v>66</v>
      </c>
      <c r="U30" s="70" t="s">
        <v>92</v>
      </c>
      <c r="V30" s="165">
        <f>IFERROR($S30*IF($I$4="Worker",$Y$10,$Y$11), "")</f>
        <v>2.1013492096944158E-4</v>
      </c>
      <c r="W30" s="166">
        <f>IFERROR($V30/'List Values'!$E$17, "")</f>
        <v>2.1013492096944157E-5</v>
      </c>
      <c r="X30" s="166">
        <f>IFERROR($V30/'List Values'!$E$18, "")</f>
        <v>8.4053968387776641E-6</v>
      </c>
      <c r="Y30" s="166">
        <f>IFERROR($V30/'List Values'!$E$19, "")</f>
        <v>4.2026984193888321E-6</v>
      </c>
      <c r="Z30" s="166">
        <f>IFERROR($V30/'List Values'!$E$20, "")</f>
        <v>2.1013492096944159E-7</v>
      </c>
      <c r="AA30" s="167">
        <f>IFERROR($V30/'List Values'!$E$21, "")</f>
        <v>2.1013492096944157E-8</v>
      </c>
    </row>
    <row r="31" spans="2:27" s="25" customFormat="1" ht="27.75" customHeight="1" thickBot="1" x14ac:dyDescent="0.4">
      <c r="B31" s="549"/>
      <c r="C31" s="553"/>
      <c r="D31" s="555"/>
      <c r="E31" s="559"/>
      <c r="F31" s="565"/>
      <c r="G31" s="101"/>
      <c r="H31" s="486"/>
      <c r="I31" s="55" t="s">
        <v>69</v>
      </c>
      <c r="J31" s="260" t="s">
        <v>92</v>
      </c>
      <c r="K31" s="168">
        <f>IFERROR($H30*IF($I$4="Worker",$N$12,$N$13), "")</f>
        <v>1.4480083156900775E-5</v>
      </c>
      <c r="L31" s="169">
        <f>IFERROR($K31/'List Values'!$E$17, "")</f>
        <v>1.4480083156900775E-6</v>
      </c>
      <c r="M31" s="169">
        <f>IFERROR($K31/'List Values'!$E$18, "")</f>
        <v>5.7920332627603098E-7</v>
      </c>
      <c r="N31" s="169">
        <f>IFERROR($K31/'List Values'!$E$19, "")</f>
        <v>2.8960166313801549E-7</v>
      </c>
      <c r="O31" s="169">
        <f>IFERROR($K31/'List Values'!$E$20, "")</f>
        <v>1.4480083156900776E-8</v>
      </c>
      <c r="P31" s="170">
        <f>IFERROR($K31/'List Values'!$E$21, "")</f>
        <v>1.4480083156900776E-9</v>
      </c>
      <c r="Q31" s="289"/>
      <c r="R31" s="551"/>
      <c r="S31" s="557"/>
      <c r="T31" s="55" t="s">
        <v>69</v>
      </c>
      <c r="U31" s="260" t="s">
        <v>92</v>
      </c>
      <c r="V31" s="168">
        <f>IFERROR($S30*IF($I$4="Worker",$Y$12,$Y$13), "")</f>
        <v>5.1297214611872151E-5</v>
      </c>
      <c r="W31" s="169">
        <f>IFERROR($V31/'List Values'!$E$17, "")</f>
        <v>5.1297214611872155E-6</v>
      </c>
      <c r="X31" s="169">
        <f>IFERROR($V31/'List Values'!$E$18, "")</f>
        <v>2.0518885844748859E-6</v>
      </c>
      <c r="Y31" s="169">
        <f>IFERROR($V31/'List Values'!$E$19, "")</f>
        <v>1.025944292237443E-6</v>
      </c>
      <c r="Z31" s="169">
        <f>IFERROR($V31/'List Values'!$E$20, "")</f>
        <v>5.1297214611872151E-8</v>
      </c>
      <c r="AA31" s="170">
        <f>IFERROR($V31/'List Values'!$E$21, "")</f>
        <v>5.1297214611872149E-9</v>
      </c>
    </row>
    <row r="32" spans="2:27" s="2" customFormat="1" ht="14.5" x14ac:dyDescent="0.35"/>
    <row r="33" spans="1:18" s="2" customFormat="1" ht="14.5" x14ac:dyDescent="0.35"/>
    <row r="34" spans="1:18" s="25" customFormat="1" x14ac:dyDescent="0.35">
      <c r="B34" s="86"/>
      <c r="C34" s="60"/>
      <c r="D34" s="87"/>
      <c r="E34" s="60"/>
      <c r="F34" s="60"/>
      <c r="G34" s="85"/>
      <c r="H34" s="85"/>
      <c r="I34" s="85"/>
      <c r="J34" s="85"/>
      <c r="K34" s="85"/>
      <c r="L34" s="85"/>
      <c r="M34" s="85"/>
      <c r="O34" s="85"/>
      <c r="P34" s="85"/>
      <c r="Q34" s="85"/>
      <c r="R34" s="85"/>
    </row>
    <row r="35" spans="1:18" s="25" customFormat="1" x14ac:dyDescent="0.35">
      <c r="B35" s="86"/>
      <c r="C35" s="60"/>
      <c r="D35" s="87"/>
      <c r="E35" s="60"/>
      <c r="F35" s="60"/>
      <c r="G35" s="85"/>
      <c r="H35" s="85"/>
      <c r="I35" s="85"/>
      <c r="J35" s="85"/>
      <c r="K35" s="85"/>
      <c r="L35" s="85"/>
      <c r="M35" s="85"/>
      <c r="N35" s="85"/>
      <c r="O35" s="85"/>
      <c r="P35" s="85"/>
      <c r="Q35" s="85"/>
      <c r="R35" s="85"/>
    </row>
    <row r="36" spans="1:18" x14ac:dyDescent="0.35">
      <c r="A36" s="25"/>
    </row>
    <row r="42" spans="1:18" x14ac:dyDescent="0.35">
      <c r="I42" s="25"/>
      <c r="J42" s="25"/>
      <c r="K42" s="25"/>
      <c r="L42" s="25"/>
      <c r="M42" s="25"/>
    </row>
    <row r="47" spans="1:18" x14ac:dyDescent="0.35">
      <c r="O47" s="25"/>
      <c r="P47" s="25"/>
      <c r="Q47" s="25"/>
      <c r="R47" s="25"/>
    </row>
    <row r="48" spans="1:18" x14ac:dyDescent="0.35">
      <c r="C48" s="57"/>
      <c r="D48" s="26"/>
      <c r="E48" s="57"/>
      <c r="F48" s="57"/>
      <c r="G48" s="25"/>
      <c r="H48" s="25"/>
    </row>
    <row r="50" spans="1:19" x14ac:dyDescent="0.35">
      <c r="B50" s="433"/>
    </row>
    <row r="51" spans="1:19" x14ac:dyDescent="0.35">
      <c r="B51" s="102"/>
    </row>
    <row r="52" spans="1:19" x14ac:dyDescent="0.35">
      <c r="B52" s="102"/>
      <c r="I52" s="103"/>
      <c r="J52" s="103"/>
      <c r="K52" s="103"/>
      <c r="L52" s="103"/>
      <c r="M52" s="103"/>
      <c r="N52" s="25"/>
    </row>
    <row r="53" spans="1:19" s="25" customFormat="1" x14ac:dyDescent="0.35">
      <c r="A53" s="85"/>
      <c r="B53" s="102"/>
      <c r="C53" s="60"/>
      <c r="D53" s="87"/>
      <c r="E53" s="60"/>
      <c r="F53" s="60"/>
      <c r="G53" s="85"/>
      <c r="H53" s="85"/>
      <c r="I53" s="103"/>
      <c r="J53" s="103"/>
      <c r="K53" s="103"/>
      <c r="L53" s="103"/>
      <c r="M53" s="103"/>
      <c r="N53" s="85"/>
      <c r="O53" s="85"/>
      <c r="P53" s="85"/>
      <c r="Q53" s="85"/>
      <c r="R53" s="85"/>
    </row>
    <row r="54" spans="1:19" x14ac:dyDescent="0.35">
      <c r="A54" s="25"/>
      <c r="B54" s="102"/>
      <c r="I54" s="104"/>
      <c r="J54" s="104"/>
      <c r="K54" s="104"/>
      <c r="L54" s="104"/>
      <c r="M54" s="104"/>
    </row>
    <row r="55" spans="1:19" x14ac:dyDescent="0.35">
      <c r="B55" s="102"/>
      <c r="I55" s="104"/>
      <c r="J55" s="104"/>
      <c r="K55" s="104"/>
      <c r="L55" s="104"/>
      <c r="M55" s="104"/>
    </row>
    <row r="56" spans="1:19" x14ac:dyDescent="0.35">
      <c r="B56" s="102"/>
    </row>
    <row r="57" spans="1:19" x14ac:dyDescent="0.35">
      <c r="B57" s="102"/>
      <c r="C57" s="105"/>
      <c r="D57" s="106"/>
      <c r="E57" s="105"/>
      <c r="R57" s="104"/>
      <c r="S57" s="104"/>
    </row>
    <row r="58" spans="1:19" ht="26" x14ac:dyDescent="0.35">
      <c r="B58" s="102"/>
      <c r="E58" s="105"/>
      <c r="F58" s="103"/>
      <c r="G58" s="104"/>
      <c r="H58" s="126" t="s">
        <v>93</v>
      </c>
      <c r="I58" s="108" t="str">
        <f>I30</f>
        <v>High End</v>
      </c>
      <c r="J58" s="107" t="str">
        <f>I31</f>
        <v>Central Tendency</v>
      </c>
      <c r="R58" s="363"/>
      <c r="S58" s="94"/>
    </row>
    <row r="59" spans="1:19" x14ac:dyDescent="0.35">
      <c r="H59" s="416" t="s">
        <v>296</v>
      </c>
      <c r="I59" s="109">
        <f>K30</f>
        <v>2.1780213089802125E-4</v>
      </c>
      <c r="J59" s="109">
        <f>K31</f>
        <v>1.4480083156900775E-5</v>
      </c>
      <c r="R59" s="364"/>
      <c r="S59" s="365"/>
    </row>
    <row r="60" spans="1:19" x14ac:dyDescent="0.35">
      <c r="H60" s="416" t="s">
        <v>297</v>
      </c>
      <c r="I60" s="109">
        <f>L30</f>
        <v>2.1780213089802126E-5</v>
      </c>
      <c r="J60" s="109">
        <f>L31</f>
        <v>1.4480083156900775E-6</v>
      </c>
      <c r="R60" s="364"/>
      <c r="S60" s="365"/>
    </row>
    <row r="61" spans="1:19" x14ac:dyDescent="0.35">
      <c r="H61" s="416" t="s">
        <v>298</v>
      </c>
      <c r="I61" s="109">
        <f>M30</f>
        <v>8.7120852359208492E-6</v>
      </c>
      <c r="J61" s="109">
        <f>M31</f>
        <v>5.7920332627603098E-7</v>
      </c>
      <c r="R61" s="364"/>
      <c r="S61" s="365"/>
    </row>
    <row r="62" spans="1:19" x14ac:dyDescent="0.35">
      <c r="A62" s="85" t="s">
        <v>309</v>
      </c>
      <c r="H62" s="416" t="s">
        <v>299</v>
      </c>
      <c r="I62" s="109">
        <f>N30</f>
        <v>4.3560426179604246E-6</v>
      </c>
      <c r="J62" s="109">
        <f>N31</f>
        <v>2.8960166313801549E-7</v>
      </c>
      <c r="R62" s="364"/>
      <c r="S62" s="365"/>
    </row>
    <row r="63" spans="1:19" x14ac:dyDescent="0.35">
      <c r="H63" s="416" t="s">
        <v>300</v>
      </c>
      <c r="I63" s="109">
        <f>O30</f>
        <v>2.1780213089802126E-7</v>
      </c>
      <c r="J63" s="109">
        <f>O31</f>
        <v>1.4480083156900776E-8</v>
      </c>
      <c r="S63" s="434"/>
    </row>
    <row r="64" spans="1:19" x14ac:dyDescent="0.35">
      <c r="H64" s="416" t="s">
        <v>301</v>
      </c>
      <c r="I64" s="109">
        <f>P30</f>
        <v>2.1780213089802124E-8</v>
      </c>
      <c r="J64" s="109">
        <f>P31</f>
        <v>1.4480083156900776E-9</v>
      </c>
    </row>
  </sheetData>
  <sheetProtection sheet="1" objects="1" scenarios="1" formatCells="0" formatColumns="0" formatRows="0"/>
  <dataConsolidate link="1"/>
  <mergeCells count="65">
    <mergeCell ref="T8:T9"/>
    <mergeCell ref="U8:U9"/>
    <mergeCell ref="U10:U11"/>
    <mergeCell ref="U12:U13"/>
    <mergeCell ref="W19:X19"/>
    <mergeCell ref="B26:B27"/>
    <mergeCell ref="I3:J3"/>
    <mergeCell ref="I4:J4"/>
    <mergeCell ref="F20:F21"/>
    <mergeCell ref="D20:E21"/>
    <mergeCell ref="C20:C21"/>
    <mergeCell ref="J10:J11"/>
    <mergeCell ref="J12:J13"/>
    <mergeCell ref="H8:H9"/>
    <mergeCell ref="J8:J9"/>
    <mergeCell ref="C22:C23"/>
    <mergeCell ref="F22:F23"/>
    <mergeCell ref="B22:B23"/>
    <mergeCell ref="H24:H25"/>
    <mergeCell ref="C26:C27"/>
    <mergeCell ref="H20:H21"/>
    <mergeCell ref="T20:T21"/>
    <mergeCell ref="U20:U21"/>
    <mergeCell ref="V20:AA20"/>
    <mergeCell ref="L19:M19"/>
    <mergeCell ref="H22:H23"/>
    <mergeCell ref="R22:R23"/>
    <mergeCell ref="I20:I21"/>
    <mergeCell ref="J20:J21"/>
    <mergeCell ref="R20:R21"/>
    <mergeCell ref="K20:P20"/>
    <mergeCell ref="S20:S21"/>
    <mergeCell ref="S8:S9"/>
    <mergeCell ref="R16:R17"/>
    <mergeCell ref="R14:R15"/>
    <mergeCell ref="I8:I9"/>
    <mergeCell ref="S22:S23"/>
    <mergeCell ref="S30:S31"/>
    <mergeCell ref="E30:E31"/>
    <mergeCell ref="H26:H27"/>
    <mergeCell ref="R26:R27"/>
    <mergeCell ref="H28:H29"/>
    <mergeCell ref="R28:R29"/>
    <mergeCell ref="F30:F31"/>
    <mergeCell ref="I28:I29"/>
    <mergeCell ref="J28:J29"/>
    <mergeCell ref="F26:F27"/>
    <mergeCell ref="S28:S29"/>
    <mergeCell ref="K28:P28"/>
    <mergeCell ref="S26:S27"/>
    <mergeCell ref="B30:B31"/>
    <mergeCell ref="H30:H31"/>
    <mergeCell ref="R30:R31"/>
    <mergeCell ref="C30:C31"/>
    <mergeCell ref="D30:D31"/>
    <mergeCell ref="D22:E23"/>
    <mergeCell ref="D24:E25"/>
    <mergeCell ref="D26:E27"/>
    <mergeCell ref="C24:C25"/>
    <mergeCell ref="F24:F25"/>
    <mergeCell ref="R24:R25"/>
    <mergeCell ref="S24:S25"/>
    <mergeCell ref="T28:T29"/>
    <mergeCell ref="U28:U29"/>
    <mergeCell ref="V28:AA28"/>
  </mergeCells>
  <conditionalFormatting sqref="K10:N13">
    <cfRule type="cellIs" dxfId="72" priority="42" operator="greaterThanOrEqual">
      <formula>1</formula>
    </cfRule>
    <cfRule type="cellIs" dxfId="71" priority="41" operator="between">
      <formula>0.01</formula>
      <formula>1</formula>
    </cfRule>
    <cfRule type="expression" dxfId="70" priority="39">
      <formula>"&gt;=10000"</formula>
    </cfRule>
    <cfRule type="containsBlanks" dxfId="69" priority="34" stopIfTrue="1">
      <formula>LEN(TRIM(K10))=0</formula>
    </cfRule>
    <cfRule type="cellIs" dxfId="68" priority="38" operator="between">
      <formula>10</formula>
      <formula>9999.999</formula>
    </cfRule>
    <cfRule type="cellIs" dxfId="67" priority="37" operator="between">
      <formula>1</formula>
      <formula>9.999</formula>
    </cfRule>
    <cfRule type="cellIs" dxfId="66" priority="40" operator="lessThan">
      <formula>0.01</formula>
    </cfRule>
    <cfRule type="cellIs" dxfId="65" priority="36" operator="between">
      <formula>0.1</formula>
      <formula>0.999</formula>
    </cfRule>
    <cfRule type="cellIs" dxfId="64" priority="35" operator="lessThan">
      <formula>0.1</formula>
    </cfRule>
    <cfRule type="cellIs" dxfId="63" priority="33" operator="equal">
      <formula>0</formula>
    </cfRule>
  </conditionalFormatting>
  <conditionalFormatting sqref="K24:P27 V24:AA27 K30:P31 V30:AA31">
    <cfRule type="cellIs" dxfId="62" priority="169" operator="greaterThan">
      <formula>100</formula>
    </cfRule>
    <cfRule type="cellIs" dxfId="61" priority="166" operator="between">
      <formula>1</formula>
      <formula>9.999</formula>
    </cfRule>
    <cfRule type="cellIs" dxfId="60" priority="165" operator="between">
      <formula>0.01</formula>
      <formula>1</formula>
    </cfRule>
    <cfRule type="cellIs" dxfId="59" priority="164" operator="lessThan">
      <formula>0.01</formula>
    </cfRule>
    <cfRule type="cellIs" dxfId="58" priority="168" operator="between">
      <formula>10</formula>
      <formula>9999.999</formula>
    </cfRule>
  </conditionalFormatting>
  <conditionalFormatting sqref="K24:P27">
    <cfRule type="cellIs" dxfId="57" priority="173" operator="greaterThanOrEqual">
      <formula>$J24</formula>
    </cfRule>
    <cfRule type="cellIs" dxfId="56" priority="179" operator="lessThan">
      <formula>$J24</formula>
    </cfRule>
  </conditionalFormatting>
  <conditionalFormatting sqref="K30:P31 V30:AA31 V24:AA27 K24:P27">
    <cfRule type="containsBlanks" dxfId="55" priority="124" stopIfTrue="1">
      <formula>LEN(TRIM(K24))=0</formula>
    </cfRule>
  </conditionalFormatting>
  <conditionalFormatting sqref="K30:P31 V30:AA31">
    <cfRule type="cellIs" dxfId="54" priority="174" operator="greaterThanOrEqual">
      <formula>0.0001</formula>
    </cfRule>
    <cfRule type="cellIs" dxfId="53" priority="175" operator="between">
      <formula>0.00001</formula>
      <formula>0.0001</formula>
    </cfRule>
    <cfRule type="cellIs" dxfId="52" priority="178" operator="between">
      <formula>0.000001</formula>
      <formula>0.00001</formula>
    </cfRule>
  </conditionalFormatting>
  <conditionalFormatting sqref="K30:P31">
    <cfRule type="cellIs" dxfId="51" priority="4" operator="equal">
      <formula>0</formula>
    </cfRule>
  </conditionalFormatting>
  <conditionalFormatting sqref="L22:P23">
    <cfRule type="cellIs" dxfId="50" priority="7" operator="lessThan">
      <formula>0.01</formula>
    </cfRule>
    <cfRule type="containsBlanks" dxfId="49" priority="6" stopIfTrue="1">
      <formula>LEN(TRIM(L22))=0</formula>
    </cfRule>
    <cfRule type="cellIs" dxfId="48" priority="8" operator="between">
      <formula>0.01</formula>
      <formula>1</formula>
    </cfRule>
    <cfRule type="cellIs" dxfId="47" priority="9" operator="between">
      <formula>1</formula>
      <formula>9.999</formula>
    </cfRule>
    <cfRule type="cellIs" dxfId="46" priority="10" operator="between">
      <formula>10</formula>
      <formula>9999.999</formula>
    </cfRule>
    <cfRule type="cellIs" dxfId="45" priority="12" operator="greaterThanOrEqual">
      <formula>$J22</formula>
    </cfRule>
    <cfRule type="cellIs" dxfId="44" priority="13" operator="lessThan">
      <formula>$J22</formula>
    </cfRule>
    <cfRule type="cellIs" dxfId="43" priority="11" operator="greaterThan">
      <formula>100</formula>
    </cfRule>
  </conditionalFormatting>
  <conditionalFormatting sqref="S14:W17">
    <cfRule type="cellIs" dxfId="42" priority="144" operator="lessThan">
      <formula>0.1</formula>
    </cfRule>
    <cfRule type="cellIs" dxfId="41" priority="145" operator="between">
      <formula>0.1</formula>
      <formula>0.999</formula>
    </cfRule>
    <cfRule type="cellIs" dxfId="40" priority="147" operator="greaterThan">
      <formula>10</formula>
    </cfRule>
    <cfRule type="cellIs" dxfId="39" priority="148" operator="greaterThan">
      <formula>10000</formula>
    </cfRule>
    <cfRule type="cellIs" dxfId="38" priority="146" operator="between">
      <formula>1</formula>
      <formula>10</formula>
    </cfRule>
  </conditionalFormatting>
  <conditionalFormatting sqref="V10:Y13">
    <cfRule type="cellIs" dxfId="37" priority="31" operator="between">
      <formula>0.01</formula>
      <formula>1</formula>
    </cfRule>
    <cfRule type="cellIs" dxfId="36" priority="30" operator="lessThan">
      <formula>0.01</formula>
    </cfRule>
    <cfRule type="expression" dxfId="35" priority="29">
      <formula>"&gt;=10000"</formula>
    </cfRule>
    <cfRule type="cellIs" dxfId="34" priority="27" operator="between">
      <formula>1</formula>
      <formula>9.999</formula>
    </cfRule>
    <cfRule type="cellIs" dxfId="33" priority="28" operator="between">
      <formula>10</formula>
      <formula>9999.999</formula>
    </cfRule>
    <cfRule type="cellIs" dxfId="32" priority="26" operator="between">
      <formula>0.1</formula>
      <formula>0.999</formula>
    </cfRule>
    <cfRule type="cellIs" dxfId="31" priority="25" operator="lessThan">
      <formula>0.1</formula>
    </cfRule>
    <cfRule type="containsBlanks" dxfId="30" priority="24" stopIfTrue="1">
      <formula>LEN(TRIM(V10))=0</formula>
    </cfRule>
    <cfRule type="cellIs" dxfId="29" priority="23" operator="equal">
      <formula>0</formula>
    </cfRule>
    <cfRule type="cellIs" dxfId="28" priority="32" operator="greaterThanOrEqual">
      <formula>1</formula>
    </cfRule>
  </conditionalFormatting>
  <conditionalFormatting sqref="V22:AA23">
    <cfRule type="cellIs" dxfId="27" priority="5" operator="equal">
      <formula>0</formula>
    </cfRule>
  </conditionalFormatting>
  <conditionalFormatting sqref="V24:AA27">
    <cfRule type="cellIs" dxfId="26" priority="2" operator="lessThan">
      <formula>$J24</formula>
    </cfRule>
    <cfRule type="cellIs" dxfId="25" priority="1" operator="greaterThanOrEqual">
      <formula>$J24</formula>
    </cfRule>
  </conditionalFormatting>
  <conditionalFormatting sqref="V30:AA31">
    <cfRule type="cellIs" dxfId="24" priority="3" operator="equal">
      <formula>0</formula>
    </cfRule>
  </conditionalFormatting>
  <dataValidations count="1">
    <dataValidation allowBlank="1" showErrorMessage="1" sqref="K8:K9 H8:I8 H12:H13 V8:V9 S12:S13 S8:T8" xr:uid="{B6FDB558-C6DA-450F-B0A7-6A9F371395FE}"/>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888423-487C-4515-BD78-F21A071FAC4A}">
          <x14:formula1>
            <xm:f>'List Values'!$H$2:$H$3</xm:f>
          </x14:formula1>
          <xm:sqref>I4</xm:sqref>
        </x14:dataValidation>
        <x14:dataValidation type="list" allowBlank="1" showInputMessage="1" showErrorMessage="1" xr:uid="{EEB43209-65D0-4ECD-98C8-2D730F6098A1}">
          <x14:formula1>
            <xm:f>'List Values'!$B$2:$B$57</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850F-DA4A-4D3D-97A6-3832AB231949}">
  <dimension ref="A1:R25"/>
  <sheetViews>
    <sheetView topLeftCell="J12" zoomScale="110" zoomScaleNormal="110" workbookViewId="0">
      <selection activeCell="O15" sqref="O15"/>
    </sheetView>
  </sheetViews>
  <sheetFormatPr defaultColWidth="8.7265625" defaultRowHeight="14.5" x14ac:dyDescent="0.35"/>
  <cols>
    <col min="1" max="1" width="3.54296875" style="2" customWidth="1"/>
    <col min="2" max="2" width="24.54296875" style="2" customWidth="1"/>
    <col min="3" max="3" width="20.26953125" style="2" customWidth="1"/>
    <col min="4" max="4" width="30" style="2" customWidth="1"/>
    <col min="5" max="5" width="26.26953125" style="2" customWidth="1"/>
    <col min="6" max="6" width="8.7265625" style="2"/>
    <col min="7" max="7" width="18.7265625" style="2" customWidth="1"/>
    <col min="8" max="8" width="17.7265625" style="2" customWidth="1"/>
    <col min="9" max="9" width="18.7265625" style="2" customWidth="1"/>
    <col min="10" max="10" width="20.7265625" style="2" customWidth="1"/>
    <col min="11" max="11" width="16.7265625" style="2" customWidth="1"/>
    <col min="12" max="12" width="20.54296875" style="2" customWidth="1"/>
    <col min="13" max="13" width="14.26953125" style="2" customWidth="1"/>
    <col min="14" max="14" width="6.26953125" style="2" customWidth="1"/>
    <col min="15" max="15" width="20.54296875" style="2" customWidth="1"/>
    <col min="16" max="16" width="18" style="2" customWidth="1"/>
    <col min="17" max="17" width="20.7265625" style="2" bestFit="1" customWidth="1"/>
    <col min="18" max="18" width="14.7265625" style="2" customWidth="1"/>
    <col min="19" max="19" width="6.54296875" style="2" customWidth="1"/>
    <col min="20" max="16384" width="8.7265625" style="2"/>
  </cols>
  <sheetData>
    <row r="1" spans="1:17" x14ac:dyDescent="0.35">
      <c r="A1" s="599"/>
      <c r="B1" s="599"/>
      <c r="C1" s="599"/>
      <c r="D1" s="599"/>
      <c r="E1" s="599"/>
      <c r="F1" s="599"/>
      <c r="G1" s="599"/>
      <c r="H1" s="599"/>
      <c r="I1" s="599"/>
      <c r="J1" s="599"/>
      <c r="K1" s="599"/>
      <c r="L1" s="599"/>
      <c r="M1" s="599"/>
      <c r="N1" s="599"/>
    </row>
    <row r="3" spans="1:17" ht="18.5" x14ac:dyDescent="0.45">
      <c r="B3" s="1" t="s">
        <v>310</v>
      </c>
    </row>
    <row r="4" spans="1:17" ht="39" customHeight="1" x14ac:dyDescent="0.35">
      <c r="B4" s="263" t="s">
        <v>311</v>
      </c>
      <c r="G4" s="609" t="s">
        <v>312</v>
      </c>
      <c r="H4" s="609"/>
      <c r="I4" s="609" t="s">
        <v>313</v>
      </c>
      <c r="J4" s="609"/>
      <c r="K4" s="40" t="s">
        <v>122</v>
      </c>
      <c r="L4" s="40" t="s">
        <v>313</v>
      </c>
    </row>
    <row r="5" spans="1:17" x14ac:dyDescent="0.35">
      <c r="B5" s="3"/>
      <c r="C5" s="4"/>
      <c r="D5" s="5"/>
      <c r="E5" s="5"/>
      <c r="F5" s="5"/>
      <c r="G5" s="606" t="s">
        <v>314</v>
      </c>
      <c r="H5" s="607"/>
      <c r="I5" s="607"/>
      <c r="J5" s="608"/>
      <c r="K5" s="604" t="s">
        <v>315</v>
      </c>
      <c r="L5" s="605"/>
      <c r="O5" s="600" t="s">
        <v>316</v>
      </c>
      <c r="P5" s="601"/>
      <c r="Q5" s="602"/>
    </row>
    <row r="6" spans="1:17" ht="43.5" x14ac:dyDescent="0.35">
      <c r="B6" s="50"/>
      <c r="C6" s="603" t="s">
        <v>294</v>
      </c>
      <c r="D6" s="603"/>
      <c r="E6" s="438" t="s">
        <v>295</v>
      </c>
      <c r="F6" s="438" t="s">
        <v>317</v>
      </c>
      <c r="G6" s="237" t="s">
        <v>72</v>
      </c>
      <c r="H6" s="238" t="s">
        <v>318</v>
      </c>
      <c r="I6" s="286" t="s">
        <v>319</v>
      </c>
      <c r="J6" s="238" t="s">
        <v>318</v>
      </c>
      <c r="K6" s="46" t="s">
        <v>499</v>
      </c>
      <c r="L6" s="287" t="s">
        <v>320</v>
      </c>
      <c r="O6" s="11"/>
      <c r="P6" s="12" t="s">
        <v>321</v>
      </c>
      <c r="Q6" s="10" t="s">
        <v>322</v>
      </c>
    </row>
    <row r="7" spans="1:17" x14ac:dyDescent="0.35">
      <c r="B7" s="275" t="s">
        <v>303</v>
      </c>
      <c r="C7" s="128"/>
      <c r="D7" s="234"/>
      <c r="E7" s="234"/>
      <c r="F7" s="234"/>
      <c r="G7" s="261"/>
      <c r="H7" s="240"/>
      <c r="I7" s="266"/>
      <c r="J7" s="239"/>
      <c r="K7" s="129" t="s">
        <v>323</v>
      </c>
      <c r="L7" s="130" t="s">
        <v>323</v>
      </c>
      <c r="O7" s="6"/>
      <c r="P7" s="2" t="s">
        <v>66</v>
      </c>
      <c r="Q7" s="7">
        <f>0.000001</f>
        <v>9.9999999999999995E-7</v>
      </c>
    </row>
    <row r="8" spans="1:17" x14ac:dyDescent="0.35">
      <c r="B8" s="127" t="s">
        <v>324</v>
      </c>
      <c r="C8" s="283" t="s">
        <v>325</v>
      </c>
      <c r="D8" s="234" t="s">
        <v>326</v>
      </c>
      <c r="E8" s="234" t="s">
        <v>327</v>
      </c>
      <c r="F8" s="234" t="s">
        <v>81</v>
      </c>
      <c r="G8" s="285">
        <v>2.5</v>
      </c>
      <c r="H8" s="267">
        <v>30</v>
      </c>
      <c r="I8" s="266"/>
      <c r="J8" s="239"/>
      <c r="K8" s="129" t="s">
        <v>323</v>
      </c>
      <c r="L8" s="130" t="s">
        <v>323</v>
      </c>
      <c r="O8" s="6"/>
      <c r="P8" s="2" t="s">
        <v>69</v>
      </c>
      <c r="Q8" s="7">
        <f>0.00001</f>
        <v>1.0000000000000001E-5</v>
      </c>
    </row>
    <row r="9" spans="1:17" ht="29" x14ac:dyDescent="0.35">
      <c r="B9" s="127" t="s">
        <v>307</v>
      </c>
      <c r="C9" s="284" t="s">
        <v>325</v>
      </c>
      <c r="D9" s="234" t="s">
        <v>326</v>
      </c>
      <c r="E9" s="234" t="s">
        <v>327</v>
      </c>
      <c r="F9" s="234" t="s">
        <v>84</v>
      </c>
      <c r="G9" s="285">
        <v>2.5</v>
      </c>
      <c r="H9" s="240">
        <v>30</v>
      </c>
      <c r="I9" s="266"/>
      <c r="J9" s="256"/>
      <c r="K9" s="129" t="s">
        <v>323</v>
      </c>
      <c r="L9" s="130" t="s">
        <v>323</v>
      </c>
      <c r="O9" s="6"/>
      <c r="Q9" s="7"/>
    </row>
    <row r="10" spans="1:17" ht="30.75" customHeight="1" x14ac:dyDescent="0.35">
      <c r="B10" s="276" t="s">
        <v>308</v>
      </c>
      <c r="C10" s="277" t="s">
        <v>117</v>
      </c>
      <c r="D10" s="278" t="s">
        <v>328</v>
      </c>
      <c r="E10" s="279" t="s">
        <v>329</v>
      </c>
      <c r="F10" s="279" t="s">
        <v>91</v>
      </c>
      <c r="G10" s="280" t="s">
        <v>323</v>
      </c>
      <c r="H10" s="281" t="s">
        <v>323</v>
      </c>
      <c r="I10" s="280" t="s">
        <v>323</v>
      </c>
      <c r="J10" s="281" t="s">
        <v>323</v>
      </c>
      <c r="K10" s="412">
        <v>6.1999999999999998E-3</v>
      </c>
      <c r="L10" s="282" t="s">
        <v>323</v>
      </c>
      <c r="M10" s="39"/>
      <c r="N10" s="125"/>
      <c r="O10" s="8"/>
      <c r="P10" s="9"/>
      <c r="Q10" s="141">
        <f>0.0001</f>
        <v>1E-4</v>
      </c>
    </row>
    <row r="11" spans="1:17" x14ac:dyDescent="0.35">
      <c r="D11" s="15"/>
      <c r="M11" s="39"/>
    </row>
    <row r="12" spans="1:17" ht="48" customHeight="1" x14ac:dyDescent="0.35">
      <c r="O12" s="47" t="s">
        <v>330</v>
      </c>
      <c r="P12" s="47"/>
      <c r="Q12" s="47"/>
    </row>
    <row r="13" spans="1:17" x14ac:dyDescent="0.35">
      <c r="O13" s="598">
        <f>P15/P14</f>
        <v>0.45201103313638347</v>
      </c>
      <c r="P13" s="598"/>
      <c r="Q13" s="48" t="s">
        <v>331</v>
      </c>
    </row>
    <row r="14" spans="1:17" x14ac:dyDescent="0.35">
      <c r="O14" s="232" t="s">
        <v>332</v>
      </c>
      <c r="P14" s="233">
        <v>54.0916</v>
      </c>
      <c r="Q14" s="48" t="s">
        <v>333</v>
      </c>
    </row>
    <row r="15" spans="1:17" x14ac:dyDescent="0.35">
      <c r="O15" s="437" t="s">
        <v>334</v>
      </c>
      <c r="P15" s="233">
        <v>24.45</v>
      </c>
      <c r="Q15" s="48" t="s">
        <v>335</v>
      </c>
    </row>
    <row r="18" spans="15:18" x14ac:dyDescent="0.35">
      <c r="O18" s="49" t="s">
        <v>336</v>
      </c>
      <c r="P18" s="49"/>
      <c r="Q18" s="49" t="s">
        <v>66</v>
      </c>
      <c r="R18" s="2" t="s">
        <v>69</v>
      </c>
    </row>
    <row r="19" spans="15:18" x14ac:dyDescent="0.35">
      <c r="O19" s="596" t="s">
        <v>337</v>
      </c>
      <c r="P19" s="597"/>
      <c r="Q19" s="235">
        <v>1.3193188710426619E-3</v>
      </c>
      <c r="R19" s="235">
        <v>1.7541188791086573E-4</v>
      </c>
    </row>
    <row r="20" spans="15:18" ht="29" x14ac:dyDescent="0.35">
      <c r="O20" s="594" t="s">
        <v>64</v>
      </c>
      <c r="P20" s="595"/>
      <c r="Q20" s="36" t="s">
        <v>66</v>
      </c>
      <c r="R20" s="36" t="s">
        <v>69</v>
      </c>
    </row>
    <row r="21" spans="15:18" x14ac:dyDescent="0.35">
      <c r="O21" s="593" t="s">
        <v>338</v>
      </c>
      <c r="P21" s="593"/>
      <c r="Q21" s="593"/>
    </row>
    <row r="24" spans="15:18" x14ac:dyDescent="0.35">
      <c r="O24" s="33" t="s">
        <v>337</v>
      </c>
      <c r="P24" s="34">
        <v>0</v>
      </c>
    </row>
    <row r="25" spans="15:18" x14ac:dyDescent="0.35">
      <c r="O25" s="35" t="s">
        <v>64</v>
      </c>
      <c r="P25" s="36">
        <v>0</v>
      </c>
    </row>
  </sheetData>
  <sheetProtection sheet="1" objects="1" scenarios="1" formatCells="0" formatColumns="0" formatRows="0"/>
  <mergeCells count="11">
    <mergeCell ref="O21:Q21"/>
    <mergeCell ref="O20:P20"/>
    <mergeCell ref="O19:P19"/>
    <mergeCell ref="O13:P13"/>
    <mergeCell ref="A1:N1"/>
    <mergeCell ref="O5:Q5"/>
    <mergeCell ref="C6:D6"/>
    <mergeCell ref="K5:L5"/>
    <mergeCell ref="G5:J5"/>
    <mergeCell ref="G4:H4"/>
    <mergeCell ref="I4:J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2FE1-502C-4675-9188-53376BECC752}">
  <dimension ref="B1:V164"/>
  <sheetViews>
    <sheetView zoomScale="110" zoomScaleNormal="110" workbookViewId="0">
      <pane xSplit="3" topLeftCell="H1" activePane="topRight" state="frozen"/>
      <selection pane="topRight" activeCell="C1" sqref="C1"/>
    </sheetView>
  </sheetViews>
  <sheetFormatPr defaultColWidth="9.26953125" defaultRowHeight="13" x14ac:dyDescent="0.3"/>
  <cols>
    <col min="1" max="1" width="7.1796875" style="19" customWidth="1"/>
    <col min="2" max="2" width="10.81640625" style="19" customWidth="1"/>
    <col min="3" max="3" width="66.54296875" style="19" customWidth="1"/>
    <col min="4" max="4" width="37.7265625" style="19" customWidth="1"/>
    <col min="5" max="5" width="29.26953125" style="19" customWidth="1"/>
    <col min="6" max="7" width="11.1796875" style="19" customWidth="1"/>
    <col min="8" max="8" width="11.26953125" style="19" customWidth="1"/>
    <col min="9" max="11" width="12.453125" style="19" customWidth="1"/>
    <col min="12" max="12" width="11.54296875" style="19" customWidth="1"/>
    <col min="13" max="15" width="11.26953125" style="19" customWidth="1"/>
    <col min="16" max="16" width="11.453125" style="19" customWidth="1"/>
    <col min="17" max="17" width="13.453125" style="19" customWidth="1"/>
    <col min="18" max="19" width="11.26953125" style="19" customWidth="1"/>
    <col min="20" max="21" width="11.54296875" style="19" customWidth="1"/>
    <col min="22" max="22" width="72.453125" style="19" customWidth="1"/>
    <col min="23" max="16384" width="9.26953125" style="19"/>
  </cols>
  <sheetData>
    <row r="1" spans="2:22" ht="13.5" thickBot="1" x14ac:dyDescent="0.35">
      <c r="C1" s="304" t="s">
        <v>339</v>
      </c>
      <c r="D1" s="305" t="s">
        <v>340</v>
      </c>
      <c r="E1" s="305"/>
      <c r="F1" s="305"/>
      <c r="G1" s="305"/>
      <c r="H1" s="305"/>
      <c r="I1" s="305"/>
      <c r="J1" s="305"/>
      <c r="K1" s="305"/>
      <c r="L1" s="305"/>
      <c r="M1" s="305"/>
      <c r="N1" s="305"/>
      <c r="O1" s="305"/>
      <c r="P1" s="305"/>
      <c r="Q1" s="305"/>
      <c r="R1" s="305"/>
      <c r="S1" s="305"/>
    </row>
    <row r="2" spans="2:22" ht="27" customHeight="1" thickBot="1" x14ac:dyDescent="0.35">
      <c r="B2" s="610" t="s">
        <v>103</v>
      </c>
      <c r="C2" s="613" t="s">
        <v>43</v>
      </c>
      <c r="D2" s="615" t="s">
        <v>49</v>
      </c>
      <c r="E2" s="615" t="s">
        <v>50</v>
      </c>
      <c r="F2" s="617" t="s">
        <v>341</v>
      </c>
      <c r="G2" s="618"/>
      <c r="H2" s="621" t="s">
        <v>342</v>
      </c>
      <c r="I2" s="622"/>
      <c r="J2" s="633" t="s">
        <v>343</v>
      </c>
      <c r="K2" s="621"/>
      <c r="L2" s="633" t="s">
        <v>53</v>
      </c>
      <c r="M2" s="634"/>
      <c r="N2" s="633" t="s">
        <v>54</v>
      </c>
      <c r="O2" s="634"/>
      <c r="P2" s="622" t="s">
        <v>55</v>
      </c>
      <c r="Q2" s="622"/>
      <c r="R2" s="621" t="s">
        <v>56</v>
      </c>
      <c r="S2" s="622"/>
      <c r="T2" s="615" t="s">
        <v>344</v>
      </c>
      <c r="U2" s="615" t="s">
        <v>345</v>
      </c>
      <c r="V2" s="625" t="s">
        <v>346</v>
      </c>
    </row>
    <row r="3" spans="2:22" ht="14.15" customHeight="1" thickBot="1" x14ac:dyDescent="0.45">
      <c r="B3" s="611"/>
      <c r="C3" s="613"/>
      <c r="D3" s="615"/>
      <c r="E3" s="623"/>
      <c r="F3" s="619"/>
      <c r="G3" s="620"/>
      <c r="H3" s="627" t="s">
        <v>347</v>
      </c>
      <c r="I3" s="627"/>
      <c r="J3" s="627" t="s">
        <v>348</v>
      </c>
      <c r="K3" s="628"/>
      <c r="L3" s="627" t="s">
        <v>349</v>
      </c>
      <c r="M3" s="628"/>
      <c r="N3" s="629" t="s">
        <v>288</v>
      </c>
      <c r="O3" s="630"/>
      <c r="P3" s="629" t="s">
        <v>288</v>
      </c>
      <c r="Q3" s="630"/>
      <c r="R3" s="631" t="s">
        <v>289</v>
      </c>
      <c r="S3" s="632"/>
      <c r="T3" s="615"/>
      <c r="U3" s="623"/>
      <c r="V3" s="625"/>
    </row>
    <row r="4" spans="2:22" ht="27" customHeight="1" thickBot="1" x14ac:dyDescent="0.35">
      <c r="B4" s="612"/>
      <c r="C4" s="614"/>
      <c r="D4" s="616"/>
      <c r="E4" s="624"/>
      <c r="F4" s="306" t="s">
        <v>128</v>
      </c>
      <c r="G4" s="306" t="s">
        <v>69</v>
      </c>
      <c r="H4" s="306" t="s">
        <v>128</v>
      </c>
      <c r="I4" s="306" t="s">
        <v>69</v>
      </c>
      <c r="J4" s="306" t="s">
        <v>128</v>
      </c>
      <c r="K4" s="307" t="s">
        <v>69</v>
      </c>
      <c r="L4" s="306" t="s">
        <v>128</v>
      </c>
      <c r="M4" s="308" t="s">
        <v>69</v>
      </c>
      <c r="N4" s="306" t="s">
        <v>128</v>
      </c>
      <c r="O4" s="306" t="s">
        <v>69</v>
      </c>
      <c r="P4" s="306" t="s">
        <v>128</v>
      </c>
      <c r="Q4" s="306" t="s">
        <v>69</v>
      </c>
      <c r="R4" s="306" t="s">
        <v>128</v>
      </c>
      <c r="S4" s="306" t="s">
        <v>69</v>
      </c>
      <c r="T4" s="635"/>
      <c r="U4" s="624"/>
      <c r="V4" s="626"/>
    </row>
    <row r="5" spans="2:22" x14ac:dyDescent="0.3">
      <c r="B5" s="376" t="s">
        <v>121</v>
      </c>
      <c r="C5" s="367" t="s">
        <v>350</v>
      </c>
      <c r="D5" s="347" t="s">
        <v>64</v>
      </c>
      <c r="E5" s="334" t="s">
        <v>65</v>
      </c>
      <c r="F5" s="309">
        <v>250</v>
      </c>
      <c r="G5" s="310">
        <v>250</v>
      </c>
      <c r="H5" s="383">
        <v>0.44900000000000001</v>
      </c>
      <c r="I5" s="383">
        <v>2.5000000000000001E-2</v>
      </c>
      <c r="J5" s="354" t="s">
        <v>145</v>
      </c>
      <c r="K5" s="311" t="s">
        <v>145</v>
      </c>
      <c r="L5" s="383">
        <v>0.30544217687074832</v>
      </c>
      <c r="M5" s="383">
        <v>1.7006802721088437E-2</v>
      </c>
      <c r="N5" s="383">
        <v>0.22399092970521542</v>
      </c>
      <c r="O5" s="383">
        <v>1.2471655328798186E-2</v>
      </c>
      <c r="P5" s="384">
        <v>0.21757524927779331</v>
      </c>
      <c r="Q5" s="384">
        <v>1.2114434815021899E-2</v>
      </c>
      <c r="R5" s="384">
        <v>5.4672754946727554E-2</v>
      </c>
      <c r="S5" s="384">
        <v>2.3592085235920853E-3</v>
      </c>
      <c r="T5" s="355">
        <v>455</v>
      </c>
      <c r="U5" s="312">
        <v>0</v>
      </c>
      <c r="V5" s="313" t="s">
        <v>351</v>
      </c>
    </row>
    <row r="6" spans="2:22" x14ac:dyDescent="0.3">
      <c r="B6" s="376" t="s">
        <v>129</v>
      </c>
      <c r="C6" s="367" t="s">
        <v>352</v>
      </c>
      <c r="D6" s="314" t="s">
        <v>64</v>
      </c>
      <c r="E6" s="314" t="s">
        <v>65</v>
      </c>
      <c r="F6" s="315">
        <v>5</v>
      </c>
      <c r="G6" s="346">
        <v>5</v>
      </c>
      <c r="H6" s="383">
        <v>0.78400000000000003</v>
      </c>
      <c r="I6" s="383">
        <v>0.37</v>
      </c>
      <c r="J6" s="354" t="s">
        <v>145</v>
      </c>
      <c r="K6" s="311" t="s">
        <v>145</v>
      </c>
      <c r="L6" s="383">
        <v>0.53333333333333344</v>
      </c>
      <c r="M6" s="383">
        <v>0.25170068027210885</v>
      </c>
      <c r="N6" s="383">
        <v>8.8888888888888892E-2</v>
      </c>
      <c r="O6" s="383">
        <v>4.195011337868481E-2</v>
      </c>
      <c r="P6" s="383">
        <v>7.3059360730593614E-3</v>
      </c>
      <c r="Q6" s="383">
        <v>3.4479545242754638E-3</v>
      </c>
      <c r="R6" s="383">
        <v>1.8358506029738909E-3</v>
      </c>
      <c r="S6" s="383">
        <v>6.7146704133005507E-4</v>
      </c>
      <c r="T6" s="355">
        <v>3</v>
      </c>
      <c r="U6" s="312">
        <v>0</v>
      </c>
      <c r="V6" s="313"/>
    </row>
    <row r="7" spans="2:22" x14ac:dyDescent="0.3">
      <c r="B7" s="376" t="s">
        <v>160</v>
      </c>
      <c r="C7" s="367" t="s">
        <v>350</v>
      </c>
      <c r="D7" s="314" t="s">
        <v>68</v>
      </c>
      <c r="E7" s="314" t="s">
        <v>65</v>
      </c>
      <c r="F7" s="309">
        <v>250</v>
      </c>
      <c r="G7" s="159">
        <v>250</v>
      </c>
      <c r="H7" s="383">
        <v>1.7000000000000001E-2</v>
      </c>
      <c r="I7" s="383">
        <v>8.0000000000000002E-3</v>
      </c>
      <c r="J7" s="354" t="s">
        <v>145</v>
      </c>
      <c r="K7" s="311" t="s">
        <v>145</v>
      </c>
      <c r="L7" s="383">
        <v>1.1564625850340137E-2</v>
      </c>
      <c r="M7" s="383">
        <v>5.4421768707482989E-3</v>
      </c>
      <c r="N7" s="383">
        <v>8.4807256235827667E-3</v>
      </c>
      <c r="O7" s="383">
        <v>3.9909297052154197E-3</v>
      </c>
      <c r="P7" s="383">
        <v>8.2378156742148913E-3</v>
      </c>
      <c r="Q7" s="383">
        <v>3.876619140807008E-3</v>
      </c>
      <c r="R7" s="383">
        <v>2.0700152207001523E-3</v>
      </c>
      <c r="S7" s="383">
        <v>7.5494672754946733E-4</v>
      </c>
      <c r="T7" s="355">
        <v>39</v>
      </c>
      <c r="U7" s="312">
        <v>0</v>
      </c>
      <c r="V7" s="313"/>
    </row>
    <row r="8" spans="2:22" x14ac:dyDescent="0.3">
      <c r="B8" s="376" t="s">
        <v>131</v>
      </c>
      <c r="C8" s="367" t="s">
        <v>353</v>
      </c>
      <c r="D8" s="314" t="s">
        <v>64</v>
      </c>
      <c r="E8" s="314" t="s">
        <v>65</v>
      </c>
      <c r="F8" s="159">
        <v>250</v>
      </c>
      <c r="G8" s="159">
        <v>250</v>
      </c>
      <c r="H8" s="383">
        <v>0.16</v>
      </c>
      <c r="I8" s="383">
        <v>0.02</v>
      </c>
      <c r="J8" s="354" t="s">
        <v>145</v>
      </c>
      <c r="K8" s="311" t="s">
        <v>145</v>
      </c>
      <c r="L8" s="383">
        <v>0.108843537414966</v>
      </c>
      <c r="M8" s="383">
        <v>1.360544217687075E-2</v>
      </c>
      <c r="N8" s="383">
        <v>7.9818594104308388E-2</v>
      </c>
      <c r="O8" s="383">
        <v>9.9773242630385485E-3</v>
      </c>
      <c r="P8" s="383">
        <v>7.7532382816140152E-2</v>
      </c>
      <c r="Q8" s="383">
        <v>9.6915478520175208E-3</v>
      </c>
      <c r="R8" s="383">
        <v>1.9482496194824964E-2</v>
      </c>
      <c r="S8" s="383">
        <v>1.8873668188736684E-3</v>
      </c>
      <c r="T8" s="355">
        <v>313</v>
      </c>
      <c r="U8" s="312">
        <v>0</v>
      </c>
      <c r="V8" s="313"/>
    </row>
    <row r="9" spans="2:22" x14ac:dyDescent="0.3">
      <c r="B9" s="376" t="s">
        <v>133</v>
      </c>
      <c r="C9" s="367" t="s">
        <v>354</v>
      </c>
      <c r="D9" s="314" t="s">
        <v>64</v>
      </c>
      <c r="E9" s="314" t="s">
        <v>65</v>
      </c>
      <c r="F9" s="315">
        <v>5</v>
      </c>
      <c r="G9" s="315">
        <v>5</v>
      </c>
      <c r="H9" s="383">
        <v>0.25</v>
      </c>
      <c r="I9" s="383">
        <v>0.13</v>
      </c>
      <c r="J9" s="354" t="s">
        <v>145</v>
      </c>
      <c r="K9" s="311" t="s">
        <v>145</v>
      </c>
      <c r="L9" s="383">
        <v>6.1224489795918366E-2</v>
      </c>
      <c r="M9" s="383">
        <v>3.0612244897959183E-2</v>
      </c>
      <c r="N9" s="383">
        <v>1.020408163265306E-2</v>
      </c>
      <c r="O9" s="383">
        <v>5.1020408163265302E-3</v>
      </c>
      <c r="P9" s="383">
        <v>2.3296990028888265E-3</v>
      </c>
      <c r="Q9" s="383">
        <v>1.2114434815021901E-3</v>
      </c>
      <c r="R9" s="383">
        <v>5.8541154431565395E-4</v>
      </c>
      <c r="S9" s="383">
        <v>2.3592085235920855E-4</v>
      </c>
      <c r="T9" s="355">
        <v>5</v>
      </c>
      <c r="U9" s="312">
        <v>0</v>
      </c>
      <c r="V9" s="313"/>
    </row>
    <row r="10" spans="2:22" x14ac:dyDescent="0.3">
      <c r="B10" s="376" t="s">
        <v>135</v>
      </c>
      <c r="C10" s="367" t="s">
        <v>355</v>
      </c>
      <c r="D10" s="314" t="s">
        <v>64</v>
      </c>
      <c r="E10" s="314" t="s">
        <v>65</v>
      </c>
      <c r="F10" s="315">
        <v>14</v>
      </c>
      <c r="G10" s="315">
        <v>14</v>
      </c>
      <c r="H10" s="383">
        <v>0.13900000000000001</v>
      </c>
      <c r="I10" s="383">
        <v>1.7000000000000001E-2</v>
      </c>
      <c r="J10" s="354" t="s">
        <v>145</v>
      </c>
      <c r="K10" s="311" t="s">
        <v>145</v>
      </c>
      <c r="L10" s="383">
        <v>9.4557823129251706E-2</v>
      </c>
      <c r="M10" s="383">
        <v>1.1564625850340137E-2</v>
      </c>
      <c r="N10" s="383">
        <v>4.4126984126984133E-2</v>
      </c>
      <c r="O10" s="383">
        <v>5.3968253968253973E-3</v>
      </c>
      <c r="P10" s="383">
        <v>3.6268754076973259E-3</v>
      </c>
      <c r="Q10" s="383">
        <v>4.4357469015003263E-4</v>
      </c>
      <c r="R10" s="383">
        <v>9.1136869219061003E-4</v>
      </c>
      <c r="S10" s="383">
        <v>8.6383327479217886E-5</v>
      </c>
      <c r="T10" s="355">
        <v>4</v>
      </c>
      <c r="U10" s="312">
        <v>0</v>
      </c>
      <c r="V10" s="313"/>
    </row>
    <row r="11" spans="2:22" x14ac:dyDescent="0.3">
      <c r="B11" s="376"/>
      <c r="C11" s="367" t="s">
        <v>353</v>
      </c>
      <c r="D11" s="314" t="s">
        <v>68</v>
      </c>
      <c r="E11" s="314" t="s">
        <v>65</v>
      </c>
      <c r="F11" s="309">
        <v>250</v>
      </c>
      <c r="G11" s="159">
        <v>250</v>
      </c>
      <c r="H11" s="383">
        <v>1.7000000000000001E-2</v>
      </c>
      <c r="I11" s="383">
        <v>8.0000000000000002E-3</v>
      </c>
      <c r="J11" s="354" t="s">
        <v>145</v>
      </c>
      <c r="K11" s="311" t="s">
        <v>145</v>
      </c>
      <c r="L11" s="383">
        <v>1.1564625850340137E-2</v>
      </c>
      <c r="M11" s="383">
        <v>5.4421768707482989E-3</v>
      </c>
      <c r="N11" s="383">
        <v>8.4807256235827667E-3</v>
      </c>
      <c r="O11" s="383">
        <v>3.9909297052154197E-3</v>
      </c>
      <c r="P11" s="383">
        <v>8.2378156742148913E-3</v>
      </c>
      <c r="Q11" s="383">
        <v>3.876619140807008E-3</v>
      </c>
      <c r="R11" s="383">
        <v>2.0700152207001523E-3</v>
      </c>
      <c r="S11" s="383">
        <v>7.5494672754946733E-4</v>
      </c>
      <c r="T11" s="355">
        <v>39</v>
      </c>
      <c r="U11" s="312">
        <v>0</v>
      </c>
      <c r="V11" s="313"/>
    </row>
    <row r="12" spans="2:22" x14ac:dyDescent="0.3">
      <c r="B12" s="376" t="s">
        <v>137</v>
      </c>
      <c r="C12" s="367" t="s">
        <v>356</v>
      </c>
      <c r="D12" s="314" t="s">
        <v>64</v>
      </c>
      <c r="E12" s="314" t="s">
        <v>65</v>
      </c>
      <c r="F12" s="159">
        <v>250</v>
      </c>
      <c r="G12" s="159">
        <v>250</v>
      </c>
      <c r="H12" s="383">
        <v>0.23499999999999999</v>
      </c>
      <c r="I12" s="383">
        <v>2.5000000000000001E-2</v>
      </c>
      <c r="J12" s="354" t="s">
        <v>145</v>
      </c>
      <c r="K12" s="311" t="s">
        <v>145</v>
      </c>
      <c r="L12" s="383">
        <v>0.15986394557823128</v>
      </c>
      <c r="M12" s="383">
        <v>1.7006802721088437E-2</v>
      </c>
      <c r="N12" s="383">
        <v>0.11723356009070295</v>
      </c>
      <c r="O12" s="383">
        <v>1.2471655328798186E-2</v>
      </c>
      <c r="P12" s="383">
        <v>0.11387568726120585</v>
      </c>
      <c r="Q12" s="383">
        <v>1.2114434815021899E-2</v>
      </c>
      <c r="R12" s="383">
        <v>2.8614916286149164E-2</v>
      </c>
      <c r="S12" s="383">
        <v>2.3592085235920853E-3</v>
      </c>
      <c r="T12" s="355">
        <v>215</v>
      </c>
      <c r="U12" s="312">
        <v>0</v>
      </c>
      <c r="V12" s="313"/>
    </row>
    <row r="13" spans="2:22" x14ac:dyDescent="0.3">
      <c r="B13" s="376" t="s">
        <v>139</v>
      </c>
      <c r="C13" s="367" t="s">
        <v>357</v>
      </c>
      <c r="D13" s="314" t="s">
        <v>64</v>
      </c>
      <c r="E13" s="314" t="s">
        <v>65</v>
      </c>
      <c r="F13" s="315">
        <v>5</v>
      </c>
      <c r="G13" s="315">
        <v>5</v>
      </c>
      <c r="H13" s="383">
        <v>60.03</v>
      </c>
      <c r="I13" s="383">
        <v>60.03</v>
      </c>
      <c r="J13" s="354" t="s">
        <v>145</v>
      </c>
      <c r="K13" s="311" t="s">
        <v>145</v>
      </c>
      <c r="L13" s="383">
        <v>40.836734693877553</v>
      </c>
      <c r="M13" s="383">
        <v>40.836734693877553</v>
      </c>
      <c r="N13" s="383">
        <v>6.8061224489795915</v>
      </c>
      <c r="O13" s="383">
        <v>6.8061224489795915</v>
      </c>
      <c r="P13" s="383">
        <v>0.55940732457366504</v>
      </c>
      <c r="Q13" s="383">
        <v>0.55940732457366504</v>
      </c>
      <c r="R13" s="383">
        <v>0.14056902002107483</v>
      </c>
      <c r="S13" s="383">
        <v>0.10894099051633298</v>
      </c>
      <c r="T13" s="355">
        <v>1</v>
      </c>
      <c r="U13" s="312">
        <v>0</v>
      </c>
      <c r="V13" s="313"/>
    </row>
    <row r="14" spans="2:22" x14ac:dyDescent="0.3">
      <c r="B14" s="376"/>
      <c r="C14" s="367" t="s">
        <v>356</v>
      </c>
      <c r="D14" s="314" t="s">
        <v>68</v>
      </c>
      <c r="E14" s="314" t="s">
        <v>65</v>
      </c>
      <c r="F14" s="309">
        <v>250</v>
      </c>
      <c r="G14" s="159">
        <v>250</v>
      </c>
      <c r="H14" s="383">
        <v>1.7000000000000001E-2</v>
      </c>
      <c r="I14" s="383">
        <v>8.0000000000000002E-3</v>
      </c>
      <c r="J14" s="354" t="s">
        <v>145</v>
      </c>
      <c r="K14" s="311" t="s">
        <v>145</v>
      </c>
      <c r="L14" s="383">
        <v>1.1564625850340137E-2</v>
      </c>
      <c r="M14" s="383">
        <v>5.4421768707482989E-3</v>
      </c>
      <c r="N14" s="383">
        <v>8.4807256235827667E-3</v>
      </c>
      <c r="O14" s="383">
        <v>3.9909297052154197E-3</v>
      </c>
      <c r="P14" s="383">
        <v>8.2378156742148913E-3</v>
      </c>
      <c r="Q14" s="383">
        <v>3.876619140807008E-3</v>
      </c>
      <c r="R14" s="383">
        <v>2.0700152207001523E-3</v>
      </c>
      <c r="S14" s="383">
        <v>7.5494672754946733E-4</v>
      </c>
      <c r="T14" s="355">
        <v>39</v>
      </c>
      <c r="U14" s="312"/>
      <c r="V14" s="313"/>
    </row>
    <row r="15" spans="2:22" x14ac:dyDescent="0.3">
      <c r="B15" s="376" t="s">
        <v>141</v>
      </c>
      <c r="C15" s="367" t="s">
        <v>358</v>
      </c>
      <c r="D15" s="314" t="s">
        <v>64</v>
      </c>
      <c r="E15" s="314" t="s">
        <v>65</v>
      </c>
      <c r="F15" s="159">
        <v>250</v>
      </c>
      <c r="G15" s="159">
        <v>250</v>
      </c>
      <c r="H15" s="383">
        <v>0.27700000000000002</v>
      </c>
      <c r="I15" s="383">
        <v>6.0000000000000001E-3</v>
      </c>
      <c r="J15" s="354" t="s">
        <v>145</v>
      </c>
      <c r="K15" s="311" t="s">
        <v>145</v>
      </c>
      <c r="L15" s="383">
        <v>0.18843537414965988</v>
      </c>
      <c r="M15" s="383">
        <v>4.0816326530612249E-3</v>
      </c>
      <c r="N15" s="383">
        <v>0.1381859410430839</v>
      </c>
      <c r="O15" s="383">
        <v>2.9931972789115648E-3</v>
      </c>
      <c r="P15" s="383">
        <v>0.13422793775044267</v>
      </c>
      <c r="Q15" s="383">
        <v>2.907464355605256E-3</v>
      </c>
      <c r="R15" s="383">
        <v>3.3729071537290718E-2</v>
      </c>
      <c r="S15" s="383">
        <v>5.6621004566210045E-4</v>
      </c>
      <c r="T15" s="355">
        <v>222</v>
      </c>
      <c r="U15" s="312">
        <v>0</v>
      </c>
      <c r="V15" s="313"/>
    </row>
    <row r="16" spans="2:22" x14ac:dyDescent="0.3">
      <c r="B16" s="376" t="s">
        <v>143</v>
      </c>
      <c r="C16" s="367" t="s">
        <v>359</v>
      </c>
      <c r="D16" s="314" t="s">
        <v>64</v>
      </c>
      <c r="E16" s="314" t="s">
        <v>65</v>
      </c>
      <c r="F16" s="315">
        <v>14</v>
      </c>
      <c r="G16" s="315">
        <v>14</v>
      </c>
      <c r="H16" s="383">
        <v>1.2E-2</v>
      </c>
      <c r="I16" s="383">
        <v>8.0000000000000002E-3</v>
      </c>
      <c r="J16" s="354" t="s">
        <v>145</v>
      </c>
      <c r="K16" s="311" t="s">
        <v>145</v>
      </c>
      <c r="L16" s="383">
        <v>8.1632653061224497E-3</v>
      </c>
      <c r="M16" s="383">
        <v>5.4421768707482989E-3</v>
      </c>
      <c r="N16" s="383">
        <v>3.80952380952381E-3</v>
      </c>
      <c r="O16" s="383">
        <v>2.5396825396825397E-3</v>
      </c>
      <c r="P16" s="383">
        <v>3.1311154598825838E-4</v>
      </c>
      <c r="Q16" s="383">
        <v>2.0874103065883888E-4</v>
      </c>
      <c r="R16" s="383">
        <v>7.8679311556023896E-5</v>
      </c>
      <c r="S16" s="383">
        <v>4.0650977637279005E-5</v>
      </c>
      <c r="T16" s="355">
        <v>8</v>
      </c>
      <c r="U16" s="312">
        <v>0</v>
      </c>
      <c r="V16" s="313"/>
    </row>
    <row r="17" spans="2:22" x14ac:dyDescent="0.3">
      <c r="B17" s="376"/>
      <c r="C17" s="367" t="s">
        <v>358</v>
      </c>
      <c r="D17" s="314" t="s">
        <v>68</v>
      </c>
      <c r="E17" s="314" t="s">
        <v>65</v>
      </c>
      <c r="F17" s="309">
        <v>250</v>
      </c>
      <c r="G17" s="159">
        <v>250</v>
      </c>
      <c r="H17" s="383">
        <v>1.7000000000000001E-2</v>
      </c>
      <c r="I17" s="383">
        <v>8.0000000000000002E-3</v>
      </c>
      <c r="J17" s="354" t="s">
        <v>145</v>
      </c>
      <c r="K17" s="311" t="s">
        <v>145</v>
      </c>
      <c r="L17" s="383">
        <v>1.1564625850340137E-2</v>
      </c>
      <c r="M17" s="383">
        <v>5.4421768707482989E-3</v>
      </c>
      <c r="N17" s="383">
        <v>8.4807256235827667E-3</v>
      </c>
      <c r="O17" s="383">
        <v>3.9909297052154197E-3</v>
      </c>
      <c r="P17" s="383">
        <v>8.2378156742148913E-3</v>
      </c>
      <c r="Q17" s="383">
        <v>3.876619140807008E-3</v>
      </c>
      <c r="R17" s="383">
        <v>2.0700152207001523E-3</v>
      </c>
      <c r="S17" s="383">
        <v>7.5494672754946733E-4</v>
      </c>
      <c r="T17" s="355">
        <v>39</v>
      </c>
      <c r="U17" s="312">
        <v>0</v>
      </c>
      <c r="V17" s="313"/>
    </row>
    <row r="18" spans="2:22" x14ac:dyDescent="0.3">
      <c r="B18" s="376" t="s">
        <v>146</v>
      </c>
      <c r="C18" s="367" t="s">
        <v>360</v>
      </c>
      <c r="D18" s="314" t="s">
        <v>64</v>
      </c>
      <c r="E18" s="314" t="s">
        <v>65</v>
      </c>
      <c r="F18" s="159">
        <v>250</v>
      </c>
      <c r="G18" s="159">
        <v>250</v>
      </c>
      <c r="H18" s="383">
        <v>0.23400000000000001</v>
      </c>
      <c r="I18" s="383">
        <v>0.152</v>
      </c>
      <c r="J18" s="354" t="s">
        <v>145</v>
      </c>
      <c r="K18" s="311" t="s">
        <v>145</v>
      </c>
      <c r="L18" s="383">
        <v>0.15918367346938775</v>
      </c>
      <c r="M18" s="383">
        <v>0.10340136054421768</v>
      </c>
      <c r="N18" s="383">
        <v>0.11673469387755103</v>
      </c>
      <c r="O18" s="383">
        <v>7.582766439909297E-2</v>
      </c>
      <c r="P18" s="383">
        <v>0.113391109868605</v>
      </c>
      <c r="Q18" s="383">
        <v>7.3655763675333136E-2</v>
      </c>
      <c r="R18" s="383">
        <v>2.8493150684931513E-2</v>
      </c>
      <c r="S18" s="383">
        <v>1.4343987823439878E-2</v>
      </c>
      <c r="T18" s="355">
        <v>354</v>
      </c>
      <c r="U18" s="312">
        <v>0</v>
      </c>
      <c r="V18" s="313"/>
    </row>
    <row r="19" spans="2:22" ht="28" customHeight="1" x14ac:dyDescent="0.3">
      <c r="B19" s="376" t="s">
        <v>148</v>
      </c>
      <c r="C19" s="367" t="s">
        <v>361</v>
      </c>
      <c r="D19" s="314" t="s">
        <v>64</v>
      </c>
      <c r="E19" s="314" t="s">
        <v>65</v>
      </c>
      <c r="F19" s="315">
        <v>5</v>
      </c>
      <c r="G19" s="315">
        <v>5</v>
      </c>
      <c r="H19" s="383">
        <v>0.61899999999999999</v>
      </c>
      <c r="I19" s="383">
        <v>0.34100000000000003</v>
      </c>
      <c r="J19" s="354" t="s">
        <v>145</v>
      </c>
      <c r="K19" s="311" t="s">
        <v>145</v>
      </c>
      <c r="L19" s="383">
        <v>0.42108843537414969</v>
      </c>
      <c r="M19" s="383">
        <v>0.23197278911564628</v>
      </c>
      <c r="N19" s="383">
        <v>7.0181405895691606E-2</v>
      </c>
      <c r="O19" s="383">
        <v>3.8662131519274376E-2</v>
      </c>
      <c r="P19" s="383">
        <v>5.7683347311527347E-3</v>
      </c>
      <c r="Q19" s="383">
        <v>3.1777094399403601E-3</v>
      </c>
      <c r="R19" s="383">
        <v>1.4494789837255588E-3</v>
      </c>
      <c r="S19" s="383">
        <v>6.1883854349607781E-4</v>
      </c>
      <c r="T19" s="355">
        <v>2</v>
      </c>
      <c r="U19" s="312">
        <v>0</v>
      </c>
      <c r="V19" s="313"/>
    </row>
    <row r="20" spans="2:22" ht="28" customHeight="1" x14ac:dyDescent="0.3">
      <c r="B20" s="376" t="s">
        <v>150</v>
      </c>
      <c r="C20" s="367" t="s">
        <v>362</v>
      </c>
      <c r="D20" s="314" t="s">
        <v>64</v>
      </c>
      <c r="E20" s="314" t="s">
        <v>65</v>
      </c>
      <c r="F20" s="315">
        <v>14</v>
      </c>
      <c r="G20" s="315">
        <v>14</v>
      </c>
      <c r="H20" s="383">
        <v>4.9189999999999996</v>
      </c>
      <c r="I20" s="383">
        <v>2.9000000000000001E-2</v>
      </c>
      <c r="J20" s="354" t="s">
        <v>145</v>
      </c>
      <c r="K20" s="311" t="s">
        <v>145</v>
      </c>
      <c r="L20" s="383">
        <v>3.3462585034013603</v>
      </c>
      <c r="M20" s="383">
        <v>1.9727891156462587E-2</v>
      </c>
      <c r="N20" s="383">
        <v>1.5615873015873016</v>
      </c>
      <c r="O20" s="383">
        <v>9.2063492063492076E-3</v>
      </c>
      <c r="P20" s="383">
        <v>0.12834964122635356</v>
      </c>
      <c r="Q20" s="383">
        <v>7.566862361382909E-4</v>
      </c>
      <c r="R20" s="383">
        <v>3.2251961128673456E-2</v>
      </c>
      <c r="S20" s="383">
        <v>1.4735979393513639E-4</v>
      </c>
      <c r="T20" s="355">
        <v>33</v>
      </c>
      <c r="U20" s="312">
        <v>0</v>
      </c>
      <c r="V20" s="313"/>
    </row>
    <row r="21" spans="2:22" ht="28" customHeight="1" x14ac:dyDescent="0.3">
      <c r="B21" s="376"/>
      <c r="C21" s="367" t="s">
        <v>360</v>
      </c>
      <c r="D21" s="314" t="s">
        <v>68</v>
      </c>
      <c r="E21" s="314" t="s">
        <v>65</v>
      </c>
      <c r="F21" s="309">
        <v>250</v>
      </c>
      <c r="G21" s="159">
        <v>250</v>
      </c>
      <c r="H21" s="383">
        <v>1.7000000000000001E-2</v>
      </c>
      <c r="I21" s="383">
        <v>8.0000000000000002E-3</v>
      </c>
      <c r="J21" s="354" t="s">
        <v>145</v>
      </c>
      <c r="K21" s="311" t="s">
        <v>145</v>
      </c>
      <c r="L21" s="383">
        <v>1.1564625850340137E-2</v>
      </c>
      <c r="M21" s="383">
        <v>5.4421768707482989E-3</v>
      </c>
      <c r="N21" s="383">
        <v>8.4807256235827667E-3</v>
      </c>
      <c r="O21" s="383">
        <v>3.9909297052154197E-3</v>
      </c>
      <c r="P21" s="383">
        <v>8.2378156742148913E-3</v>
      </c>
      <c r="Q21" s="383">
        <v>3.876619140807008E-3</v>
      </c>
      <c r="R21" s="383">
        <v>2.0700152207001523E-3</v>
      </c>
      <c r="S21" s="383">
        <v>7.5494672754946733E-4</v>
      </c>
      <c r="T21" s="355">
        <v>39</v>
      </c>
      <c r="U21" s="312">
        <v>0</v>
      </c>
      <c r="V21" s="313"/>
    </row>
    <row r="22" spans="2:22" x14ac:dyDescent="0.3">
      <c r="B22" s="376" t="s">
        <v>152</v>
      </c>
      <c r="C22" s="367" t="s">
        <v>363</v>
      </c>
      <c r="D22" s="314" t="s">
        <v>64</v>
      </c>
      <c r="E22" s="314" t="s">
        <v>65</v>
      </c>
      <c r="F22" s="159">
        <v>250</v>
      </c>
      <c r="G22" s="159">
        <v>250</v>
      </c>
      <c r="H22" s="383">
        <v>0.2</v>
      </c>
      <c r="I22" s="383">
        <v>0.02</v>
      </c>
      <c r="J22" s="354" t="s">
        <v>145</v>
      </c>
      <c r="K22" s="311" t="s">
        <v>145</v>
      </c>
      <c r="L22" s="383">
        <v>0.1360544217687075</v>
      </c>
      <c r="M22" s="383">
        <v>1.360544217687075E-2</v>
      </c>
      <c r="N22" s="383">
        <v>9.9773242630385492E-2</v>
      </c>
      <c r="O22" s="383">
        <v>9.9773242630385485E-3</v>
      </c>
      <c r="P22" s="383">
        <v>9.6915478520175194E-2</v>
      </c>
      <c r="Q22" s="383">
        <v>9.6915478520175208E-3</v>
      </c>
      <c r="R22" s="383">
        <v>2.4353120243531201E-2</v>
      </c>
      <c r="S22" s="383">
        <v>1.8873668188736684E-3</v>
      </c>
      <c r="T22" s="355">
        <v>1952</v>
      </c>
      <c r="U22" s="312">
        <v>0</v>
      </c>
      <c r="V22" s="313"/>
    </row>
    <row r="23" spans="2:22" x14ac:dyDescent="0.3">
      <c r="B23" s="376" t="s">
        <v>154</v>
      </c>
      <c r="C23" s="367" t="s">
        <v>364</v>
      </c>
      <c r="D23" s="314" t="s">
        <v>64</v>
      </c>
      <c r="E23" s="314" t="s">
        <v>65</v>
      </c>
      <c r="F23" s="315">
        <v>5</v>
      </c>
      <c r="G23" s="315">
        <v>5</v>
      </c>
      <c r="H23" s="383">
        <v>0.13400000000000001</v>
      </c>
      <c r="I23" s="383">
        <v>3.2000000000000001E-2</v>
      </c>
      <c r="J23" s="354" t="s">
        <v>145</v>
      </c>
      <c r="K23" s="311" t="s">
        <v>145</v>
      </c>
      <c r="L23" s="383">
        <v>9.1156462585034015E-2</v>
      </c>
      <c r="M23" s="383">
        <v>2.1768707482993196E-2</v>
      </c>
      <c r="N23" s="383">
        <v>1.5192743764172336E-2</v>
      </c>
      <c r="O23" s="383">
        <v>3.6281179138321997E-3</v>
      </c>
      <c r="P23" s="383">
        <v>1.2487186655484111E-3</v>
      </c>
      <c r="Q23" s="383">
        <v>2.9820147236976982E-4</v>
      </c>
      <c r="R23" s="383">
        <v>3.1378058775319051E-4</v>
      </c>
      <c r="S23" s="383">
        <v>5.8072825196112867E-5</v>
      </c>
      <c r="T23" s="355">
        <v>38</v>
      </c>
      <c r="U23" s="312">
        <v>0</v>
      </c>
      <c r="V23" s="313"/>
    </row>
    <row r="24" spans="2:22" x14ac:dyDescent="0.3">
      <c r="B24" s="376" t="s">
        <v>156</v>
      </c>
      <c r="C24" s="367" t="s">
        <v>365</v>
      </c>
      <c r="D24" s="314" t="s">
        <v>64</v>
      </c>
      <c r="E24" s="314" t="s">
        <v>65</v>
      </c>
      <c r="F24" s="315">
        <v>14</v>
      </c>
      <c r="G24" s="315">
        <v>14</v>
      </c>
      <c r="H24" s="383">
        <v>0.06</v>
      </c>
      <c r="I24" s="383">
        <v>2.8000000000000001E-2</v>
      </c>
      <c r="J24" s="354" t="s">
        <v>145</v>
      </c>
      <c r="K24" s="311" t="s">
        <v>145</v>
      </c>
      <c r="L24" s="383">
        <v>4.0816326530612249E-2</v>
      </c>
      <c r="M24" s="383">
        <v>1.9047619047619049E-2</v>
      </c>
      <c r="N24" s="383">
        <v>1.9047619047619046E-2</v>
      </c>
      <c r="O24" s="383">
        <v>8.8888888888888906E-3</v>
      </c>
      <c r="P24" s="383">
        <v>1.5655577299412918E-3</v>
      </c>
      <c r="Q24" s="383">
        <v>7.305936073059362E-4</v>
      </c>
      <c r="R24" s="383">
        <v>3.9339655778011941E-4</v>
      </c>
      <c r="S24" s="383">
        <v>1.4227842173047655E-4</v>
      </c>
      <c r="T24" s="355">
        <v>1633</v>
      </c>
      <c r="U24" s="312">
        <v>0</v>
      </c>
      <c r="V24" s="313"/>
    </row>
    <row r="25" spans="2:22" x14ac:dyDescent="0.3">
      <c r="B25" s="376"/>
      <c r="C25" s="367" t="s">
        <v>363</v>
      </c>
      <c r="D25" s="314" t="s">
        <v>68</v>
      </c>
      <c r="E25" s="314" t="s">
        <v>65</v>
      </c>
      <c r="F25" s="309">
        <v>250</v>
      </c>
      <c r="G25" s="159">
        <v>250</v>
      </c>
      <c r="H25" s="383">
        <v>1.7000000000000001E-2</v>
      </c>
      <c r="I25" s="383">
        <v>8.0000000000000002E-3</v>
      </c>
      <c r="J25" s="354" t="s">
        <v>145</v>
      </c>
      <c r="K25" s="311" t="s">
        <v>145</v>
      </c>
      <c r="L25" s="383">
        <v>1.1564625850340137E-2</v>
      </c>
      <c r="M25" s="383">
        <v>5.4421768707482989E-3</v>
      </c>
      <c r="N25" s="383">
        <v>8.4807256235827667E-3</v>
      </c>
      <c r="O25" s="383">
        <v>3.9909297052154197E-3</v>
      </c>
      <c r="P25" s="383">
        <v>8.2378156742148913E-3</v>
      </c>
      <c r="Q25" s="383">
        <v>3.876619140807008E-3</v>
      </c>
      <c r="R25" s="383">
        <v>2.0700152207001523E-3</v>
      </c>
      <c r="S25" s="383">
        <v>7.5494672754946733E-4</v>
      </c>
      <c r="T25" s="316">
        <v>39</v>
      </c>
      <c r="U25" s="318">
        <v>0</v>
      </c>
      <c r="V25" s="313"/>
    </row>
    <row r="26" spans="2:22" x14ac:dyDescent="0.3">
      <c r="B26" s="376" t="s">
        <v>158</v>
      </c>
      <c r="C26" s="367" t="s">
        <v>366</v>
      </c>
      <c r="D26" s="314" t="s">
        <v>64</v>
      </c>
      <c r="E26" s="314" t="s">
        <v>65</v>
      </c>
      <c r="F26" s="159">
        <v>250</v>
      </c>
      <c r="G26" s="309">
        <v>250</v>
      </c>
      <c r="H26" s="383">
        <v>0.36399999999999999</v>
      </c>
      <c r="I26" s="383">
        <v>3.7999999999999999E-2</v>
      </c>
      <c r="J26" s="354" t="s">
        <v>145</v>
      </c>
      <c r="K26" s="311" t="s">
        <v>145</v>
      </c>
      <c r="L26" s="383">
        <v>0.24761904761904763</v>
      </c>
      <c r="M26" s="383">
        <v>2.5850340136054421E-2</v>
      </c>
      <c r="N26" s="383">
        <v>0.18158730158730158</v>
      </c>
      <c r="O26" s="383">
        <v>1.8956916099773242E-2</v>
      </c>
      <c r="P26" s="383">
        <v>0.17638617090671885</v>
      </c>
      <c r="Q26" s="383">
        <v>1.8413940918833284E-2</v>
      </c>
      <c r="R26" s="383">
        <v>4.4322678843226784E-2</v>
      </c>
      <c r="S26" s="383">
        <v>3.5859969558599694E-3</v>
      </c>
      <c r="T26" s="317">
        <v>21</v>
      </c>
      <c r="U26" s="318">
        <v>0</v>
      </c>
      <c r="V26" s="313"/>
    </row>
    <row r="27" spans="2:22" ht="13.5" thickBot="1" x14ac:dyDescent="0.35">
      <c r="B27" s="377"/>
      <c r="C27" s="368" t="s">
        <v>366</v>
      </c>
      <c r="D27" s="351" t="s">
        <v>68</v>
      </c>
      <c r="E27" s="351" t="s">
        <v>65</v>
      </c>
      <c r="F27" s="322">
        <v>250</v>
      </c>
      <c r="G27" s="322">
        <v>250</v>
      </c>
      <c r="H27" s="385">
        <v>1.7000000000000001E-2</v>
      </c>
      <c r="I27" s="385">
        <v>8.0000000000000002E-3</v>
      </c>
      <c r="J27" s="324" t="s">
        <v>145</v>
      </c>
      <c r="K27" s="325" t="s">
        <v>145</v>
      </c>
      <c r="L27" s="385">
        <v>1.1564625850340137E-2</v>
      </c>
      <c r="M27" s="385">
        <v>5.4421768707482989E-3</v>
      </c>
      <c r="N27" s="385">
        <v>8.4807256235827667E-3</v>
      </c>
      <c r="O27" s="385">
        <v>3.9909297052154197E-3</v>
      </c>
      <c r="P27" s="385">
        <v>8.2378156742148913E-3</v>
      </c>
      <c r="Q27" s="385">
        <v>3.876619140807008E-3</v>
      </c>
      <c r="R27" s="385">
        <v>2.0700152207001523E-3</v>
      </c>
      <c r="S27" s="385">
        <v>7.5494672754946733E-4</v>
      </c>
      <c r="T27" s="336">
        <v>39</v>
      </c>
      <c r="U27" s="324">
        <v>0</v>
      </c>
      <c r="V27" s="331"/>
    </row>
    <row r="28" spans="2:22" x14ac:dyDescent="0.3">
      <c r="B28" s="376" t="s">
        <v>161</v>
      </c>
      <c r="C28" s="367" t="s">
        <v>350</v>
      </c>
      <c r="D28" s="347" t="s">
        <v>64</v>
      </c>
      <c r="E28" s="334" t="s">
        <v>67</v>
      </c>
      <c r="F28" s="352">
        <v>167</v>
      </c>
      <c r="G28" s="309">
        <v>167</v>
      </c>
      <c r="H28" s="384">
        <v>0.44900000000000001</v>
      </c>
      <c r="I28" s="384">
        <v>2.5000000000000001E-2</v>
      </c>
      <c r="J28" s="384" t="s">
        <v>145</v>
      </c>
      <c r="K28" s="384" t="s">
        <v>145</v>
      </c>
      <c r="L28" s="384">
        <v>0.45816326530612245</v>
      </c>
      <c r="M28" s="384">
        <v>2.5510204081632657E-2</v>
      </c>
      <c r="N28" s="384">
        <v>0.33598639455782314</v>
      </c>
      <c r="O28" s="384">
        <v>1.8707482993197282E-2</v>
      </c>
      <c r="P28" s="384">
        <v>0.20962538440033546</v>
      </c>
      <c r="Q28" s="384">
        <v>1.1671792004473025E-2</v>
      </c>
      <c r="R28" s="384">
        <v>5.2675096592904806E-2</v>
      </c>
      <c r="S28" s="384">
        <v>2.2730066736916057E-3</v>
      </c>
      <c r="T28" s="355">
        <v>455</v>
      </c>
      <c r="U28" s="312">
        <v>0</v>
      </c>
      <c r="V28" s="313" t="s">
        <v>351</v>
      </c>
    </row>
    <row r="29" spans="2:22" x14ac:dyDescent="0.3">
      <c r="B29" s="376" t="s">
        <v>164</v>
      </c>
      <c r="C29" s="367" t="s">
        <v>352</v>
      </c>
      <c r="D29" s="314" t="s">
        <v>64</v>
      </c>
      <c r="E29" s="314" t="s">
        <v>67</v>
      </c>
      <c r="F29" s="349">
        <v>5</v>
      </c>
      <c r="G29" s="315">
        <v>5</v>
      </c>
      <c r="H29" s="383">
        <v>0.78400000000000003</v>
      </c>
      <c r="I29" s="383">
        <v>0.37</v>
      </c>
      <c r="J29" s="383" t="s">
        <v>145</v>
      </c>
      <c r="K29" s="383" t="s">
        <v>145</v>
      </c>
      <c r="L29" s="383">
        <v>0.80000000000000016</v>
      </c>
      <c r="M29" s="383">
        <v>0.37755102040816318</v>
      </c>
      <c r="N29" s="383">
        <v>0.13333333333333336</v>
      </c>
      <c r="O29" s="383">
        <v>6.2925170068027197E-2</v>
      </c>
      <c r="P29" s="383">
        <v>1.0958904109589045E-2</v>
      </c>
      <c r="Q29" s="383">
        <v>5.1719317864131944E-3</v>
      </c>
      <c r="R29" s="383">
        <v>2.7537759044608365E-3</v>
      </c>
      <c r="S29" s="383">
        <v>1.0072005619950822E-3</v>
      </c>
      <c r="T29" s="355">
        <v>3</v>
      </c>
      <c r="U29" s="312">
        <v>0</v>
      </c>
      <c r="V29" s="313"/>
    </row>
    <row r="30" spans="2:22" x14ac:dyDescent="0.3">
      <c r="B30" s="376" t="s">
        <v>179</v>
      </c>
      <c r="C30" s="367" t="s">
        <v>350</v>
      </c>
      <c r="D30" s="314" t="s">
        <v>68</v>
      </c>
      <c r="E30" s="314" t="s">
        <v>67</v>
      </c>
      <c r="F30" s="352">
        <v>167</v>
      </c>
      <c r="G30" s="309">
        <v>167</v>
      </c>
      <c r="H30" s="383">
        <v>1.7000000000000001E-2</v>
      </c>
      <c r="I30" s="383">
        <v>8.0000000000000002E-3</v>
      </c>
      <c r="J30" s="383" t="s">
        <v>145</v>
      </c>
      <c r="K30" s="383" t="s">
        <v>145</v>
      </c>
      <c r="L30" s="383">
        <v>1.7346938775510207E-2</v>
      </c>
      <c r="M30" s="383">
        <v>8.1632653061224497E-3</v>
      </c>
      <c r="N30" s="383">
        <v>1.272108843537415E-2</v>
      </c>
      <c r="O30" s="383">
        <v>5.9863945578231296E-3</v>
      </c>
      <c r="P30" s="383">
        <v>7.9368185630416567E-3</v>
      </c>
      <c r="Q30" s="383">
        <v>3.7349734414313675E-3</v>
      </c>
      <c r="R30" s="383">
        <v>1.9943800491745703E-3</v>
      </c>
      <c r="S30" s="383">
        <v>7.2736213558131371E-4</v>
      </c>
      <c r="T30" s="355">
        <v>39</v>
      </c>
      <c r="U30" s="312">
        <v>0</v>
      </c>
      <c r="V30" s="313"/>
    </row>
    <row r="31" spans="2:22" x14ac:dyDescent="0.3">
      <c r="B31" s="376" t="s">
        <v>165</v>
      </c>
      <c r="C31" s="367" t="s">
        <v>353</v>
      </c>
      <c r="D31" s="314" t="s">
        <v>64</v>
      </c>
      <c r="E31" s="314" t="s">
        <v>67</v>
      </c>
      <c r="F31" s="348">
        <v>167</v>
      </c>
      <c r="G31" s="159">
        <v>167</v>
      </c>
      <c r="H31" s="383">
        <v>0.16</v>
      </c>
      <c r="I31" s="383">
        <v>0.02</v>
      </c>
      <c r="J31" s="383" t="s">
        <v>145</v>
      </c>
      <c r="K31" s="383" t="s">
        <v>145</v>
      </c>
      <c r="L31" s="383">
        <v>0.16326530612244899</v>
      </c>
      <c r="M31" s="383">
        <v>2.0408163265306124E-2</v>
      </c>
      <c r="N31" s="383">
        <v>0.11972789115646257</v>
      </c>
      <c r="O31" s="383">
        <v>1.4965986394557821E-2</v>
      </c>
      <c r="P31" s="383">
        <v>7.4699468828627338E-2</v>
      </c>
      <c r="Q31" s="383">
        <v>9.337433603578419E-3</v>
      </c>
      <c r="R31" s="383">
        <v>1.8770635756937125E-2</v>
      </c>
      <c r="S31" s="383">
        <v>1.8184053389532842E-3</v>
      </c>
      <c r="T31" s="355">
        <v>313</v>
      </c>
      <c r="U31" s="312">
        <v>0</v>
      </c>
      <c r="V31" s="313"/>
    </row>
    <row r="32" spans="2:22" x14ac:dyDescent="0.3">
      <c r="B32" s="376" t="s">
        <v>166</v>
      </c>
      <c r="C32" s="367" t="s">
        <v>354</v>
      </c>
      <c r="D32" s="314" t="s">
        <v>64</v>
      </c>
      <c r="E32" s="314" t="s">
        <v>67</v>
      </c>
      <c r="F32" s="349">
        <v>5</v>
      </c>
      <c r="G32" s="315">
        <v>5</v>
      </c>
      <c r="H32" s="383">
        <v>0.25</v>
      </c>
      <c r="I32" s="383">
        <v>0.13</v>
      </c>
      <c r="J32" s="383" t="s">
        <v>145</v>
      </c>
      <c r="K32" s="383" t="s">
        <v>145</v>
      </c>
      <c r="L32" s="383">
        <v>9.183673469387757E-2</v>
      </c>
      <c r="M32" s="383">
        <v>4.5918367346938785E-2</v>
      </c>
      <c r="N32" s="383">
        <v>1.5306122448979593E-2</v>
      </c>
      <c r="O32" s="383">
        <v>7.6530612244897966E-3</v>
      </c>
      <c r="P32" s="383">
        <v>3.4945485043332402E-3</v>
      </c>
      <c r="Q32" s="383">
        <v>1.8171652222532851E-3</v>
      </c>
      <c r="R32" s="383">
        <v>8.7811731647348087E-4</v>
      </c>
      <c r="S32" s="383">
        <v>3.5388127853881279E-4</v>
      </c>
      <c r="T32" s="355">
        <v>5</v>
      </c>
      <c r="U32" s="312">
        <v>0</v>
      </c>
      <c r="V32" s="313"/>
    </row>
    <row r="33" spans="2:22" x14ac:dyDescent="0.3">
      <c r="B33" s="376" t="s">
        <v>167</v>
      </c>
      <c r="C33" s="367" t="s">
        <v>355</v>
      </c>
      <c r="D33" s="314" t="s">
        <v>64</v>
      </c>
      <c r="E33" s="314" t="s">
        <v>67</v>
      </c>
      <c r="F33" s="349">
        <v>14</v>
      </c>
      <c r="G33" s="315">
        <v>14</v>
      </c>
      <c r="H33" s="383">
        <v>0.13900000000000001</v>
      </c>
      <c r="I33" s="383">
        <v>1.7000000000000001E-2</v>
      </c>
      <c r="J33" s="383" t="s">
        <v>145</v>
      </c>
      <c r="K33" s="383" t="s">
        <v>145</v>
      </c>
      <c r="L33" s="383">
        <v>0.14183673469387756</v>
      </c>
      <c r="M33" s="383">
        <v>1.7346938775510207E-2</v>
      </c>
      <c r="N33" s="383">
        <v>6.6190476190476202E-2</v>
      </c>
      <c r="O33" s="383">
        <v>8.0952380952380963E-3</v>
      </c>
      <c r="P33" s="383">
        <v>5.440313111545989E-3</v>
      </c>
      <c r="Q33" s="383">
        <v>6.6536203522504908E-4</v>
      </c>
      <c r="R33" s="383">
        <v>1.3670530382859153E-3</v>
      </c>
      <c r="S33" s="383">
        <v>1.2957499121882686E-4</v>
      </c>
      <c r="T33" s="355">
        <v>4</v>
      </c>
      <c r="U33" s="312">
        <v>0</v>
      </c>
      <c r="V33" s="313"/>
    </row>
    <row r="34" spans="2:22" x14ac:dyDescent="0.3">
      <c r="B34" s="376"/>
      <c r="C34" s="367" t="s">
        <v>353</v>
      </c>
      <c r="D34" s="314" t="s">
        <v>68</v>
      </c>
      <c r="E34" s="314" t="s">
        <v>67</v>
      </c>
      <c r="F34" s="352">
        <v>167</v>
      </c>
      <c r="G34" s="309">
        <v>167</v>
      </c>
      <c r="H34" s="383">
        <v>1.7000000000000001E-2</v>
      </c>
      <c r="I34" s="383">
        <v>8.0000000000000002E-3</v>
      </c>
      <c r="J34" s="383" t="s">
        <v>145</v>
      </c>
      <c r="K34" s="383" t="s">
        <v>145</v>
      </c>
      <c r="L34" s="383">
        <v>1.7346938775510207E-2</v>
      </c>
      <c r="M34" s="383">
        <v>8.1632653061224497E-3</v>
      </c>
      <c r="N34" s="383">
        <v>1.272108843537415E-2</v>
      </c>
      <c r="O34" s="383">
        <v>5.9863945578231296E-3</v>
      </c>
      <c r="P34" s="383">
        <v>7.9368185630416567E-3</v>
      </c>
      <c r="Q34" s="383">
        <v>3.7349734414313675E-3</v>
      </c>
      <c r="R34" s="383">
        <v>1.9943800491745703E-3</v>
      </c>
      <c r="S34" s="383">
        <v>7.2736213558131371E-4</v>
      </c>
      <c r="T34" s="355">
        <v>39</v>
      </c>
      <c r="U34" s="312">
        <v>0</v>
      </c>
      <c r="V34" s="313"/>
    </row>
    <row r="35" spans="2:22" x14ac:dyDescent="0.3">
      <c r="B35" s="376" t="s">
        <v>168</v>
      </c>
      <c r="C35" s="367" t="s">
        <v>356</v>
      </c>
      <c r="D35" s="314" t="s">
        <v>64</v>
      </c>
      <c r="E35" s="314" t="s">
        <v>67</v>
      </c>
      <c r="F35" s="348">
        <v>167</v>
      </c>
      <c r="G35" s="159">
        <v>167</v>
      </c>
      <c r="H35" s="383">
        <v>0.23499999999999999</v>
      </c>
      <c r="I35" s="383">
        <v>2.5000000000000001E-2</v>
      </c>
      <c r="J35" s="383" t="s">
        <v>145</v>
      </c>
      <c r="K35" s="383" t="s">
        <v>145</v>
      </c>
      <c r="L35" s="383">
        <v>0.23979591836734693</v>
      </c>
      <c r="M35" s="383">
        <v>2.5510204081632657E-2</v>
      </c>
      <c r="N35" s="383">
        <v>0.17585034013605444</v>
      </c>
      <c r="O35" s="383">
        <v>1.8707482993197282E-2</v>
      </c>
      <c r="P35" s="383">
        <v>0.10971484484204641</v>
      </c>
      <c r="Q35" s="383">
        <v>1.1671792004473025E-2</v>
      </c>
      <c r="R35" s="383">
        <v>2.7569371268001405E-2</v>
      </c>
      <c r="S35" s="383">
        <v>2.2730066736916057E-3</v>
      </c>
      <c r="T35" s="355">
        <v>215</v>
      </c>
      <c r="U35" s="312">
        <v>0</v>
      </c>
      <c r="V35" s="313"/>
    </row>
    <row r="36" spans="2:22" x14ac:dyDescent="0.3">
      <c r="B36" s="376" t="s">
        <v>169</v>
      </c>
      <c r="C36" s="367" t="s">
        <v>357</v>
      </c>
      <c r="D36" s="314" t="s">
        <v>64</v>
      </c>
      <c r="E36" s="314" t="s">
        <v>67</v>
      </c>
      <c r="F36" s="349">
        <v>5</v>
      </c>
      <c r="G36" s="315">
        <v>5</v>
      </c>
      <c r="H36" s="383">
        <v>60.03</v>
      </c>
      <c r="I36" s="383">
        <v>60.03</v>
      </c>
      <c r="J36" s="383" t="s">
        <v>145</v>
      </c>
      <c r="K36" s="383" t="s">
        <v>145</v>
      </c>
      <c r="L36" s="383">
        <v>61.255102040816332</v>
      </c>
      <c r="M36" s="383">
        <v>61.255102040816332</v>
      </c>
      <c r="N36" s="383">
        <v>10.209183673469388</v>
      </c>
      <c r="O36" s="383">
        <v>10.209183673469388</v>
      </c>
      <c r="P36" s="383">
        <v>0.83911098686049757</v>
      </c>
      <c r="Q36" s="383">
        <v>0.83911098686049768</v>
      </c>
      <c r="R36" s="383">
        <v>0.21085353003161222</v>
      </c>
      <c r="S36" s="383">
        <v>0.16341148577449949</v>
      </c>
      <c r="T36" s="355">
        <v>1</v>
      </c>
      <c r="U36" s="312">
        <v>0</v>
      </c>
      <c r="V36" s="313"/>
    </row>
    <row r="37" spans="2:22" x14ac:dyDescent="0.3">
      <c r="B37" s="376"/>
      <c r="C37" s="367" t="s">
        <v>356</v>
      </c>
      <c r="D37" s="314" t="s">
        <v>68</v>
      </c>
      <c r="E37" s="314" t="s">
        <v>67</v>
      </c>
      <c r="F37" s="352">
        <v>167</v>
      </c>
      <c r="G37" s="309">
        <v>167</v>
      </c>
      <c r="H37" s="383">
        <v>1.7000000000000001E-2</v>
      </c>
      <c r="I37" s="383">
        <v>8.0000000000000002E-3</v>
      </c>
      <c r="J37" s="383" t="s">
        <v>145</v>
      </c>
      <c r="K37" s="383" t="s">
        <v>145</v>
      </c>
      <c r="L37" s="383">
        <v>1.7346938775510207E-2</v>
      </c>
      <c r="M37" s="383">
        <v>8.1632653061224497E-3</v>
      </c>
      <c r="N37" s="383">
        <v>1.272108843537415E-2</v>
      </c>
      <c r="O37" s="383">
        <v>5.9863945578231296E-3</v>
      </c>
      <c r="P37" s="383">
        <v>7.9368185630416567E-3</v>
      </c>
      <c r="Q37" s="383">
        <v>3.7349734414313675E-3</v>
      </c>
      <c r="R37" s="383">
        <v>1.9943800491745703E-3</v>
      </c>
      <c r="S37" s="383">
        <v>7.2736213558131371E-4</v>
      </c>
      <c r="T37" s="355">
        <v>39</v>
      </c>
      <c r="U37" s="312"/>
      <c r="V37" s="313"/>
    </row>
    <row r="38" spans="2:22" x14ac:dyDescent="0.3">
      <c r="B38" s="376" t="s">
        <v>170</v>
      </c>
      <c r="C38" s="367" t="s">
        <v>358</v>
      </c>
      <c r="D38" s="314" t="s">
        <v>64</v>
      </c>
      <c r="E38" s="314" t="s">
        <v>67</v>
      </c>
      <c r="F38" s="348">
        <v>167</v>
      </c>
      <c r="G38" s="159">
        <v>167</v>
      </c>
      <c r="H38" s="383">
        <v>0.27700000000000002</v>
      </c>
      <c r="I38" s="383">
        <v>6.0000000000000001E-3</v>
      </c>
      <c r="J38" s="383" t="s">
        <v>145</v>
      </c>
      <c r="K38" s="383" t="s">
        <v>145</v>
      </c>
      <c r="L38" s="383">
        <v>0.28265306122448985</v>
      </c>
      <c r="M38" s="383">
        <v>6.1224489795918382E-3</v>
      </c>
      <c r="N38" s="383">
        <v>0.20727891156462586</v>
      </c>
      <c r="O38" s="383">
        <v>4.489795918367347E-3</v>
      </c>
      <c r="P38" s="383">
        <v>0.12932345540956108</v>
      </c>
      <c r="Q38" s="383">
        <v>2.8012300810735255E-3</v>
      </c>
      <c r="R38" s="383">
        <v>3.2496663154197407E-2</v>
      </c>
      <c r="S38" s="383">
        <v>5.4552160168598531E-4</v>
      </c>
      <c r="T38" s="355">
        <v>222</v>
      </c>
      <c r="U38" s="312">
        <v>0</v>
      </c>
      <c r="V38" s="313"/>
    </row>
    <row r="39" spans="2:22" x14ac:dyDescent="0.3">
      <c r="B39" s="376" t="s">
        <v>171</v>
      </c>
      <c r="C39" s="367" t="s">
        <v>359</v>
      </c>
      <c r="D39" s="314" t="s">
        <v>64</v>
      </c>
      <c r="E39" s="314" t="s">
        <v>67</v>
      </c>
      <c r="F39" s="349">
        <v>14</v>
      </c>
      <c r="G39" s="315">
        <v>14</v>
      </c>
      <c r="H39" s="383">
        <v>1.2E-2</v>
      </c>
      <c r="I39" s="383">
        <v>8.0000000000000002E-3</v>
      </c>
      <c r="J39" s="383" t="s">
        <v>145</v>
      </c>
      <c r="K39" s="383" t="s">
        <v>145</v>
      </c>
      <c r="L39" s="383">
        <v>1.2244897959183676E-2</v>
      </c>
      <c r="M39" s="383">
        <v>8.1632653061224497E-3</v>
      </c>
      <c r="N39" s="383">
        <v>5.7142857142857143E-3</v>
      </c>
      <c r="O39" s="383">
        <v>3.80952380952381E-3</v>
      </c>
      <c r="P39" s="383">
        <v>4.6966731898238749E-4</v>
      </c>
      <c r="Q39" s="383">
        <v>3.1311154598825833E-4</v>
      </c>
      <c r="R39" s="383">
        <v>1.1801896733403582E-4</v>
      </c>
      <c r="S39" s="383">
        <v>6.0976466455918515E-5</v>
      </c>
      <c r="T39" s="355">
        <v>8</v>
      </c>
      <c r="U39" s="312">
        <v>0</v>
      </c>
      <c r="V39" s="313"/>
    </row>
    <row r="40" spans="2:22" x14ac:dyDescent="0.3">
      <c r="B40" s="376"/>
      <c r="C40" s="367" t="s">
        <v>358</v>
      </c>
      <c r="D40" s="314" t="s">
        <v>68</v>
      </c>
      <c r="E40" s="314" t="s">
        <v>67</v>
      </c>
      <c r="F40" s="352">
        <v>167</v>
      </c>
      <c r="G40" s="309">
        <v>167</v>
      </c>
      <c r="H40" s="383">
        <v>1.7000000000000001E-2</v>
      </c>
      <c r="I40" s="383">
        <v>8.0000000000000002E-3</v>
      </c>
      <c r="J40" s="383" t="s">
        <v>145</v>
      </c>
      <c r="K40" s="383" t="s">
        <v>145</v>
      </c>
      <c r="L40" s="383">
        <v>1.7346938775510207E-2</v>
      </c>
      <c r="M40" s="383">
        <v>8.1632653061224497E-3</v>
      </c>
      <c r="N40" s="383">
        <v>1.272108843537415E-2</v>
      </c>
      <c r="O40" s="383">
        <v>5.9863945578231296E-3</v>
      </c>
      <c r="P40" s="383">
        <v>7.9368185630416567E-3</v>
      </c>
      <c r="Q40" s="383">
        <v>3.7349734414313675E-3</v>
      </c>
      <c r="R40" s="383">
        <v>1.9943800491745703E-3</v>
      </c>
      <c r="S40" s="383">
        <v>7.2736213558131371E-4</v>
      </c>
      <c r="T40" s="355">
        <v>39</v>
      </c>
      <c r="U40" s="312">
        <v>0</v>
      </c>
      <c r="V40" s="313"/>
    </row>
    <row r="41" spans="2:22" ht="25" customHeight="1" x14ac:dyDescent="0.3">
      <c r="B41" s="376" t="s">
        <v>172</v>
      </c>
      <c r="C41" s="367" t="s">
        <v>360</v>
      </c>
      <c r="D41" s="314" t="s">
        <v>64</v>
      </c>
      <c r="E41" s="314" t="s">
        <v>67</v>
      </c>
      <c r="F41" s="348">
        <v>167</v>
      </c>
      <c r="G41" s="159">
        <v>167</v>
      </c>
      <c r="H41" s="383">
        <v>0.23400000000000001</v>
      </c>
      <c r="I41" s="383">
        <v>0.152</v>
      </c>
      <c r="J41" s="383" t="s">
        <v>145</v>
      </c>
      <c r="K41" s="383" t="s">
        <v>145</v>
      </c>
      <c r="L41" s="383">
        <v>0.23877551020408166</v>
      </c>
      <c r="M41" s="383">
        <v>0.15510204081632653</v>
      </c>
      <c r="N41" s="383">
        <v>0.17510204081632655</v>
      </c>
      <c r="O41" s="383">
        <v>0.11374149659863947</v>
      </c>
      <c r="P41" s="383">
        <v>0.1092479731618675</v>
      </c>
      <c r="Q41" s="383">
        <v>7.0964495387195972E-2</v>
      </c>
      <c r="R41" s="383">
        <v>2.745205479452055E-2</v>
      </c>
      <c r="S41" s="383">
        <v>1.3819880576044956E-2</v>
      </c>
      <c r="T41" s="355">
        <v>354</v>
      </c>
      <c r="U41" s="312">
        <v>0</v>
      </c>
      <c r="V41" s="313"/>
    </row>
    <row r="42" spans="2:22" ht="25" customHeight="1" x14ac:dyDescent="0.3">
      <c r="B42" s="376" t="s">
        <v>173</v>
      </c>
      <c r="C42" s="367" t="s">
        <v>361</v>
      </c>
      <c r="D42" s="314" t="s">
        <v>64</v>
      </c>
      <c r="E42" s="314" t="s">
        <v>67</v>
      </c>
      <c r="F42" s="349">
        <v>5</v>
      </c>
      <c r="G42" s="315">
        <v>5</v>
      </c>
      <c r="H42" s="383">
        <v>0.61899999999999999</v>
      </c>
      <c r="I42" s="383">
        <v>0.34100000000000003</v>
      </c>
      <c r="J42" s="383" t="s">
        <v>145</v>
      </c>
      <c r="K42" s="383" t="s">
        <v>145</v>
      </c>
      <c r="L42" s="383">
        <v>0.63163265306122451</v>
      </c>
      <c r="M42" s="383">
        <v>0.3479591836734694</v>
      </c>
      <c r="N42" s="383">
        <v>0.10527210884353742</v>
      </c>
      <c r="O42" s="383">
        <v>5.7993197278911564E-2</v>
      </c>
      <c r="P42" s="383">
        <v>8.6525020967291016E-3</v>
      </c>
      <c r="Q42" s="383">
        <v>4.7665641599105397E-3</v>
      </c>
      <c r="R42" s="383">
        <v>2.1742184755883386E-3</v>
      </c>
      <c r="S42" s="383">
        <v>9.2825781524411661E-4</v>
      </c>
      <c r="T42" s="355">
        <v>2</v>
      </c>
      <c r="U42" s="312">
        <v>0</v>
      </c>
      <c r="V42" s="313"/>
    </row>
    <row r="43" spans="2:22" ht="25" customHeight="1" x14ac:dyDescent="0.3">
      <c r="B43" s="376" t="s">
        <v>174</v>
      </c>
      <c r="C43" s="367" t="s">
        <v>362</v>
      </c>
      <c r="D43" s="314" t="s">
        <v>64</v>
      </c>
      <c r="E43" s="314" t="s">
        <v>67</v>
      </c>
      <c r="F43" s="349">
        <v>14</v>
      </c>
      <c r="G43" s="315">
        <v>14</v>
      </c>
      <c r="H43" s="383">
        <v>4.9189999999999996</v>
      </c>
      <c r="I43" s="383">
        <v>2.9000000000000001E-2</v>
      </c>
      <c r="J43" s="383" t="s">
        <v>145</v>
      </c>
      <c r="K43" s="383" t="s">
        <v>145</v>
      </c>
      <c r="L43" s="383">
        <v>5.0193877551020405</v>
      </c>
      <c r="M43" s="383">
        <v>2.9591836734693878E-2</v>
      </c>
      <c r="N43" s="383">
        <v>2.3423809523809518</v>
      </c>
      <c r="O43" s="383">
        <v>1.3809523809523811E-2</v>
      </c>
      <c r="P43" s="383">
        <v>0.19252446183953029</v>
      </c>
      <c r="Q43" s="383">
        <v>1.1350293542074365E-3</v>
      </c>
      <c r="R43" s="383">
        <v>4.8377941693010178E-2</v>
      </c>
      <c r="S43" s="383">
        <v>2.2103969090270462E-4</v>
      </c>
      <c r="T43" s="355">
        <v>33</v>
      </c>
      <c r="U43" s="312">
        <v>0</v>
      </c>
      <c r="V43" s="313"/>
    </row>
    <row r="44" spans="2:22" ht="25" customHeight="1" x14ac:dyDescent="0.3">
      <c r="B44" s="376"/>
      <c r="C44" s="367" t="s">
        <v>360</v>
      </c>
      <c r="D44" s="314" t="s">
        <v>68</v>
      </c>
      <c r="E44" s="314" t="s">
        <v>67</v>
      </c>
      <c r="F44" s="352">
        <v>167</v>
      </c>
      <c r="G44" s="309">
        <v>167</v>
      </c>
      <c r="H44" s="383">
        <v>1.7000000000000001E-2</v>
      </c>
      <c r="I44" s="383">
        <v>8.0000000000000002E-3</v>
      </c>
      <c r="J44" s="383" t="s">
        <v>145</v>
      </c>
      <c r="K44" s="383" t="s">
        <v>145</v>
      </c>
      <c r="L44" s="383">
        <v>1.7346938775510207E-2</v>
      </c>
      <c r="M44" s="383">
        <v>8.1632653061224497E-3</v>
      </c>
      <c r="N44" s="383">
        <v>1.272108843537415E-2</v>
      </c>
      <c r="O44" s="383">
        <v>5.9863945578231296E-3</v>
      </c>
      <c r="P44" s="383">
        <v>7.9368185630416567E-3</v>
      </c>
      <c r="Q44" s="383">
        <v>3.7349734414313675E-3</v>
      </c>
      <c r="R44" s="383">
        <v>1.9943800491745703E-3</v>
      </c>
      <c r="S44" s="383">
        <v>7.2736213558131371E-4</v>
      </c>
      <c r="T44" s="355">
        <v>39</v>
      </c>
      <c r="U44" s="312">
        <v>0</v>
      </c>
      <c r="V44" s="313"/>
    </row>
    <row r="45" spans="2:22" x14ac:dyDescent="0.3">
      <c r="B45" s="376" t="s">
        <v>175</v>
      </c>
      <c r="C45" s="367" t="s">
        <v>363</v>
      </c>
      <c r="D45" s="314" t="s">
        <v>64</v>
      </c>
      <c r="E45" s="314" t="s">
        <v>67</v>
      </c>
      <c r="F45" s="348">
        <v>167</v>
      </c>
      <c r="G45" s="159">
        <v>167</v>
      </c>
      <c r="H45" s="383">
        <v>0.2</v>
      </c>
      <c r="I45" s="383">
        <v>0.02</v>
      </c>
      <c r="J45" s="383" t="s">
        <v>145</v>
      </c>
      <c r="K45" s="383" t="s">
        <v>145</v>
      </c>
      <c r="L45" s="383">
        <v>0.20408163265306126</v>
      </c>
      <c r="M45" s="383">
        <v>2.0408163265306124E-2</v>
      </c>
      <c r="N45" s="383">
        <v>0.14965986394557826</v>
      </c>
      <c r="O45" s="383">
        <v>1.4965986394557821E-2</v>
      </c>
      <c r="P45" s="383">
        <v>9.3374336035784197E-2</v>
      </c>
      <c r="Q45" s="383">
        <v>9.337433603578419E-3</v>
      </c>
      <c r="R45" s="383">
        <v>2.3463294696171415E-2</v>
      </c>
      <c r="S45" s="383">
        <v>1.8184053389532842E-3</v>
      </c>
      <c r="T45" s="355">
        <v>1952</v>
      </c>
      <c r="U45" s="312">
        <v>0</v>
      </c>
      <c r="V45" s="313"/>
    </row>
    <row r="46" spans="2:22" x14ac:dyDescent="0.3">
      <c r="B46" s="376" t="s">
        <v>176</v>
      </c>
      <c r="C46" s="367" t="s">
        <v>364</v>
      </c>
      <c r="D46" s="314" t="s">
        <v>64</v>
      </c>
      <c r="E46" s="314" t="s">
        <v>67</v>
      </c>
      <c r="F46" s="349">
        <v>5</v>
      </c>
      <c r="G46" s="315">
        <v>5</v>
      </c>
      <c r="H46" s="383">
        <v>0.13400000000000001</v>
      </c>
      <c r="I46" s="383">
        <v>3.2000000000000001E-2</v>
      </c>
      <c r="J46" s="383" t="s">
        <v>145</v>
      </c>
      <c r="K46" s="383" t="s">
        <v>145</v>
      </c>
      <c r="L46" s="383">
        <v>0.13673469387755102</v>
      </c>
      <c r="M46" s="383">
        <v>3.2653061224489799E-2</v>
      </c>
      <c r="N46" s="383">
        <v>2.2789115646258507E-2</v>
      </c>
      <c r="O46" s="383">
        <v>5.4421768707482989E-3</v>
      </c>
      <c r="P46" s="383">
        <v>1.873077998322617E-3</v>
      </c>
      <c r="Q46" s="383">
        <v>4.4730220855465473E-4</v>
      </c>
      <c r="R46" s="383">
        <v>4.706708816297858E-4</v>
      </c>
      <c r="S46" s="383">
        <v>8.7109237794169293E-5</v>
      </c>
      <c r="T46" s="355">
        <v>38</v>
      </c>
      <c r="U46" s="312">
        <v>0</v>
      </c>
      <c r="V46" s="313"/>
    </row>
    <row r="47" spans="2:22" x14ac:dyDescent="0.3">
      <c r="B47" s="376" t="s">
        <v>177</v>
      </c>
      <c r="C47" s="367" t="s">
        <v>365</v>
      </c>
      <c r="D47" s="314" t="s">
        <v>64</v>
      </c>
      <c r="E47" s="314" t="s">
        <v>67</v>
      </c>
      <c r="F47" s="349">
        <v>14</v>
      </c>
      <c r="G47" s="315">
        <v>14</v>
      </c>
      <c r="H47" s="383">
        <v>0.06</v>
      </c>
      <c r="I47" s="383">
        <v>2.8000000000000001E-2</v>
      </c>
      <c r="J47" s="383" t="s">
        <v>145</v>
      </c>
      <c r="K47" s="383" t="s">
        <v>145</v>
      </c>
      <c r="L47" s="383">
        <v>6.1224489795918366E-2</v>
      </c>
      <c r="M47" s="383">
        <v>2.8571428571428574E-2</v>
      </c>
      <c r="N47" s="383">
        <v>2.8571428571428574E-2</v>
      </c>
      <c r="O47" s="383">
        <v>1.3333333333333336E-2</v>
      </c>
      <c r="P47" s="383">
        <v>2.3483365949119373E-3</v>
      </c>
      <c r="Q47" s="383">
        <v>1.0958904109589042E-3</v>
      </c>
      <c r="R47" s="383">
        <v>5.9009483667017909E-4</v>
      </c>
      <c r="S47" s="383">
        <v>2.134176325957148E-4</v>
      </c>
      <c r="T47" s="355">
        <v>1633</v>
      </c>
      <c r="U47" s="312">
        <v>0</v>
      </c>
      <c r="V47" s="313"/>
    </row>
    <row r="48" spans="2:22" x14ac:dyDescent="0.3">
      <c r="B48" s="376"/>
      <c r="C48" s="367" t="s">
        <v>363</v>
      </c>
      <c r="D48" s="314" t="s">
        <v>68</v>
      </c>
      <c r="E48" s="314" t="s">
        <v>67</v>
      </c>
      <c r="F48" s="352">
        <v>167</v>
      </c>
      <c r="G48" s="309">
        <v>167</v>
      </c>
      <c r="H48" s="383">
        <v>1.7000000000000001E-2</v>
      </c>
      <c r="I48" s="383">
        <v>8.0000000000000002E-3</v>
      </c>
      <c r="J48" s="383" t="s">
        <v>145</v>
      </c>
      <c r="K48" s="383" t="s">
        <v>145</v>
      </c>
      <c r="L48" s="383">
        <v>1.7346938775510207E-2</v>
      </c>
      <c r="M48" s="383">
        <v>8.1632653061224497E-3</v>
      </c>
      <c r="N48" s="383">
        <v>1.272108843537415E-2</v>
      </c>
      <c r="O48" s="383">
        <v>5.9863945578231296E-3</v>
      </c>
      <c r="P48" s="383">
        <v>7.9368185630416567E-3</v>
      </c>
      <c r="Q48" s="383">
        <v>3.7349734414313675E-3</v>
      </c>
      <c r="R48" s="383">
        <v>1.9943800491745703E-3</v>
      </c>
      <c r="S48" s="383">
        <v>7.2736213558131371E-4</v>
      </c>
      <c r="T48" s="317">
        <v>39</v>
      </c>
      <c r="U48" s="318">
        <v>0</v>
      </c>
      <c r="V48" s="313"/>
    </row>
    <row r="49" spans="2:22" x14ac:dyDescent="0.3">
      <c r="B49" s="376" t="s">
        <v>178</v>
      </c>
      <c r="C49" s="367" t="s">
        <v>366</v>
      </c>
      <c r="D49" s="314" t="s">
        <v>64</v>
      </c>
      <c r="E49" s="314" t="s">
        <v>67</v>
      </c>
      <c r="F49" s="348">
        <v>167</v>
      </c>
      <c r="G49" s="159">
        <v>167</v>
      </c>
      <c r="H49" s="383">
        <v>0.36399999999999999</v>
      </c>
      <c r="I49" s="383">
        <v>3.7999999999999999E-2</v>
      </c>
      <c r="J49" s="383" t="s">
        <v>145</v>
      </c>
      <c r="K49" s="383" t="s">
        <v>145</v>
      </c>
      <c r="L49" s="383">
        <v>0.3714285714285715</v>
      </c>
      <c r="M49" s="383">
        <v>3.8775510204081633E-2</v>
      </c>
      <c r="N49" s="383">
        <v>0.27238095238095239</v>
      </c>
      <c r="O49" s="383">
        <v>2.8435374149659867E-2</v>
      </c>
      <c r="P49" s="383">
        <v>0.16994129158512719</v>
      </c>
      <c r="Q49" s="383">
        <v>1.7741123846798993E-2</v>
      </c>
      <c r="R49" s="383">
        <v>4.2703196347031964E-2</v>
      </c>
      <c r="S49" s="383">
        <v>3.454970144011239E-3</v>
      </c>
      <c r="T49" s="317">
        <v>21</v>
      </c>
      <c r="U49" s="318">
        <v>0</v>
      </c>
      <c r="V49" s="313"/>
    </row>
    <row r="50" spans="2:22" ht="13.5" thickBot="1" x14ac:dyDescent="0.35">
      <c r="B50" s="377"/>
      <c r="C50" s="367" t="s">
        <v>366</v>
      </c>
      <c r="D50" s="351" t="s">
        <v>68</v>
      </c>
      <c r="E50" s="351" t="s">
        <v>67</v>
      </c>
      <c r="F50" s="350">
        <v>167</v>
      </c>
      <c r="G50" s="322">
        <v>167</v>
      </c>
      <c r="H50" s="385">
        <v>1.7000000000000001E-2</v>
      </c>
      <c r="I50" s="385">
        <v>8.0000000000000002E-3</v>
      </c>
      <c r="J50" s="385" t="s">
        <v>145</v>
      </c>
      <c r="K50" s="385" t="s">
        <v>145</v>
      </c>
      <c r="L50" s="385">
        <v>1.7346938775510207E-2</v>
      </c>
      <c r="M50" s="385">
        <v>8.1632653061224497E-3</v>
      </c>
      <c r="N50" s="385">
        <v>1.272108843537415E-2</v>
      </c>
      <c r="O50" s="385">
        <v>5.9863945578231296E-3</v>
      </c>
      <c r="P50" s="385">
        <v>7.9368185630416567E-3</v>
      </c>
      <c r="Q50" s="385">
        <v>3.7349734414313675E-3</v>
      </c>
      <c r="R50" s="385">
        <v>1.9943800491745703E-3</v>
      </c>
      <c r="S50" s="385">
        <v>7.2736213558131371E-4</v>
      </c>
      <c r="T50" s="336">
        <v>39</v>
      </c>
      <c r="U50" s="324">
        <v>0</v>
      </c>
      <c r="V50" s="313"/>
    </row>
    <row r="51" spans="2:22" ht="26" x14ac:dyDescent="0.3">
      <c r="B51" s="376">
        <v>2</v>
      </c>
      <c r="C51" s="369" t="s">
        <v>367</v>
      </c>
      <c r="D51" s="326" t="s">
        <v>64</v>
      </c>
      <c r="E51" s="340" t="s">
        <v>65</v>
      </c>
      <c r="F51" s="319">
        <v>128</v>
      </c>
      <c r="G51" s="319">
        <v>26</v>
      </c>
      <c r="H51" s="384">
        <v>15</v>
      </c>
      <c r="I51" s="384">
        <v>1.1000000000000001</v>
      </c>
      <c r="J51" s="384" t="str">
        <f>IFERROR(_xlfn.PERCENTILE.INC(#REF!, 0.95), "N/A")</f>
        <v>N/A</v>
      </c>
      <c r="K51" s="384" t="str">
        <f>IFERROR(_xlfn.PERCENTILE.INC(#REF!, 0.5), "N/A")</f>
        <v>N/A</v>
      </c>
      <c r="L51" s="384">
        <v>10.204081632653061</v>
      </c>
      <c r="M51" s="384">
        <v>0.74829931972789121</v>
      </c>
      <c r="N51" s="384">
        <v>7.482993197278911</v>
      </c>
      <c r="O51" s="384">
        <v>0.5487528344671202</v>
      </c>
      <c r="P51" s="384">
        <v>7.2686608890131401</v>
      </c>
      <c r="Q51" s="384">
        <v>0.53303513186096363</v>
      </c>
      <c r="R51" s="384">
        <v>1.8264840182648401</v>
      </c>
      <c r="S51" s="384">
        <v>0.10380517503805176</v>
      </c>
      <c r="T51" s="312">
        <v>158</v>
      </c>
      <c r="U51" s="327">
        <v>0</v>
      </c>
      <c r="V51" s="353" t="s">
        <v>494</v>
      </c>
    </row>
    <row r="52" spans="2:22" ht="13.5" thickBot="1" x14ac:dyDescent="0.35">
      <c r="B52" s="377">
        <v>2</v>
      </c>
      <c r="C52" s="370" t="s">
        <v>367</v>
      </c>
      <c r="D52" s="329" t="s">
        <v>68</v>
      </c>
      <c r="E52" s="329" t="s">
        <v>65</v>
      </c>
      <c r="F52" s="236">
        <v>128</v>
      </c>
      <c r="G52" s="236">
        <v>26</v>
      </c>
      <c r="H52" s="385">
        <f>I51</f>
        <v>1.1000000000000001</v>
      </c>
      <c r="I52" s="385">
        <f>I51</f>
        <v>1.1000000000000001</v>
      </c>
      <c r="J52" s="385" t="str">
        <f>IFERROR(_xlfn.PERCENTILE.INC(#REF!, 0.95), "N/A")</f>
        <v>N/A</v>
      </c>
      <c r="K52" s="385" t="str">
        <f>IFERROR(_xlfn.PERCENTILE.INC(#REF!, 0.5), "N/A")</f>
        <v>N/A</v>
      </c>
      <c r="L52" s="385">
        <v>0.74829931972789121</v>
      </c>
      <c r="M52" s="385">
        <v>0.74829931972789121</v>
      </c>
      <c r="N52" s="385">
        <v>0.5487528344671202</v>
      </c>
      <c r="O52" s="385">
        <v>0.5487528344671202</v>
      </c>
      <c r="P52" s="385">
        <v>0.53303513186096363</v>
      </c>
      <c r="Q52" s="385">
        <v>0.53303513186096363</v>
      </c>
      <c r="R52" s="385">
        <v>0.13394216133942161</v>
      </c>
      <c r="S52" s="385">
        <v>0.10380517503805176</v>
      </c>
      <c r="T52" s="330">
        <v>0</v>
      </c>
      <c r="U52" s="324">
        <v>0</v>
      </c>
      <c r="V52" s="331" t="s">
        <v>368</v>
      </c>
    </row>
    <row r="53" spans="2:22" x14ac:dyDescent="0.3">
      <c r="B53" s="376" t="s">
        <v>183</v>
      </c>
      <c r="C53" s="367" t="s">
        <v>369</v>
      </c>
      <c r="D53" s="347" t="s">
        <v>64</v>
      </c>
      <c r="E53" s="334" t="s">
        <v>65</v>
      </c>
      <c r="F53" s="309">
        <v>250</v>
      </c>
      <c r="G53" s="309">
        <v>250</v>
      </c>
      <c r="H53" s="384">
        <v>0.44900000000000001</v>
      </c>
      <c r="I53" s="384">
        <v>2.5000000000000001E-2</v>
      </c>
      <c r="J53" s="384" t="s">
        <v>145</v>
      </c>
      <c r="K53" s="384" t="s">
        <v>145</v>
      </c>
      <c r="L53" s="384">
        <v>0.30544217687074832</v>
      </c>
      <c r="M53" s="384">
        <v>1.7006802721088437E-2</v>
      </c>
      <c r="N53" s="383">
        <v>0.22399092970521542</v>
      </c>
      <c r="O53" s="383">
        <v>1.2471655328798186E-2</v>
      </c>
      <c r="P53" s="384">
        <v>0.21757524927779331</v>
      </c>
      <c r="Q53" s="384">
        <v>1.2114434815021899E-2</v>
      </c>
      <c r="R53" s="384">
        <v>5.4672754946727554E-2</v>
      </c>
      <c r="S53" s="384">
        <v>2.3592085235920853E-3</v>
      </c>
      <c r="T53" s="355">
        <v>455</v>
      </c>
      <c r="U53" s="312">
        <v>0</v>
      </c>
      <c r="V53" s="313" t="s">
        <v>351</v>
      </c>
    </row>
    <row r="54" spans="2:22" x14ac:dyDescent="0.3">
      <c r="B54" s="376" t="s">
        <v>187</v>
      </c>
      <c r="C54" s="367" t="s">
        <v>370</v>
      </c>
      <c r="D54" s="314" t="s">
        <v>64</v>
      </c>
      <c r="E54" s="314" t="s">
        <v>65</v>
      </c>
      <c r="F54" s="315">
        <v>5</v>
      </c>
      <c r="G54" s="346">
        <v>5</v>
      </c>
      <c r="H54" s="383">
        <v>0.78400000000000003</v>
      </c>
      <c r="I54" s="383">
        <v>0.37</v>
      </c>
      <c r="J54" s="383" t="s">
        <v>145</v>
      </c>
      <c r="K54" s="383" t="s">
        <v>145</v>
      </c>
      <c r="L54" s="383">
        <v>0.53333333333333344</v>
      </c>
      <c r="M54" s="383">
        <v>0.25170068027210885</v>
      </c>
      <c r="N54" s="383">
        <v>8.8888888888888892E-2</v>
      </c>
      <c r="O54" s="383">
        <v>4.195011337868481E-2</v>
      </c>
      <c r="P54" s="383">
        <v>7.3059360730593614E-3</v>
      </c>
      <c r="Q54" s="383">
        <v>3.4479545242754638E-3</v>
      </c>
      <c r="R54" s="383">
        <v>1.8358506029738909E-3</v>
      </c>
      <c r="S54" s="383">
        <v>6.7146704133005507E-4</v>
      </c>
      <c r="T54" s="355">
        <v>3</v>
      </c>
      <c r="U54" s="312">
        <v>0</v>
      </c>
      <c r="V54" s="332"/>
    </row>
    <row r="55" spans="2:22" x14ac:dyDescent="0.3">
      <c r="B55" s="376" t="s">
        <v>202</v>
      </c>
      <c r="C55" s="367" t="s">
        <v>369</v>
      </c>
      <c r="D55" s="314" t="s">
        <v>68</v>
      </c>
      <c r="E55" s="314" t="s">
        <v>65</v>
      </c>
      <c r="F55" s="309">
        <v>250</v>
      </c>
      <c r="G55" s="159">
        <v>250</v>
      </c>
      <c r="H55" s="383">
        <v>1.7000000000000001E-2</v>
      </c>
      <c r="I55" s="383">
        <v>8.0000000000000002E-3</v>
      </c>
      <c r="J55" s="383" t="s">
        <v>145</v>
      </c>
      <c r="K55" s="383" t="s">
        <v>145</v>
      </c>
      <c r="L55" s="383">
        <v>1.1564625850340137E-2</v>
      </c>
      <c r="M55" s="383">
        <v>5.4421768707482989E-3</v>
      </c>
      <c r="N55" s="383">
        <v>8.4807256235827667E-3</v>
      </c>
      <c r="O55" s="383">
        <v>3.9909297052154197E-3</v>
      </c>
      <c r="P55" s="383">
        <v>8.2378156742148913E-3</v>
      </c>
      <c r="Q55" s="383">
        <v>3.876619140807008E-3</v>
      </c>
      <c r="R55" s="383">
        <v>2.0700152207001523E-3</v>
      </c>
      <c r="S55" s="383">
        <v>7.5494672754946733E-4</v>
      </c>
      <c r="T55" s="355">
        <v>39</v>
      </c>
      <c r="U55" s="312">
        <v>0</v>
      </c>
      <c r="V55" s="332"/>
    </row>
    <row r="56" spans="2:22" x14ac:dyDescent="0.3">
      <c r="B56" s="376" t="s">
        <v>188</v>
      </c>
      <c r="C56" s="367" t="s">
        <v>371</v>
      </c>
      <c r="D56" s="314" t="s">
        <v>64</v>
      </c>
      <c r="E56" s="314" t="s">
        <v>65</v>
      </c>
      <c r="F56" s="159">
        <v>250</v>
      </c>
      <c r="G56" s="159">
        <v>250</v>
      </c>
      <c r="H56" s="383">
        <v>0.16</v>
      </c>
      <c r="I56" s="383">
        <v>0.02</v>
      </c>
      <c r="J56" s="383" t="s">
        <v>145</v>
      </c>
      <c r="K56" s="383" t="s">
        <v>145</v>
      </c>
      <c r="L56" s="383">
        <v>0.108843537414966</v>
      </c>
      <c r="M56" s="383">
        <v>1.360544217687075E-2</v>
      </c>
      <c r="N56" s="383">
        <v>7.9818594104308388E-2</v>
      </c>
      <c r="O56" s="383">
        <v>9.9773242630385485E-3</v>
      </c>
      <c r="P56" s="383">
        <v>7.7532382816140152E-2</v>
      </c>
      <c r="Q56" s="383">
        <v>9.6915478520175208E-3</v>
      </c>
      <c r="R56" s="383">
        <v>1.9482496194824964E-2</v>
      </c>
      <c r="S56" s="383">
        <v>1.8873668188736684E-3</v>
      </c>
      <c r="T56" s="355">
        <v>313</v>
      </c>
      <c r="U56" s="312">
        <v>0</v>
      </c>
      <c r="V56" s="332"/>
    </row>
    <row r="57" spans="2:22" x14ac:dyDescent="0.3">
      <c r="B57" s="376" t="s">
        <v>189</v>
      </c>
      <c r="C57" s="367" t="s">
        <v>372</v>
      </c>
      <c r="D57" s="314" t="s">
        <v>64</v>
      </c>
      <c r="E57" s="314" t="s">
        <v>65</v>
      </c>
      <c r="F57" s="315">
        <v>5</v>
      </c>
      <c r="G57" s="315">
        <v>5</v>
      </c>
      <c r="H57" s="383">
        <v>0.25</v>
      </c>
      <c r="I57" s="383">
        <v>0.13</v>
      </c>
      <c r="J57" s="383" t="s">
        <v>145</v>
      </c>
      <c r="K57" s="383" t="s">
        <v>145</v>
      </c>
      <c r="L57" s="383">
        <v>6.1224489795918366E-2</v>
      </c>
      <c r="M57" s="383">
        <v>3.0612244897959183E-2</v>
      </c>
      <c r="N57" s="383">
        <v>1.020408163265306E-2</v>
      </c>
      <c r="O57" s="383">
        <v>5.1020408163265302E-3</v>
      </c>
      <c r="P57" s="383">
        <v>2.3296990028888265E-3</v>
      </c>
      <c r="Q57" s="383">
        <v>1.2114434815021901E-3</v>
      </c>
      <c r="R57" s="383">
        <v>5.8541154431565395E-4</v>
      </c>
      <c r="S57" s="383">
        <v>2.3592085235920855E-4</v>
      </c>
      <c r="T57" s="355">
        <v>5</v>
      </c>
      <c r="U57" s="312">
        <v>0</v>
      </c>
      <c r="V57" s="332"/>
    </row>
    <row r="58" spans="2:22" x14ac:dyDescent="0.3">
      <c r="B58" s="376" t="s">
        <v>190</v>
      </c>
      <c r="C58" s="367" t="s">
        <v>373</v>
      </c>
      <c r="D58" s="314" t="s">
        <v>64</v>
      </c>
      <c r="E58" s="314" t="s">
        <v>65</v>
      </c>
      <c r="F58" s="315">
        <v>14</v>
      </c>
      <c r="G58" s="315">
        <v>14</v>
      </c>
      <c r="H58" s="383">
        <v>0.13900000000000001</v>
      </c>
      <c r="I58" s="383">
        <v>1.7000000000000001E-2</v>
      </c>
      <c r="J58" s="383" t="s">
        <v>145</v>
      </c>
      <c r="K58" s="383" t="s">
        <v>145</v>
      </c>
      <c r="L58" s="383">
        <v>9.4557823129251706E-2</v>
      </c>
      <c r="M58" s="383">
        <v>1.1564625850340137E-2</v>
      </c>
      <c r="N58" s="383">
        <v>4.4126984126984133E-2</v>
      </c>
      <c r="O58" s="383">
        <v>5.3968253968253973E-3</v>
      </c>
      <c r="P58" s="383">
        <v>3.6268754076973259E-3</v>
      </c>
      <c r="Q58" s="383">
        <v>4.4357469015003263E-4</v>
      </c>
      <c r="R58" s="383">
        <v>9.1136869219061003E-4</v>
      </c>
      <c r="S58" s="383">
        <v>8.6383327479217886E-5</v>
      </c>
      <c r="T58" s="355">
        <v>4</v>
      </c>
      <c r="U58" s="312">
        <v>0</v>
      </c>
      <c r="V58" s="332"/>
    </row>
    <row r="59" spans="2:22" x14ac:dyDescent="0.3">
      <c r="B59" s="376"/>
      <c r="C59" s="367" t="s">
        <v>371</v>
      </c>
      <c r="D59" s="314" t="s">
        <v>68</v>
      </c>
      <c r="E59" s="314" t="s">
        <v>65</v>
      </c>
      <c r="F59" s="309">
        <v>250</v>
      </c>
      <c r="G59" s="159">
        <v>250</v>
      </c>
      <c r="H59" s="383">
        <v>1.7000000000000001E-2</v>
      </c>
      <c r="I59" s="383">
        <v>8.0000000000000002E-3</v>
      </c>
      <c r="J59" s="383" t="s">
        <v>145</v>
      </c>
      <c r="K59" s="383" t="s">
        <v>145</v>
      </c>
      <c r="L59" s="383">
        <v>1.1564625850340137E-2</v>
      </c>
      <c r="M59" s="383">
        <v>5.4421768707482989E-3</v>
      </c>
      <c r="N59" s="383">
        <v>8.4807256235827667E-3</v>
      </c>
      <c r="O59" s="383">
        <v>3.9909297052154197E-3</v>
      </c>
      <c r="P59" s="383">
        <v>8.2378156742148913E-3</v>
      </c>
      <c r="Q59" s="383">
        <v>3.876619140807008E-3</v>
      </c>
      <c r="R59" s="383">
        <v>2.0700152207001523E-3</v>
      </c>
      <c r="S59" s="383">
        <v>7.5494672754946733E-4</v>
      </c>
      <c r="T59" s="355">
        <v>39</v>
      </c>
      <c r="U59" s="312">
        <v>0</v>
      </c>
      <c r="V59" s="332"/>
    </row>
    <row r="60" spans="2:22" x14ac:dyDescent="0.3">
      <c r="B60" s="376" t="s">
        <v>191</v>
      </c>
      <c r="C60" s="367" t="s">
        <v>374</v>
      </c>
      <c r="D60" s="314" t="s">
        <v>64</v>
      </c>
      <c r="E60" s="314" t="s">
        <v>65</v>
      </c>
      <c r="F60" s="159">
        <v>250</v>
      </c>
      <c r="G60" s="159">
        <v>250</v>
      </c>
      <c r="H60" s="383">
        <v>0.23499999999999999</v>
      </c>
      <c r="I60" s="383">
        <v>2.5000000000000001E-2</v>
      </c>
      <c r="J60" s="383" t="s">
        <v>145</v>
      </c>
      <c r="K60" s="383" t="s">
        <v>145</v>
      </c>
      <c r="L60" s="383">
        <v>0.15986394557823128</v>
      </c>
      <c r="M60" s="383">
        <v>1.7006802721088437E-2</v>
      </c>
      <c r="N60" s="383">
        <v>0.11723356009070295</v>
      </c>
      <c r="O60" s="383">
        <v>1.2471655328798186E-2</v>
      </c>
      <c r="P60" s="383">
        <v>0.11387568726120585</v>
      </c>
      <c r="Q60" s="383">
        <v>1.2114434815021899E-2</v>
      </c>
      <c r="R60" s="383">
        <v>2.8614916286149164E-2</v>
      </c>
      <c r="S60" s="383">
        <v>2.3592085235920853E-3</v>
      </c>
      <c r="T60" s="355">
        <v>215</v>
      </c>
      <c r="U60" s="312">
        <v>0</v>
      </c>
      <c r="V60" s="332"/>
    </row>
    <row r="61" spans="2:22" x14ac:dyDescent="0.3">
      <c r="B61" s="376" t="s">
        <v>192</v>
      </c>
      <c r="C61" s="367" t="s">
        <v>375</v>
      </c>
      <c r="D61" s="314" t="s">
        <v>64</v>
      </c>
      <c r="E61" s="314" t="s">
        <v>65</v>
      </c>
      <c r="F61" s="315">
        <v>5</v>
      </c>
      <c r="G61" s="315">
        <v>5</v>
      </c>
      <c r="H61" s="383">
        <v>60.03</v>
      </c>
      <c r="I61" s="383">
        <v>60.03</v>
      </c>
      <c r="J61" s="383" t="s">
        <v>145</v>
      </c>
      <c r="K61" s="383" t="s">
        <v>145</v>
      </c>
      <c r="L61" s="383">
        <v>40.836734693877553</v>
      </c>
      <c r="M61" s="383">
        <v>40.836734693877553</v>
      </c>
      <c r="N61" s="383">
        <v>6.8061224489795915</v>
      </c>
      <c r="O61" s="383">
        <v>6.8061224489795915</v>
      </c>
      <c r="P61" s="383">
        <v>0.55940732457366504</v>
      </c>
      <c r="Q61" s="383">
        <v>0.55940732457366504</v>
      </c>
      <c r="R61" s="383">
        <v>0.14056902002107483</v>
      </c>
      <c r="S61" s="383">
        <v>0.10894099051633298</v>
      </c>
      <c r="T61" s="355">
        <v>1</v>
      </c>
      <c r="U61" s="312">
        <v>0</v>
      </c>
      <c r="V61" s="332"/>
    </row>
    <row r="62" spans="2:22" x14ac:dyDescent="0.3">
      <c r="B62" s="376"/>
      <c r="C62" s="367" t="s">
        <v>374</v>
      </c>
      <c r="D62" s="314" t="s">
        <v>68</v>
      </c>
      <c r="E62" s="314" t="s">
        <v>65</v>
      </c>
      <c r="F62" s="309">
        <v>250</v>
      </c>
      <c r="G62" s="159">
        <v>250</v>
      </c>
      <c r="H62" s="383">
        <v>1.7000000000000001E-2</v>
      </c>
      <c r="I62" s="383">
        <v>8.0000000000000002E-3</v>
      </c>
      <c r="J62" s="383" t="s">
        <v>145</v>
      </c>
      <c r="K62" s="383" t="s">
        <v>145</v>
      </c>
      <c r="L62" s="383">
        <v>1.1564625850340137E-2</v>
      </c>
      <c r="M62" s="383">
        <v>5.4421768707482989E-3</v>
      </c>
      <c r="N62" s="383">
        <v>8.4807256235827667E-3</v>
      </c>
      <c r="O62" s="383">
        <v>3.9909297052154197E-3</v>
      </c>
      <c r="P62" s="383">
        <v>8.2378156742148913E-3</v>
      </c>
      <c r="Q62" s="383">
        <v>3.876619140807008E-3</v>
      </c>
      <c r="R62" s="383">
        <v>2.0700152207001523E-3</v>
      </c>
      <c r="S62" s="383">
        <v>7.5494672754946733E-4</v>
      </c>
      <c r="T62" s="355">
        <v>39</v>
      </c>
      <c r="U62" s="312"/>
      <c r="V62" s="332"/>
    </row>
    <row r="63" spans="2:22" x14ac:dyDescent="0.3">
      <c r="B63" s="376" t="s">
        <v>193</v>
      </c>
      <c r="C63" s="367" t="s">
        <v>376</v>
      </c>
      <c r="D63" s="314" t="s">
        <v>64</v>
      </c>
      <c r="E63" s="314" t="s">
        <v>65</v>
      </c>
      <c r="F63" s="159">
        <v>250</v>
      </c>
      <c r="G63" s="159">
        <v>250</v>
      </c>
      <c r="H63" s="383">
        <v>0.27700000000000002</v>
      </c>
      <c r="I63" s="383">
        <v>6.0000000000000001E-3</v>
      </c>
      <c r="J63" s="383" t="s">
        <v>145</v>
      </c>
      <c r="K63" s="383" t="s">
        <v>145</v>
      </c>
      <c r="L63" s="383">
        <v>0.18843537414965988</v>
      </c>
      <c r="M63" s="383">
        <v>4.0816326530612249E-3</v>
      </c>
      <c r="N63" s="383">
        <v>0.1381859410430839</v>
      </c>
      <c r="O63" s="383">
        <v>2.9931972789115648E-3</v>
      </c>
      <c r="P63" s="383">
        <v>0.13422793775044267</v>
      </c>
      <c r="Q63" s="383">
        <v>2.907464355605256E-3</v>
      </c>
      <c r="R63" s="383">
        <v>3.3729071537290718E-2</v>
      </c>
      <c r="S63" s="383">
        <v>5.6621004566210045E-4</v>
      </c>
      <c r="T63" s="355">
        <v>222</v>
      </c>
      <c r="U63" s="312">
        <v>0</v>
      </c>
      <c r="V63" s="332"/>
    </row>
    <row r="64" spans="2:22" x14ac:dyDescent="0.3">
      <c r="B64" s="376" t="s">
        <v>194</v>
      </c>
      <c r="C64" s="367" t="s">
        <v>377</v>
      </c>
      <c r="D64" s="314" t="s">
        <v>64</v>
      </c>
      <c r="E64" s="314" t="s">
        <v>65</v>
      </c>
      <c r="F64" s="315">
        <v>14</v>
      </c>
      <c r="G64" s="315">
        <v>14</v>
      </c>
      <c r="H64" s="383">
        <v>1.2E-2</v>
      </c>
      <c r="I64" s="383">
        <v>8.0000000000000002E-3</v>
      </c>
      <c r="J64" s="383" t="s">
        <v>145</v>
      </c>
      <c r="K64" s="383" t="s">
        <v>145</v>
      </c>
      <c r="L64" s="383">
        <v>8.1632653061224497E-3</v>
      </c>
      <c r="M64" s="383">
        <v>5.4421768707482989E-3</v>
      </c>
      <c r="N64" s="383">
        <v>3.80952380952381E-3</v>
      </c>
      <c r="O64" s="383">
        <v>2.5396825396825397E-3</v>
      </c>
      <c r="P64" s="383">
        <v>3.1311154598825838E-4</v>
      </c>
      <c r="Q64" s="383">
        <v>2.0874103065883888E-4</v>
      </c>
      <c r="R64" s="383">
        <v>7.8679311556023896E-5</v>
      </c>
      <c r="S64" s="383">
        <v>4.0650977637279005E-5</v>
      </c>
      <c r="T64" s="355">
        <v>8</v>
      </c>
      <c r="U64" s="312">
        <v>0</v>
      </c>
      <c r="V64" s="332"/>
    </row>
    <row r="65" spans="2:22" x14ac:dyDescent="0.3">
      <c r="B65" s="376"/>
      <c r="C65" s="367" t="s">
        <v>376</v>
      </c>
      <c r="D65" s="314" t="s">
        <v>68</v>
      </c>
      <c r="E65" s="314" t="s">
        <v>65</v>
      </c>
      <c r="F65" s="309">
        <v>250</v>
      </c>
      <c r="G65" s="159">
        <v>250</v>
      </c>
      <c r="H65" s="383">
        <v>1.7000000000000001E-2</v>
      </c>
      <c r="I65" s="383">
        <v>8.0000000000000002E-3</v>
      </c>
      <c r="J65" s="383" t="s">
        <v>145</v>
      </c>
      <c r="K65" s="383" t="s">
        <v>145</v>
      </c>
      <c r="L65" s="383">
        <v>1.1564625850340137E-2</v>
      </c>
      <c r="M65" s="383">
        <v>5.4421768707482989E-3</v>
      </c>
      <c r="N65" s="383">
        <v>8.4807256235827667E-3</v>
      </c>
      <c r="O65" s="383">
        <v>3.9909297052154197E-3</v>
      </c>
      <c r="P65" s="383">
        <v>8.2378156742148913E-3</v>
      </c>
      <c r="Q65" s="383">
        <v>3.876619140807008E-3</v>
      </c>
      <c r="R65" s="383">
        <v>2.0700152207001523E-3</v>
      </c>
      <c r="S65" s="383">
        <v>7.5494672754946733E-4</v>
      </c>
      <c r="T65" s="355">
        <v>39</v>
      </c>
      <c r="U65" s="312">
        <v>0</v>
      </c>
      <c r="V65" s="332"/>
    </row>
    <row r="66" spans="2:22" ht="18" customHeight="1" x14ac:dyDescent="0.3">
      <c r="B66" s="376" t="s">
        <v>195</v>
      </c>
      <c r="C66" s="367" t="s">
        <v>378</v>
      </c>
      <c r="D66" s="314" t="s">
        <v>64</v>
      </c>
      <c r="E66" s="314" t="s">
        <v>65</v>
      </c>
      <c r="F66" s="159">
        <v>250</v>
      </c>
      <c r="G66" s="159">
        <v>250</v>
      </c>
      <c r="H66" s="383">
        <v>0.23400000000000001</v>
      </c>
      <c r="I66" s="383">
        <v>0.152</v>
      </c>
      <c r="J66" s="383" t="s">
        <v>145</v>
      </c>
      <c r="K66" s="383" t="s">
        <v>145</v>
      </c>
      <c r="L66" s="383">
        <v>0.15918367346938775</v>
      </c>
      <c r="M66" s="383">
        <v>0.10340136054421768</v>
      </c>
      <c r="N66" s="383">
        <v>0.11673469387755103</v>
      </c>
      <c r="O66" s="383">
        <v>7.582766439909297E-2</v>
      </c>
      <c r="P66" s="383">
        <v>0.113391109868605</v>
      </c>
      <c r="Q66" s="383">
        <v>7.3655763675333136E-2</v>
      </c>
      <c r="R66" s="383">
        <v>2.8493150684931513E-2</v>
      </c>
      <c r="S66" s="383">
        <v>1.4343987823439878E-2</v>
      </c>
      <c r="T66" s="355">
        <v>354</v>
      </c>
      <c r="U66" s="312">
        <v>0</v>
      </c>
      <c r="V66" s="332"/>
    </row>
    <row r="67" spans="2:22" ht="18" customHeight="1" x14ac:dyDescent="0.3">
      <c r="B67" s="376" t="s">
        <v>196</v>
      </c>
      <c r="C67" s="367" t="s">
        <v>379</v>
      </c>
      <c r="D67" s="314" t="s">
        <v>64</v>
      </c>
      <c r="E67" s="314" t="s">
        <v>65</v>
      </c>
      <c r="F67" s="315">
        <v>5</v>
      </c>
      <c r="G67" s="315">
        <v>5</v>
      </c>
      <c r="H67" s="383">
        <v>0.61899999999999999</v>
      </c>
      <c r="I67" s="383">
        <v>0.34100000000000003</v>
      </c>
      <c r="J67" s="383" t="s">
        <v>145</v>
      </c>
      <c r="K67" s="383" t="s">
        <v>145</v>
      </c>
      <c r="L67" s="383">
        <v>0.42108843537414969</v>
      </c>
      <c r="M67" s="383">
        <v>0.23197278911564628</v>
      </c>
      <c r="N67" s="383">
        <v>7.0181405895691606E-2</v>
      </c>
      <c r="O67" s="383">
        <v>3.8662131519274376E-2</v>
      </c>
      <c r="P67" s="383">
        <v>5.7683347311527347E-3</v>
      </c>
      <c r="Q67" s="383">
        <v>3.1777094399403601E-3</v>
      </c>
      <c r="R67" s="383">
        <v>1.4494789837255588E-3</v>
      </c>
      <c r="S67" s="383">
        <v>6.1883854349607781E-4</v>
      </c>
      <c r="T67" s="355">
        <v>2</v>
      </c>
      <c r="U67" s="312">
        <v>0</v>
      </c>
      <c r="V67" s="332"/>
    </row>
    <row r="68" spans="2:22" ht="18" customHeight="1" x14ac:dyDescent="0.3">
      <c r="B68" s="376" t="s">
        <v>197</v>
      </c>
      <c r="C68" s="367" t="s">
        <v>380</v>
      </c>
      <c r="D68" s="314" t="s">
        <v>64</v>
      </c>
      <c r="E68" s="314" t="s">
        <v>65</v>
      </c>
      <c r="F68" s="315">
        <v>14</v>
      </c>
      <c r="G68" s="315">
        <v>14</v>
      </c>
      <c r="H68" s="383">
        <v>4.9189999999999996</v>
      </c>
      <c r="I68" s="383">
        <v>2.9000000000000001E-2</v>
      </c>
      <c r="J68" s="383" t="s">
        <v>145</v>
      </c>
      <c r="K68" s="383" t="s">
        <v>145</v>
      </c>
      <c r="L68" s="383">
        <v>3.3462585034013603</v>
      </c>
      <c r="M68" s="383">
        <v>1.9727891156462587E-2</v>
      </c>
      <c r="N68" s="383">
        <v>1.5615873015873016</v>
      </c>
      <c r="O68" s="383">
        <v>9.2063492063492076E-3</v>
      </c>
      <c r="P68" s="383">
        <v>0.12834964122635356</v>
      </c>
      <c r="Q68" s="383">
        <v>7.566862361382909E-4</v>
      </c>
      <c r="R68" s="383">
        <v>3.2251961128673456E-2</v>
      </c>
      <c r="S68" s="383">
        <v>1.4735979393513639E-4</v>
      </c>
      <c r="T68" s="355">
        <v>33</v>
      </c>
      <c r="U68" s="312">
        <v>0</v>
      </c>
      <c r="V68" s="332"/>
    </row>
    <row r="69" spans="2:22" ht="18" customHeight="1" x14ac:dyDescent="0.3">
      <c r="B69" s="376"/>
      <c r="C69" s="367" t="s">
        <v>378</v>
      </c>
      <c r="D69" s="314" t="s">
        <v>68</v>
      </c>
      <c r="E69" s="314" t="s">
        <v>65</v>
      </c>
      <c r="F69" s="309">
        <v>250</v>
      </c>
      <c r="G69" s="159">
        <v>250</v>
      </c>
      <c r="H69" s="383">
        <v>1.7000000000000001E-2</v>
      </c>
      <c r="I69" s="383">
        <v>8.0000000000000002E-3</v>
      </c>
      <c r="J69" s="383" t="s">
        <v>145</v>
      </c>
      <c r="K69" s="383" t="s">
        <v>145</v>
      </c>
      <c r="L69" s="383">
        <v>1.1564625850340137E-2</v>
      </c>
      <c r="M69" s="383">
        <v>5.4421768707482989E-3</v>
      </c>
      <c r="N69" s="383">
        <v>8.4807256235827667E-3</v>
      </c>
      <c r="O69" s="383">
        <v>3.9909297052154197E-3</v>
      </c>
      <c r="P69" s="383">
        <v>8.2378156742148913E-3</v>
      </c>
      <c r="Q69" s="383">
        <v>3.876619140807008E-3</v>
      </c>
      <c r="R69" s="383">
        <v>2.0700152207001523E-3</v>
      </c>
      <c r="S69" s="383">
        <v>7.5494672754946733E-4</v>
      </c>
      <c r="T69" s="355">
        <v>39</v>
      </c>
      <c r="U69" s="312">
        <v>0</v>
      </c>
      <c r="V69" s="332"/>
    </row>
    <row r="70" spans="2:22" x14ac:dyDescent="0.3">
      <c r="B70" s="376" t="s">
        <v>198</v>
      </c>
      <c r="C70" s="367" t="s">
        <v>381</v>
      </c>
      <c r="D70" s="314" t="s">
        <v>64</v>
      </c>
      <c r="E70" s="314" t="s">
        <v>65</v>
      </c>
      <c r="F70" s="159">
        <v>250</v>
      </c>
      <c r="G70" s="159">
        <v>250</v>
      </c>
      <c r="H70" s="383">
        <v>0.2</v>
      </c>
      <c r="I70" s="383">
        <v>0.02</v>
      </c>
      <c r="J70" s="383" t="s">
        <v>145</v>
      </c>
      <c r="K70" s="383" t="s">
        <v>145</v>
      </c>
      <c r="L70" s="383">
        <v>0.1360544217687075</v>
      </c>
      <c r="M70" s="383">
        <v>1.360544217687075E-2</v>
      </c>
      <c r="N70" s="383">
        <v>9.9773242630385492E-2</v>
      </c>
      <c r="O70" s="383">
        <v>9.9773242630385485E-3</v>
      </c>
      <c r="P70" s="383">
        <v>9.6915478520175194E-2</v>
      </c>
      <c r="Q70" s="383">
        <v>9.6915478520175208E-3</v>
      </c>
      <c r="R70" s="383">
        <v>2.4353120243531201E-2</v>
      </c>
      <c r="S70" s="383">
        <v>1.8873668188736684E-3</v>
      </c>
      <c r="T70" s="355">
        <v>1952</v>
      </c>
      <c r="U70" s="312">
        <v>0</v>
      </c>
      <c r="V70" s="332"/>
    </row>
    <row r="71" spans="2:22" x14ac:dyDescent="0.3">
      <c r="B71" s="376" t="s">
        <v>199</v>
      </c>
      <c r="C71" s="367" t="s">
        <v>382</v>
      </c>
      <c r="D71" s="314" t="s">
        <v>64</v>
      </c>
      <c r="E71" s="314" t="s">
        <v>65</v>
      </c>
      <c r="F71" s="315">
        <v>5</v>
      </c>
      <c r="G71" s="315">
        <v>5</v>
      </c>
      <c r="H71" s="383">
        <v>0.13400000000000001</v>
      </c>
      <c r="I71" s="383">
        <v>3.2000000000000001E-2</v>
      </c>
      <c r="J71" s="383" t="s">
        <v>145</v>
      </c>
      <c r="K71" s="383" t="s">
        <v>145</v>
      </c>
      <c r="L71" s="383">
        <v>9.1156462585034015E-2</v>
      </c>
      <c r="M71" s="383">
        <v>2.1768707482993196E-2</v>
      </c>
      <c r="N71" s="383">
        <v>1.5192743764172336E-2</v>
      </c>
      <c r="O71" s="383">
        <v>3.6281179138321997E-3</v>
      </c>
      <c r="P71" s="383">
        <v>1.2487186655484111E-3</v>
      </c>
      <c r="Q71" s="383">
        <v>2.9820147236976982E-4</v>
      </c>
      <c r="R71" s="383">
        <v>3.1378058775319051E-4</v>
      </c>
      <c r="S71" s="383">
        <v>5.8072825196112867E-5</v>
      </c>
      <c r="T71" s="355">
        <v>38</v>
      </c>
      <c r="U71" s="312">
        <v>0</v>
      </c>
      <c r="V71" s="332"/>
    </row>
    <row r="72" spans="2:22" x14ac:dyDescent="0.3">
      <c r="B72" s="376" t="s">
        <v>200</v>
      </c>
      <c r="C72" s="367" t="s">
        <v>383</v>
      </c>
      <c r="D72" s="314" t="s">
        <v>64</v>
      </c>
      <c r="E72" s="314" t="s">
        <v>65</v>
      </c>
      <c r="F72" s="315">
        <v>14</v>
      </c>
      <c r="G72" s="315">
        <v>14</v>
      </c>
      <c r="H72" s="383">
        <v>0.06</v>
      </c>
      <c r="I72" s="383">
        <v>2.8000000000000001E-2</v>
      </c>
      <c r="J72" s="383" t="s">
        <v>145</v>
      </c>
      <c r="K72" s="383" t="s">
        <v>145</v>
      </c>
      <c r="L72" s="383">
        <v>4.0816326530612249E-2</v>
      </c>
      <c r="M72" s="383">
        <v>1.9047619047619049E-2</v>
      </c>
      <c r="N72" s="383">
        <v>1.9047619047619046E-2</v>
      </c>
      <c r="O72" s="383">
        <v>8.8888888888888906E-3</v>
      </c>
      <c r="P72" s="383">
        <v>1.5655577299412918E-3</v>
      </c>
      <c r="Q72" s="383">
        <v>7.305936073059362E-4</v>
      </c>
      <c r="R72" s="383">
        <v>3.9339655778011941E-4</v>
      </c>
      <c r="S72" s="383">
        <v>1.4227842173047655E-4</v>
      </c>
      <c r="T72" s="355">
        <v>1633</v>
      </c>
      <c r="U72" s="312">
        <v>0</v>
      </c>
      <c r="V72" s="332"/>
    </row>
    <row r="73" spans="2:22" x14ac:dyDescent="0.3">
      <c r="B73" s="376"/>
      <c r="C73" s="367" t="s">
        <v>381</v>
      </c>
      <c r="D73" s="314" t="s">
        <v>68</v>
      </c>
      <c r="E73" s="314" t="s">
        <v>65</v>
      </c>
      <c r="F73" s="309">
        <v>250</v>
      </c>
      <c r="G73" s="159">
        <v>250</v>
      </c>
      <c r="H73" s="383">
        <v>1.7000000000000001E-2</v>
      </c>
      <c r="I73" s="383">
        <v>8.0000000000000002E-3</v>
      </c>
      <c r="J73" s="383" t="s">
        <v>145</v>
      </c>
      <c r="K73" s="383" t="s">
        <v>145</v>
      </c>
      <c r="L73" s="383">
        <v>1.1564625850340137E-2</v>
      </c>
      <c r="M73" s="383">
        <v>5.4421768707482989E-3</v>
      </c>
      <c r="N73" s="383">
        <v>8.4807256235827667E-3</v>
      </c>
      <c r="O73" s="383">
        <v>3.9909297052154197E-3</v>
      </c>
      <c r="P73" s="383">
        <v>8.2378156742148913E-3</v>
      </c>
      <c r="Q73" s="383">
        <v>3.876619140807008E-3</v>
      </c>
      <c r="R73" s="383">
        <v>2.0700152207001523E-3</v>
      </c>
      <c r="S73" s="383">
        <v>7.5494672754946733E-4</v>
      </c>
      <c r="T73" s="316">
        <v>39</v>
      </c>
      <c r="U73" s="318">
        <v>0</v>
      </c>
      <c r="V73" s="332"/>
    </row>
    <row r="74" spans="2:22" x14ac:dyDescent="0.3">
      <c r="B74" s="376" t="s">
        <v>201</v>
      </c>
      <c r="C74" s="367" t="s">
        <v>384</v>
      </c>
      <c r="D74" s="314" t="s">
        <v>64</v>
      </c>
      <c r="E74" s="314" t="s">
        <v>65</v>
      </c>
      <c r="F74" s="159">
        <v>250</v>
      </c>
      <c r="G74" s="309">
        <v>250</v>
      </c>
      <c r="H74" s="383">
        <v>0.36399999999999999</v>
      </c>
      <c r="I74" s="383">
        <v>3.7999999999999999E-2</v>
      </c>
      <c r="J74" s="383" t="s">
        <v>145</v>
      </c>
      <c r="K74" s="383" t="s">
        <v>145</v>
      </c>
      <c r="L74" s="383">
        <v>0.24761904761904763</v>
      </c>
      <c r="M74" s="383">
        <v>2.5850340136054421E-2</v>
      </c>
      <c r="N74" s="383">
        <v>0.18158730158730158</v>
      </c>
      <c r="O74" s="383">
        <v>1.8956916099773242E-2</v>
      </c>
      <c r="P74" s="383">
        <v>0.17638617090671885</v>
      </c>
      <c r="Q74" s="383">
        <v>1.8413940918833284E-2</v>
      </c>
      <c r="R74" s="383">
        <v>4.4322678843226784E-2</v>
      </c>
      <c r="S74" s="383">
        <v>3.5859969558599694E-3</v>
      </c>
      <c r="T74" s="317">
        <v>21</v>
      </c>
      <c r="U74" s="318">
        <v>0</v>
      </c>
      <c r="V74" s="332"/>
    </row>
    <row r="75" spans="2:22" ht="13.5" thickBot="1" x14ac:dyDescent="0.35">
      <c r="B75" s="377"/>
      <c r="C75" s="368" t="s">
        <v>384</v>
      </c>
      <c r="D75" s="351" t="s">
        <v>68</v>
      </c>
      <c r="E75" s="351" t="s">
        <v>65</v>
      </c>
      <c r="F75" s="322">
        <v>250</v>
      </c>
      <c r="G75" s="322">
        <v>250</v>
      </c>
      <c r="H75" s="385">
        <v>1.7000000000000001E-2</v>
      </c>
      <c r="I75" s="385">
        <v>8.0000000000000002E-3</v>
      </c>
      <c r="J75" s="385" t="s">
        <v>145</v>
      </c>
      <c r="K75" s="385" t="s">
        <v>145</v>
      </c>
      <c r="L75" s="385">
        <v>1.1564625850340137E-2</v>
      </c>
      <c r="M75" s="385">
        <v>5.4421768707482989E-3</v>
      </c>
      <c r="N75" s="385">
        <v>8.4807256235827667E-3</v>
      </c>
      <c r="O75" s="385">
        <v>3.9909297052154197E-3</v>
      </c>
      <c r="P75" s="385">
        <v>8.2378156742148913E-3</v>
      </c>
      <c r="Q75" s="385">
        <v>3.876619140807008E-3</v>
      </c>
      <c r="R75" s="385">
        <v>2.0700152207001523E-3</v>
      </c>
      <c r="S75" s="385">
        <v>7.5494672754946733E-4</v>
      </c>
      <c r="T75" s="336">
        <v>39</v>
      </c>
      <c r="U75" s="324">
        <v>0</v>
      </c>
      <c r="V75" s="344"/>
    </row>
    <row r="76" spans="2:22" x14ac:dyDescent="0.3">
      <c r="B76" s="376" t="s">
        <v>203</v>
      </c>
      <c r="C76" s="367" t="s">
        <v>369</v>
      </c>
      <c r="D76" s="347" t="s">
        <v>64</v>
      </c>
      <c r="E76" s="334" t="s">
        <v>67</v>
      </c>
      <c r="F76" s="352">
        <v>167</v>
      </c>
      <c r="G76" s="309">
        <v>167</v>
      </c>
      <c r="H76" s="384">
        <v>0.44900000000000001</v>
      </c>
      <c r="I76" s="384">
        <v>2.5000000000000001E-2</v>
      </c>
      <c r="J76" s="384" t="s">
        <v>145</v>
      </c>
      <c r="K76" s="384" t="s">
        <v>145</v>
      </c>
      <c r="L76" s="384">
        <v>0.45816326530612245</v>
      </c>
      <c r="M76" s="384">
        <v>2.5510204081632657E-2</v>
      </c>
      <c r="N76" s="384">
        <v>0.33598639455782314</v>
      </c>
      <c r="O76" s="384">
        <v>1.8707482993197282E-2</v>
      </c>
      <c r="P76" s="384">
        <v>0.20962538440033546</v>
      </c>
      <c r="Q76" s="384">
        <v>1.1671792004473025E-2</v>
      </c>
      <c r="R76" s="384">
        <v>5.2675096592904806E-2</v>
      </c>
      <c r="S76" s="384">
        <v>2.2730066736916057E-3</v>
      </c>
      <c r="T76" s="355">
        <v>455</v>
      </c>
      <c r="U76" s="312">
        <v>0</v>
      </c>
      <c r="V76" s="313" t="s">
        <v>351</v>
      </c>
    </row>
    <row r="77" spans="2:22" x14ac:dyDescent="0.3">
      <c r="B77" s="376" t="s">
        <v>206</v>
      </c>
      <c r="C77" s="367" t="s">
        <v>370</v>
      </c>
      <c r="D77" s="314" t="s">
        <v>64</v>
      </c>
      <c r="E77" s="314" t="s">
        <v>67</v>
      </c>
      <c r="F77" s="349">
        <v>5</v>
      </c>
      <c r="G77" s="315">
        <v>5</v>
      </c>
      <c r="H77" s="383">
        <v>0.78400000000000003</v>
      </c>
      <c r="I77" s="383">
        <v>0.37</v>
      </c>
      <c r="J77" s="383" t="s">
        <v>145</v>
      </c>
      <c r="K77" s="383" t="s">
        <v>145</v>
      </c>
      <c r="L77" s="383">
        <v>0.80000000000000016</v>
      </c>
      <c r="M77" s="383">
        <v>0.37755102040816318</v>
      </c>
      <c r="N77" s="383">
        <v>0.13333333333333336</v>
      </c>
      <c r="O77" s="383">
        <v>6.2925170068027197E-2</v>
      </c>
      <c r="P77" s="383">
        <v>1.0958904109589045E-2</v>
      </c>
      <c r="Q77" s="383">
        <v>5.1719317864131944E-3</v>
      </c>
      <c r="R77" s="383">
        <v>2.7537759044608365E-3</v>
      </c>
      <c r="S77" s="383">
        <v>1.0072005619950822E-3</v>
      </c>
      <c r="T77" s="355">
        <v>3</v>
      </c>
      <c r="U77" s="312">
        <v>0</v>
      </c>
      <c r="V77" s="332"/>
    </row>
    <row r="78" spans="2:22" x14ac:dyDescent="0.3">
      <c r="B78" s="376" t="s">
        <v>221</v>
      </c>
      <c r="C78" s="367" t="s">
        <v>369</v>
      </c>
      <c r="D78" s="314" t="s">
        <v>68</v>
      </c>
      <c r="E78" s="314" t="s">
        <v>67</v>
      </c>
      <c r="F78" s="352">
        <v>167</v>
      </c>
      <c r="G78" s="309">
        <v>167</v>
      </c>
      <c r="H78" s="383">
        <v>1.7000000000000001E-2</v>
      </c>
      <c r="I78" s="383">
        <v>8.0000000000000002E-3</v>
      </c>
      <c r="J78" s="383" t="s">
        <v>145</v>
      </c>
      <c r="K78" s="383" t="s">
        <v>145</v>
      </c>
      <c r="L78" s="383">
        <v>1.7346938775510207E-2</v>
      </c>
      <c r="M78" s="383">
        <v>8.1632653061224497E-3</v>
      </c>
      <c r="N78" s="383">
        <v>1.272108843537415E-2</v>
      </c>
      <c r="O78" s="383">
        <v>5.9863945578231296E-3</v>
      </c>
      <c r="P78" s="383">
        <v>7.9368185630416567E-3</v>
      </c>
      <c r="Q78" s="383">
        <v>3.7349734414313675E-3</v>
      </c>
      <c r="R78" s="383">
        <v>1.9943800491745703E-3</v>
      </c>
      <c r="S78" s="383">
        <v>7.2736213558131371E-4</v>
      </c>
      <c r="T78" s="355">
        <v>39</v>
      </c>
      <c r="U78" s="312">
        <v>0</v>
      </c>
      <c r="V78" s="332"/>
    </row>
    <row r="79" spans="2:22" x14ac:dyDescent="0.3">
      <c r="B79" s="376" t="s">
        <v>207</v>
      </c>
      <c r="C79" s="367" t="s">
        <v>371</v>
      </c>
      <c r="D79" s="314" t="s">
        <v>64</v>
      </c>
      <c r="E79" s="314" t="s">
        <v>67</v>
      </c>
      <c r="F79" s="348">
        <v>167</v>
      </c>
      <c r="G79" s="159">
        <v>167</v>
      </c>
      <c r="H79" s="383">
        <v>0.16</v>
      </c>
      <c r="I79" s="383">
        <v>0.02</v>
      </c>
      <c r="J79" s="383" t="s">
        <v>145</v>
      </c>
      <c r="K79" s="383" t="s">
        <v>145</v>
      </c>
      <c r="L79" s="383">
        <v>0.16326530612244899</v>
      </c>
      <c r="M79" s="383">
        <v>2.0408163265306124E-2</v>
      </c>
      <c r="N79" s="383">
        <v>0.11972789115646257</v>
      </c>
      <c r="O79" s="383">
        <v>1.4965986394557821E-2</v>
      </c>
      <c r="P79" s="383">
        <v>7.4699468828627338E-2</v>
      </c>
      <c r="Q79" s="383">
        <v>9.337433603578419E-3</v>
      </c>
      <c r="R79" s="383">
        <v>1.8770635756937125E-2</v>
      </c>
      <c r="S79" s="383">
        <v>1.8184053389532842E-3</v>
      </c>
      <c r="T79" s="355">
        <v>313</v>
      </c>
      <c r="U79" s="312">
        <v>0</v>
      </c>
      <c r="V79" s="332"/>
    </row>
    <row r="80" spans="2:22" x14ac:dyDescent="0.3">
      <c r="B80" s="376" t="s">
        <v>208</v>
      </c>
      <c r="C80" s="367" t="s">
        <v>372</v>
      </c>
      <c r="D80" s="314" t="s">
        <v>64</v>
      </c>
      <c r="E80" s="314" t="s">
        <v>67</v>
      </c>
      <c r="F80" s="349">
        <v>5</v>
      </c>
      <c r="G80" s="315">
        <v>5</v>
      </c>
      <c r="H80" s="383">
        <v>0.25</v>
      </c>
      <c r="I80" s="383">
        <v>0.13</v>
      </c>
      <c r="J80" s="383" t="s">
        <v>145</v>
      </c>
      <c r="K80" s="383" t="s">
        <v>145</v>
      </c>
      <c r="L80" s="383">
        <v>9.183673469387757E-2</v>
      </c>
      <c r="M80" s="383">
        <v>4.5918367346938785E-2</v>
      </c>
      <c r="N80" s="383">
        <v>1.5306122448979593E-2</v>
      </c>
      <c r="O80" s="383">
        <v>7.6530612244897966E-3</v>
      </c>
      <c r="P80" s="383">
        <v>3.4945485043332402E-3</v>
      </c>
      <c r="Q80" s="383">
        <v>1.8171652222532851E-3</v>
      </c>
      <c r="R80" s="383">
        <v>8.7811731647348087E-4</v>
      </c>
      <c r="S80" s="383">
        <v>3.5388127853881279E-4</v>
      </c>
      <c r="T80" s="355">
        <v>5</v>
      </c>
      <c r="U80" s="312">
        <v>0</v>
      </c>
      <c r="V80" s="332"/>
    </row>
    <row r="81" spans="2:22" x14ac:dyDescent="0.3">
      <c r="B81" s="376" t="s">
        <v>209</v>
      </c>
      <c r="C81" s="367" t="s">
        <v>373</v>
      </c>
      <c r="D81" s="314" t="s">
        <v>64</v>
      </c>
      <c r="E81" s="314" t="s">
        <v>67</v>
      </c>
      <c r="F81" s="349">
        <v>14</v>
      </c>
      <c r="G81" s="315">
        <v>14</v>
      </c>
      <c r="H81" s="383">
        <v>0.13900000000000001</v>
      </c>
      <c r="I81" s="383">
        <v>1.7000000000000001E-2</v>
      </c>
      <c r="J81" s="383" t="s">
        <v>145</v>
      </c>
      <c r="K81" s="383" t="s">
        <v>145</v>
      </c>
      <c r="L81" s="383">
        <v>0.14183673469387756</v>
      </c>
      <c r="M81" s="383">
        <v>1.7346938775510207E-2</v>
      </c>
      <c r="N81" s="383">
        <v>6.6190476190476202E-2</v>
      </c>
      <c r="O81" s="383">
        <v>8.0952380952380963E-3</v>
      </c>
      <c r="P81" s="383">
        <v>5.440313111545989E-3</v>
      </c>
      <c r="Q81" s="383">
        <v>6.6536203522504908E-4</v>
      </c>
      <c r="R81" s="383">
        <v>1.3670530382859153E-3</v>
      </c>
      <c r="S81" s="383">
        <v>1.2957499121882686E-4</v>
      </c>
      <c r="T81" s="355">
        <v>4</v>
      </c>
      <c r="U81" s="312">
        <v>0</v>
      </c>
      <c r="V81" s="332"/>
    </row>
    <row r="82" spans="2:22" x14ac:dyDescent="0.3">
      <c r="B82" s="376"/>
      <c r="C82" s="367" t="s">
        <v>371</v>
      </c>
      <c r="D82" s="314" t="s">
        <v>68</v>
      </c>
      <c r="E82" s="314" t="s">
        <v>67</v>
      </c>
      <c r="F82" s="352">
        <v>167</v>
      </c>
      <c r="G82" s="309">
        <v>167</v>
      </c>
      <c r="H82" s="383">
        <v>1.7000000000000001E-2</v>
      </c>
      <c r="I82" s="383">
        <v>8.0000000000000002E-3</v>
      </c>
      <c r="J82" s="383" t="s">
        <v>145</v>
      </c>
      <c r="K82" s="383" t="s">
        <v>145</v>
      </c>
      <c r="L82" s="383">
        <v>1.7346938775510207E-2</v>
      </c>
      <c r="M82" s="383">
        <v>8.1632653061224497E-3</v>
      </c>
      <c r="N82" s="383">
        <v>1.272108843537415E-2</v>
      </c>
      <c r="O82" s="383">
        <v>5.9863945578231296E-3</v>
      </c>
      <c r="P82" s="383">
        <v>7.9368185630416567E-3</v>
      </c>
      <c r="Q82" s="383">
        <v>3.7349734414313675E-3</v>
      </c>
      <c r="R82" s="383">
        <v>1.9943800491745703E-3</v>
      </c>
      <c r="S82" s="383">
        <v>7.2736213558131371E-4</v>
      </c>
      <c r="T82" s="355">
        <v>39</v>
      </c>
      <c r="U82" s="312">
        <v>0</v>
      </c>
      <c r="V82" s="332"/>
    </row>
    <row r="83" spans="2:22" x14ac:dyDescent="0.3">
      <c r="B83" s="376" t="s">
        <v>210</v>
      </c>
      <c r="C83" s="367" t="s">
        <v>374</v>
      </c>
      <c r="D83" s="314" t="s">
        <v>64</v>
      </c>
      <c r="E83" s="314" t="s">
        <v>67</v>
      </c>
      <c r="F83" s="348">
        <v>167</v>
      </c>
      <c r="G83" s="159">
        <v>167</v>
      </c>
      <c r="H83" s="383">
        <v>0.23499999999999999</v>
      </c>
      <c r="I83" s="383">
        <v>2.5000000000000001E-2</v>
      </c>
      <c r="J83" s="383" t="s">
        <v>145</v>
      </c>
      <c r="K83" s="383" t="s">
        <v>145</v>
      </c>
      <c r="L83" s="383">
        <v>0.23979591836734693</v>
      </c>
      <c r="M83" s="383">
        <v>2.5510204081632657E-2</v>
      </c>
      <c r="N83" s="383">
        <v>0.17585034013605444</v>
      </c>
      <c r="O83" s="383">
        <v>1.8707482993197282E-2</v>
      </c>
      <c r="P83" s="383">
        <v>0.10971484484204641</v>
      </c>
      <c r="Q83" s="383">
        <v>1.1671792004473025E-2</v>
      </c>
      <c r="R83" s="383">
        <v>2.7569371268001405E-2</v>
      </c>
      <c r="S83" s="383">
        <v>2.2730066736916057E-3</v>
      </c>
      <c r="T83" s="355">
        <v>215</v>
      </c>
      <c r="U83" s="312">
        <v>0</v>
      </c>
      <c r="V83" s="332"/>
    </row>
    <row r="84" spans="2:22" x14ac:dyDescent="0.3">
      <c r="B84" s="376" t="s">
        <v>211</v>
      </c>
      <c r="C84" s="367" t="s">
        <v>375</v>
      </c>
      <c r="D84" s="314" t="s">
        <v>64</v>
      </c>
      <c r="E84" s="314" t="s">
        <v>67</v>
      </c>
      <c r="F84" s="349">
        <v>5</v>
      </c>
      <c r="G84" s="315">
        <v>5</v>
      </c>
      <c r="H84" s="383">
        <v>60.03</v>
      </c>
      <c r="I84" s="383">
        <v>60.03</v>
      </c>
      <c r="J84" s="383" t="s">
        <v>145</v>
      </c>
      <c r="K84" s="383" t="s">
        <v>145</v>
      </c>
      <c r="L84" s="383">
        <v>61.255102040816332</v>
      </c>
      <c r="M84" s="383">
        <v>61.255102040816332</v>
      </c>
      <c r="N84" s="383">
        <v>10.209183673469388</v>
      </c>
      <c r="O84" s="383">
        <v>10.209183673469388</v>
      </c>
      <c r="P84" s="383">
        <v>0.83911098686049757</v>
      </c>
      <c r="Q84" s="383">
        <v>0.83911098686049768</v>
      </c>
      <c r="R84" s="383">
        <v>0.21085353003161222</v>
      </c>
      <c r="S84" s="383">
        <v>0.16341148577449949</v>
      </c>
      <c r="T84" s="355">
        <v>1</v>
      </c>
      <c r="U84" s="312">
        <v>0</v>
      </c>
      <c r="V84" s="332"/>
    </row>
    <row r="85" spans="2:22" x14ac:dyDescent="0.3">
      <c r="B85" s="376"/>
      <c r="C85" s="367" t="s">
        <v>374</v>
      </c>
      <c r="D85" s="314" t="s">
        <v>68</v>
      </c>
      <c r="E85" s="314" t="s">
        <v>67</v>
      </c>
      <c r="F85" s="352">
        <v>167</v>
      </c>
      <c r="G85" s="309">
        <v>167</v>
      </c>
      <c r="H85" s="383">
        <v>1.7000000000000001E-2</v>
      </c>
      <c r="I85" s="383">
        <v>8.0000000000000002E-3</v>
      </c>
      <c r="J85" s="383" t="s">
        <v>145</v>
      </c>
      <c r="K85" s="383" t="s">
        <v>145</v>
      </c>
      <c r="L85" s="383">
        <v>1.7346938775510207E-2</v>
      </c>
      <c r="M85" s="383">
        <v>8.1632653061224497E-3</v>
      </c>
      <c r="N85" s="383">
        <v>1.272108843537415E-2</v>
      </c>
      <c r="O85" s="383">
        <v>5.9863945578231296E-3</v>
      </c>
      <c r="P85" s="383">
        <v>7.9368185630416567E-3</v>
      </c>
      <c r="Q85" s="383">
        <v>3.7349734414313675E-3</v>
      </c>
      <c r="R85" s="383">
        <v>1.9943800491745703E-3</v>
      </c>
      <c r="S85" s="383">
        <v>7.2736213558131371E-4</v>
      </c>
      <c r="T85" s="355">
        <v>39</v>
      </c>
      <c r="U85" s="312"/>
      <c r="V85" s="332"/>
    </row>
    <row r="86" spans="2:22" x14ac:dyDescent="0.3">
      <c r="B86" s="376" t="s">
        <v>212</v>
      </c>
      <c r="C86" s="367" t="s">
        <v>376</v>
      </c>
      <c r="D86" s="314" t="s">
        <v>64</v>
      </c>
      <c r="E86" s="314" t="s">
        <v>67</v>
      </c>
      <c r="F86" s="348">
        <v>167</v>
      </c>
      <c r="G86" s="159">
        <v>167</v>
      </c>
      <c r="H86" s="383">
        <v>0.27700000000000002</v>
      </c>
      <c r="I86" s="383">
        <v>6.0000000000000001E-3</v>
      </c>
      <c r="J86" s="383" t="s">
        <v>145</v>
      </c>
      <c r="K86" s="383" t="s">
        <v>145</v>
      </c>
      <c r="L86" s="383">
        <v>0.28265306122448985</v>
      </c>
      <c r="M86" s="383">
        <v>6.1224489795918382E-3</v>
      </c>
      <c r="N86" s="383">
        <v>0.20727891156462586</v>
      </c>
      <c r="O86" s="383">
        <v>4.489795918367347E-3</v>
      </c>
      <c r="P86" s="383">
        <v>0.12932345540956108</v>
      </c>
      <c r="Q86" s="383">
        <v>2.8012300810735255E-3</v>
      </c>
      <c r="R86" s="383">
        <v>3.2496663154197407E-2</v>
      </c>
      <c r="S86" s="383">
        <v>5.4552160168598531E-4</v>
      </c>
      <c r="T86" s="355">
        <v>222</v>
      </c>
      <c r="U86" s="312">
        <v>0</v>
      </c>
      <c r="V86" s="332"/>
    </row>
    <row r="87" spans="2:22" x14ac:dyDescent="0.3">
      <c r="B87" s="376" t="s">
        <v>213</v>
      </c>
      <c r="C87" s="367" t="s">
        <v>377</v>
      </c>
      <c r="D87" s="314" t="s">
        <v>64</v>
      </c>
      <c r="E87" s="314" t="s">
        <v>67</v>
      </c>
      <c r="F87" s="349">
        <v>14</v>
      </c>
      <c r="G87" s="315">
        <v>14</v>
      </c>
      <c r="H87" s="383">
        <v>1.2E-2</v>
      </c>
      <c r="I87" s="383">
        <v>8.0000000000000002E-3</v>
      </c>
      <c r="J87" s="383" t="s">
        <v>145</v>
      </c>
      <c r="K87" s="383" t="s">
        <v>145</v>
      </c>
      <c r="L87" s="383">
        <v>1.2244897959183676E-2</v>
      </c>
      <c r="M87" s="383">
        <v>8.1632653061224497E-3</v>
      </c>
      <c r="N87" s="383">
        <v>5.7142857142857143E-3</v>
      </c>
      <c r="O87" s="383">
        <v>3.80952380952381E-3</v>
      </c>
      <c r="P87" s="383">
        <v>4.6966731898238749E-4</v>
      </c>
      <c r="Q87" s="383">
        <v>3.1311154598825833E-4</v>
      </c>
      <c r="R87" s="383">
        <v>1.1801896733403582E-4</v>
      </c>
      <c r="S87" s="383">
        <v>6.0976466455918515E-5</v>
      </c>
      <c r="T87" s="355">
        <v>8</v>
      </c>
      <c r="U87" s="312">
        <v>0</v>
      </c>
      <c r="V87" s="332"/>
    </row>
    <row r="88" spans="2:22" x14ac:dyDescent="0.3">
      <c r="B88" s="376"/>
      <c r="C88" s="367" t="s">
        <v>376</v>
      </c>
      <c r="D88" s="314" t="s">
        <v>68</v>
      </c>
      <c r="E88" s="314" t="s">
        <v>67</v>
      </c>
      <c r="F88" s="352">
        <v>167</v>
      </c>
      <c r="G88" s="309">
        <v>167</v>
      </c>
      <c r="H88" s="383">
        <v>1.7000000000000001E-2</v>
      </c>
      <c r="I88" s="383">
        <v>8.0000000000000002E-3</v>
      </c>
      <c r="J88" s="383" t="s">
        <v>145</v>
      </c>
      <c r="K88" s="383" t="s">
        <v>145</v>
      </c>
      <c r="L88" s="383">
        <v>1.7346938775510207E-2</v>
      </c>
      <c r="M88" s="383">
        <v>8.1632653061224497E-3</v>
      </c>
      <c r="N88" s="383">
        <v>1.272108843537415E-2</v>
      </c>
      <c r="O88" s="383">
        <v>5.9863945578231296E-3</v>
      </c>
      <c r="P88" s="383">
        <v>7.9368185630416567E-3</v>
      </c>
      <c r="Q88" s="383">
        <v>3.7349734414313675E-3</v>
      </c>
      <c r="R88" s="383">
        <v>1.9943800491745703E-3</v>
      </c>
      <c r="S88" s="383">
        <v>7.2736213558131371E-4</v>
      </c>
      <c r="T88" s="355">
        <v>39</v>
      </c>
      <c r="U88" s="312">
        <v>0</v>
      </c>
      <c r="V88" s="332"/>
    </row>
    <row r="89" spans="2:22" x14ac:dyDescent="0.3">
      <c r="B89" s="376" t="s">
        <v>214</v>
      </c>
      <c r="C89" s="367" t="s">
        <v>378</v>
      </c>
      <c r="D89" s="314" t="s">
        <v>64</v>
      </c>
      <c r="E89" s="314" t="s">
        <v>67</v>
      </c>
      <c r="F89" s="348">
        <v>167</v>
      </c>
      <c r="G89" s="159">
        <v>167</v>
      </c>
      <c r="H89" s="383">
        <v>0.23400000000000001</v>
      </c>
      <c r="I89" s="383">
        <v>0.152</v>
      </c>
      <c r="J89" s="383" t="s">
        <v>145</v>
      </c>
      <c r="K89" s="383" t="s">
        <v>145</v>
      </c>
      <c r="L89" s="383">
        <v>0.23877551020408166</v>
      </c>
      <c r="M89" s="383">
        <v>0.15510204081632653</v>
      </c>
      <c r="N89" s="383">
        <v>0.17510204081632655</v>
      </c>
      <c r="O89" s="383">
        <v>0.11374149659863947</v>
      </c>
      <c r="P89" s="383">
        <v>0.1092479731618675</v>
      </c>
      <c r="Q89" s="383">
        <v>7.0964495387195972E-2</v>
      </c>
      <c r="R89" s="383">
        <v>2.745205479452055E-2</v>
      </c>
      <c r="S89" s="383">
        <v>1.3819880576044956E-2</v>
      </c>
      <c r="T89" s="355">
        <v>354</v>
      </c>
      <c r="U89" s="312">
        <v>0</v>
      </c>
      <c r="V89" s="332"/>
    </row>
    <row r="90" spans="2:22" ht="26.5" customHeight="1" x14ac:dyDescent="0.3">
      <c r="B90" s="376" t="s">
        <v>215</v>
      </c>
      <c r="C90" s="367" t="s">
        <v>379</v>
      </c>
      <c r="D90" s="314" t="s">
        <v>64</v>
      </c>
      <c r="E90" s="314" t="s">
        <v>67</v>
      </c>
      <c r="F90" s="349">
        <v>5</v>
      </c>
      <c r="G90" s="315">
        <v>5</v>
      </c>
      <c r="H90" s="383">
        <v>0.61899999999999999</v>
      </c>
      <c r="I90" s="383">
        <v>0.34100000000000003</v>
      </c>
      <c r="J90" s="383" t="s">
        <v>145</v>
      </c>
      <c r="K90" s="383" t="s">
        <v>145</v>
      </c>
      <c r="L90" s="383">
        <v>0.63163265306122451</v>
      </c>
      <c r="M90" s="383">
        <v>0.3479591836734694</v>
      </c>
      <c r="N90" s="383">
        <v>0.10527210884353742</v>
      </c>
      <c r="O90" s="383">
        <v>5.7993197278911564E-2</v>
      </c>
      <c r="P90" s="383">
        <v>8.6525020967291016E-3</v>
      </c>
      <c r="Q90" s="383">
        <v>4.7665641599105397E-3</v>
      </c>
      <c r="R90" s="383">
        <v>2.1742184755883386E-3</v>
      </c>
      <c r="S90" s="383">
        <v>9.2825781524411661E-4</v>
      </c>
      <c r="T90" s="355">
        <v>2</v>
      </c>
      <c r="U90" s="312">
        <v>0</v>
      </c>
      <c r="V90" s="332"/>
    </row>
    <row r="91" spans="2:22" ht="26.5" customHeight="1" x14ac:dyDescent="0.3">
      <c r="B91" s="376" t="s">
        <v>216</v>
      </c>
      <c r="C91" s="367" t="s">
        <v>380</v>
      </c>
      <c r="D91" s="314" t="s">
        <v>64</v>
      </c>
      <c r="E91" s="314" t="s">
        <v>67</v>
      </c>
      <c r="F91" s="349">
        <v>14</v>
      </c>
      <c r="G91" s="315">
        <v>14</v>
      </c>
      <c r="H91" s="383">
        <v>4.9189999999999996</v>
      </c>
      <c r="I91" s="383">
        <v>2.9000000000000001E-2</v>
      </c>
      <c r="J91" s="383" t="s">
        <v>145</v>
      </c>
      <c r="K91" s="383" t="s">
        <v>145</v>
      </c>
      <c r="L91" s="383">
        <v>5.0193877551020405</v>
      </c>
      <c r="M91" s="383">
        <v>2.9591836734693878E-2</v>
      </c>
      <c r="N91" s="383">
        <v>2.3423809523809518</v>
      </c>
      <c r="O91" s="383">
        <v>1.3809523809523811E-2</v>
      </c>
      <c r="P91" s="383">
        <v>0.19252446183953029</v>
      </c>
      <c r="Q91" s="383">
        <v>1.1350293542074365E-3</v>
      </c>
      <c r="R91" s="383">
        <v>4.8377941693010178E-2</v>
      </c>
      <c r="S91" s="383">
        <v>2.2103969090270462E-4</v>
      </c>
      <c r="T91" s="355">
        <v>33</v>
      </c>
      <c r="U91" s="312">
        <v>0</v>
      </c>
      <c r="V91" s="332"/>
    </row>
    <row r="92" spans="2:22" ht="26.5" customHeight="1" x14ac:dyDescent="0.3">
      <c r="B92" s="376"/>
      <c r="C92" s="367" t="s">
        <v>378</v>
      </c>
      <c r="D92" s="314" t="s">
        <v>68</v>
      </c>
      <c r="E92" s="314" t="s">
        <v>67</v>
      </c>
      <c r="F92" s="352">
        <v>167</v>
      </c>
      <c r="G92" s="309">
        <v>167</v>
      </c>
      <c r="H92" s="383">
        <v>1.7000000000000001E-2</v>
      </c>
      <c r="I92" s="383">
        <v>8.0000000000000002E-3</v>
      </c>
      <c r="J92" s="383" t="s">
        <v>145</v>
      </c>
      <c r="K92" s="383" t="s">
        <v>145</v>
      </c>
      <c r="L92" s="383">
        <v>1.7346938775510207E-2</v>
      </c>
      <c r="M92" s="383">
        <v>8.1632653061224497E-3</v>
      </c>
      <c r="N92" s="383">
        <v>1.272108843537415E-2</v>
      </c>
      <c r="O92" s="383">
        <v>5.9863945578231296E-3</v>
      </c>
      <c r="P92" s="383">
        <v>7.9368185630416567E-3</v>
      </c>
      <c r="Q92" s="383">
        <v>3.7349734414313675E-3</v>
      </c>
      <c r="R92" s="383">
        <v>1.9943800491745703E-3</v>
      </c>
      <c r="S92" s="383">
        <v>7.2736213558131371E-4</v>
      </c>
      <c r="T92" s="355">
        <v>39</v>
      </c>
      <c r="U92" s="312">
        <v>0</v>
      </c>
      <c r="V92" s="332"/>
    </row>
    <row r="93" spans="2:22" x14ac:dyDescent="0.3">
      <c r="B93" s="376" t="s">
        <v>217</v>
      </c>
      <c r="C93" s="367" t="s">
        <v>381</v>
      </c>
      <c r="D93" s="314" t="s">
        <v>64</v>
      </c>
      <c r="E93" s="314" t="s">
        <v>67</v>
      </c>
      <c r="F93" s="348">
        <v>167</v>
      </c>
      <c r="G93" s="159">
        <v>167</v>
      </c>
      <c r="H93" s="383">
        <v>0.2</v>
      </c>
      <c r="I93" s="383">
        <v>0.02</v>
      </c>
      <c r="J93" s="383" t="s">
        <v>145</v>
      </c>
      <c r="K93" s="383" t="s">
        <v>145</v>
      </c>
      <c r="L93" s="383">
        <v>0.20408163265306126</v>
      </c>
      <c r="M93" s="383">
        <v>2.0408163265306124E-2</v>
      </c>
      <c r="N93" s="383">
        <v>0.14965986394557826</v>
      </c>
      <c r="O93" s="383">
        <v>1.4965986394557821E-2</v>
      </c>
      <c r="P93" s="383">
        <v>9.3374336035784197E-2</v>
      </c>
      <c r="Q93" s="383">
        <v>9.337433603578419E-3</v>
      </c>
      <c r="R93" s="383">
        <v>2.3463294696171415E-2</v>
      </c>
      <c r="S93" s="383">
        <v>1.8184053389532842E-3</v>
      </c>
      <c r="T93" s="355">
        <v>1952</v>
      </c>
      <c r="U93" s="312">
        <v>0</v>
      </c>
      <c r="V93" s="332"/>
    </row>
    <row r="94" spans="2:22" x14ac:dyDescent="0.3">
      <c r="B94" s="376" t="s">
        <v>218</v>
      </c>
      <c r="C94" s="367" t="s">
        <v>382</v>
      </c>
      <c r="D94" s="314" t="s">
        <v>64</v>
      </c>
      <c r="E94" s="314" t="s">
        <v>67</v>
      </c>
      <c r="F94" s="349">
        <v>5</v>
      </c>
      <c r="G94" s="315">
        <v>5</v>
      </c>
      <c r="H94" s="383">
        <v>0.13400000000000001</v>
      </c>
      <c r="I94" s="383">
        <v>3.2000000000000001E-2</v>
      </c>
      <c r="J94" s="383" t="s">
        <v>145</v>
      </c>
      <c r="K94" s="383" t="s">
        <v>145</v>
      </c>
      <c r="L94" s="383">
        <v>0.13673469387755102</v>
      </c>
      <c r="M94" s="383">
        <v>3.2653061224489799E-2</v>
      </c>
      <c r="N94" s="383">
        <v>2.2789115646258507E-2</v>
      </c>
      <c r="O94" s="383">
        <v>5.4421768707482989E-3</v>
      </c>
      <c r="P94" s="383">
        <v>1.873077998322617E-3</v>
      </c>
      <c r="Q94" s="383">
        <v>4.4730220855465473E-4</v>
      </c>
      <c r="R94" s="383">
        <v>4.706708816297858E-4</v>
      </c>
      <c r="S94" s="383">
        <v>8.7109237794169293E-5</v>
      </c>
      <c r="T94" s="355">
        <v>38</v>
      </c>
      <c r="U94" s="312">
        <v>0</v>
      </c>
      <c r="V94" s="332"/>
    </row>
    <row r="95" spans="2:22" x14ac:dyDescent="0.3">
      <c r="B95" s="376" t="s">
        <v>219</v>
      </c>
      <c r="C95" s="367" t="s">
        <v>383</v>
      </c>
      <c r="D95" s="314" t="s">
        <v>64</v>
      </c>
      <c r="E95" s="314" t="s">
        <v>67</v>
      </c>
      <c r="F95" s="349">
        <v>14</v>
      </c>
      <c r="G95" s="315">
        <v>14</v>
      </c>
      <c r="H95" s="383">
        <v>0.06</v>
      </c>
      <c r="I95" s="383">
        <v>2.8000000000000001E-2</v>
      </c>
      <c r="J95" s="383" t="s">
        <v>145</v>
      </c>
      <c r="K95" s="383" t="s">
        <v>145</v>
      </c>
      <c r="L95" s="383">
        <v>6.1224489795918366E-2</v>
      </c>
      <c r="M95" s="383">
        <v>2.8571428571428574E-2</v>
      </c>
      <c r="N95" s="383">
        <v>2.8571428571428574E-2</v>
      </c>
      <c r="O95" s="383">
        <v>1.3333333333333336E-2</v>
      </c>
      <c r="P95" s="383">
        <v>2.3483365949119373E-3</v>
      </c>
      <c r="Q95" s="383">
        <v>1.0958904109589042E-3</v>
      </c>
      <c r="R95" s="383">
        <v>5.9009483667017909E-4</v>
      </c>
      <c r="S95" s="383">
        <v>2.134176325957148E-4</v>
      </c>
      <c r="T95" s="355">
        <v>1633</v>
      </c>
      <c r="U95" s="312">
        <v>0</v>
      </c>
      <c r="V95" s="332"/>
    </row>
    <row r="96" spans="2:22" x14ac:dyDescent="0.3">
      <c r="B96" s="376"/>
      <c r="C96" s="367" t="s">
        <v>381</v>
      </c>
      <c r="D96" s="314" t="s">
        <v>68</v>
      </c>
      <c r="E96" s="314" t="s">
        <v>67</v>
      </c>
      <c r="F96" s="352">
        <v>167</v>
      </c>
      <c r="G96" s="309">
        <v>167</v>
      </c>
      <c r="H96" s="383">
        <v>1.7000000000000001E-2</v>
      </c>
      <c r="I96" s="383">
        <v>8.0000000000000002E-3</v>
      </c>
      <c r="J96" s="383" t="s">
        <v>145</v>
      </c>
      <c r="K96" s="383" t="s">
        <v>145</v>
      </c>
      <c r="L96" s="383">
        <v>1.7346938775510207E-2</v>
      </c>
      <c r="M96" s="383">
        <v>8.1632653061224497E-3</v>
      </c>
      <c r="N96" s="383">
        <v>1.272108843537415E-2</v>
      </c>
      <c r="O96" s="383">
        <v>5.9863945578231296E-3</v>
      </c>
      <c r="P96" s="383">
        <v>7.9368185630416567E-3</v>
      </c>
      <c r="Q96" s="383">
        <v>3.7349734414313675E-3</v>
      </c>
      <c r="R96" s="383">
        <v>1.9943800491745703E-3</v>
      </c>
      <c r="S96" s="383">
        <v>7.2736213558131371E-4</v>
      </c>
      <c r="T96" s="317">
        <v>39</v>
      </c>
      <c r="U96" s="318">
        <v>0</v>
      </c>
      <c r="V96" s="332"/>
    </row>
    <row r="97" spans="2:22" x14ac:dyDescent="0.3">
      <c r="B97" s="376" t="s">
        <v>220</v>
      </c>
      <c r="C97" s="367" t="s">
        <v>384</v>
      </c>
      <c r="D97" s="314" t="s">
        <v>64</v>
      </c>
      <c r="E97" s="314" t="s">
        <v>67</v>
      </c>
      <c r="F97" s="348">
        <v>167</v>
      </c>
      <c r="G97" s="159">
        <v>167</v>
      </c>
      <c r="H97" s="383">
        <v>0.36399999999999999</v>
      </c>
      <c r="I97" s="383">
        <v>3.7999999999999999E-2</v>
      </c>
      <c r="J97" s="383" t="s">
        <v>145</v>
      </c>
      <c r="K97" s="383" t="s">
        <v>145</v>
      </c>
      <c r="L97" s="383">
        <v>0.3714285714285715</v>
      </c>
      <c r="M97" s="383">
        <v>3.8775510204081633E-2</v>
      </c>
      <c r="N97" s="383">
        <v>0.27238095238095239</v>
      </c>
      <c r="O97" s="383">
        <v>2.8435374149659867E-2</v>
      </c>
      <c r="P97" s="383">
        <v>0.16994129158512719</v>
      </c>
      <c r="Q97" s="383">
        <v>1.7741123846798993E-2</v>
      </c>
      <c r="R97" s="383">
        <v>4.2703196347031964E-2</v>
      </c>
      <c r="S97" s="383">
        <v>3.454970144011239E-3</v>
      </c>
      <c r="T97" s="317">
        <v>21</v>
      </c>
      <c r="U97" s="318">
        <v>0</v>
      </c>
      <c r="V97" s="332"/>
    </row>
    <row r="98" spans="2:22" ht="13.5" thickBot="1" x14ac:dyDescent="0.35">
      <c r="B98" s="377"/>
      <c r="C98" s="368" t="s">
        <v>384</v>
      </c>
      <c r="D98" s="351" t="s">
        <v>68</v>
      </c>
      <c r="E98" s="351" t="s">
        <v>67</v>
      </c>
      <c r="F98" s="350">
        <v>167</v>
      </c>
      <c r="G98" s="322">
        <v>167</v>
      </c>
      <c r="H98" s="385">
        <v>1.7000000000000001E-2</v>
      </c>
      <c r="I98" s="385">
        <v>8.0000000000000002E-3</v>
      </c>
      <c r="J98" s="385" t="s">
        <v>145</v>
      </c>
      <c r="K98" s="385" t="s">
        <v>145</v>
      </c>
      <c r="L98" s="385">
        <v>1.7346938775510207E-2</v>
      </c>
      <c r="M98" s="385">
        <v>8.1632653061224497E-3</v>
      </c>
      <c r="N98" s="385">
        <v>1.272108843537415E-2</v>
      </c>
      <c r="O98" s="385">
        <v>5.9863945578231296E-3</v>
      </c>
      <c r="P98" s="385">
        <v>7.9368185630416567E-3</v>
      </c>
      <c r="Q98" s="385">
        <v>3.7349734414313675E-3</v>
      </c>
      <c r="R98" s="385">
        <v>1.9943800491745703E-3</v>
      </c>
      <c r="S98" s="385">
        <v>7.2736213558131371E-4</v>
      </c>
      <c r="T98" s="336">
        <v>39</v>
      </c>
      <c r="U98" s="324">
        <v>0</v>
      </c>
      <c r="V98" s="344"/>
    </row>
    <row r="99" spans="2:22" x14ac:dyDescent="0.3">
      <c r="B99" s="376" t="s">
        <v>222</v>
      </c>
      <c r="C99" s="367" t="s">
        <v>385</v>
      </c>
      <c r="D99" s="347" t="s">
        <v>64</v>
      </c>
      <c r="E99" s="334" t="s">
        <v>65</v>
      </c>
      <c r="F99" s="309">
        <v>250</v>
      </c>
      <c r="G99" s="310">
        <v>250</v>
      </c>
      <c r="H99" s="384">
        <v>0.44900000000000001</v>
      </c>
      <c r="I99" s="384">
        <v>2.5000000000000001E-2</v>
      </c>
      <c r="J99" s="384" t="s">
        <v>145</v>
      </c>
      <c r="K99" s="384" t="s">
        <v>145</v>
      </c>
      <c r="L99" s="384">
        <v>0.30544217687074832</v>
      </c>
      <c r="M99" s="384">
        <v>1.7006802721088437E-2</v>
      </c>
      <c r="N99" s="383">
        <v>0.22399092970521542</v>
      </c>
      <c r="O99" s="383">
        <v>1.2471655328798186E-2</v>
      </c>
      <c r="P99" s="384">
        <v>0.21757524927779331</v>
      </c>
      <c r="Q99" s="384">
        <v>1.2114434815021899E-2</v>
      </c>
      <c r="R99" s="384">
        <v>5.4672754946727554E-2</v>
      </c>
      <c r="S99" s="384">
        <v>2.3592085235920853E-3</v>
      </c>
      <c r="T99" s="355">
        <v>455</v>
      </c>
      <c r="U99" s="312">
        <v>0</v>
      </c>
      <c r="V99" s="313" t="s">
        <v>351</v>
      </c>
    </row>
    <row r="100" spans="2:22" x14ac:dyDescent="0.3">
      <c r="B100" s="376" t="s">
        <v>226</v>
      </c>
      <c r="C100" s="367" t="s">
        <v>386</v>
      </c>
      <c r="D100" s="314" t="s">
        <v>64</v>
      </c>
      <c r="E100" s="314" t="s">
        <v>65</v>
      </c>
      <c r="F100" s="315">
        <v>5</v>
      </c>
      <c r="G100" s="346">
        <v>5</v>
      </c>
      <c r="H100" s="383">
        <v>0.78400000000000003</v>
      </c>
      <c r="I100" s="383">
        <v>0.37</v>
      </c>
      <c r="J100" s="383" t="s">
        <v>145</v>
      </c>
      <c r="K100" s="383" t="s">
        <v>145</v>
      </c>
      <c r="L100" s="383">
        <v>0.53333333333333344</v>
      </c>
      <c r="M100" s="383">
        <v>0.25170068027210885</v>
      </c>
      <c r="N100" s="383">
        <v>8.8888888888888892E-2</v>
      </c>
      <c r="O100" s="383">
        <v>4.195011337868481E-2</v>
      </c>
      <c r="P100" s="383">
        <v>7.3059360730593614E-3</v>
      </c>
      <c r="Q100" s="383">
        <v>3.4479545242754638E-3</v>
      </c>
      <c r="R100" s="383">
        <v>1.8358506029738909E-3</v>
      </c>
      <c r="S100" s="383">
        <v>6.7146704133005507E-4</v>
      </c>
      <c r="T100" s="355">
        <v>3</v>
      </c>
      <c r="U100" s="312">
        <v>0</v>
      </c>
      <c r="V100" s="332"/>
    </row>
    <row r="101" spans="2:22" x14ac:dyDescent="0.3">
      <c r="B101" s="376" t="s">
        <v>241</v>
      </c>
      <c r="C101" s="367" t="s">
        <v>385</v>
      </c>
      <c r="D101" s="314" t="s">
        <v>68</v>
      </c>
      <c r="E101" s="314" t="s">
        <v>65</v>
      </c>
      <c r="F101" s="309">
        <v>250</v>
      </c>
      <c r="G101" s="159">
        <v>250</v>
      </c>
      <c r="H101" s="383">
        <v>1.7000000000000001E-2</v>
      </c>
      <c r="I101" s="383">
        <v>8.0000000000000002E-3</v>
      </c>
      <c r="J101" s="383" t="s">
        <v>145</v>
      </c>
      <c r="K101" s="383" t="s">
        <v>145</v>
      </c>
      <c r="L101" s="383">
        <v>1.1564625850340137E-2</v>
      </c>
      <c r="M101" s="383">
        <v>5.4421768707482989E-3</v>
      </c>
      <c r="N101" s="383">
        <v>8.4807256235827667E-3</v>
      </c>
      <c r="O101" s="383">
        <v>3.9909297052154197E-3</v>
      </c>
      <c r="P101" s="383">
        <v>8.2378156742148913E-3</v>
      </c>
      <c r="Q101" s="383">
        <v>3.876619140807008E-3</v>
      </c>
      <c r="R101" s="383">
        <v>2.0700152207001523E-3</v>
      </c>
      <c r="S101" s="383">
        <v>7.5494672754946733E-4</v>
      </c>
      <c r="T101" s="355">
        <v>39</v>
      </c>
      <c r="U101" s="312">
        <v>0</v>
      </c>
      <c r="V101" s="332"/>
    </row>
    <row r="102" spans="2:22" x14ac:dyDescent="0.3">
      <c r="B102" s="376" t="s">
        <v>227</v>
      </c>
      <c r="C102" s="367" t="s">
        <v>387</v>
      </c>
      <c r="D102" s="314" t="s">
        <v>64</v>
      </c>
      <c r="E102" s="314" t="s">
        <v>65</v>
      </c>
      <c r="F102" s="159">
        <v>250</v>
      </c>
      <c r="G102" s="159">
        <v>250</v>
      </c>
      <c r="H102" s="383">
        <v>0.16</v>
      </c>
      <c r="I102" s="383">
        <v>0.02</v>
      </c>
      <c r="J102" s="383" t="s">
        <v>145</v>
      </c>
      <c r="K102" s="383" t="s">
        <v>145</v>
      </c>
      <c r="L102" s="383">
        <v>0.108843537414966</v>
      </c>
      <c r="M102" s="383">
        <v>1.360544217687075E-2</v>
      </c>
      <c r="N102" s="383">
        <v>7.9818594104308388E-2</v>
      </c>
      <c r="O102" s="383">
        <v>9.9773242630385485E-3</v>
      </c>
      <c r="P102" s="383">
        <v>7.7532382816140152E-2</v>
      </c>
      <c r="Q102" s="383">
        <v>9.6915478520175208E-3</v>
      </c>
      <c r="R102" s="383">
        <v>1.9482496194824964E-2</v>
      </c>
      <c r="S102" s="383">
        <v>1.8873668188736684E-3</v>
      </c>
      <c r="T102" s="355">
        <v>313</v>
      </c>
      <c r="U102" s="312">
        <v>0</v>
      </c>
      <c r="V102" s="332"/>
    </row>
    <row r="103" spans="2:22" x14ac:dyDescent="0.3">
      <c r="B103" s="376" t="s">
        <v>228</v>
      </c>
      <c r="C103" s="367" t="s">
        <v>388</v>
      </c>
      <c r="D103" s="314" t="s">
        <v>64</v>
      </c>
      <c r="E103" s="314" t="s">
        <v>65</v>
      </c>
      <c r="F103" s="315">
        <v>5</v>
      </c>
      <c r="G103" s="315">
        <v>5</v>
      </c>
      <c r="H103" s="383">
        <v>0.25</v>
      </c>
      <c r="I103" s="383">
        <v>0.13</v>
      </c>
      <c r="J103" s="383" t="s">
        <v>145</v>
      </c>
      <c r="K103" s="383" t="s">
        <v>145</v>
      </c>
      <c r="L103" s="383">
        <v>6.1224489795918366E-2</v>
      </c>
      <c r="M103" s="383">
        <v>3.0612244897959183E-2</v>
      </c>
      <c r="N103" s="383">
        <v>1.020408163265306E-2</v>
      </c>
      <c r="O103" s="383">
        <v>5.1020408163265302E-3</v>
      </c>
      <c r="P103" s="383">
        <v>2.3296990028888265E-3</v>
      </c>
      <c r="Q103" s="383">
        <v>1.2114434815021901E-3</v>
      </c>
      <c r="R103" s="383">
        <v>5.8541154431565395E-4</v>
      </c>
      <c r="S103" s="383">
        <v>2.3592085235920855E-4</v>
      </c>
      <c r="T103" s="355">
        <v>5</v>
      </c>
      <c r="U103" s="312">
        <v>0</v>
      </c>
      <c r="V103" s="332"/>
    </row>
    <row r="104" spans="2:22" x14ac:dyDescent="0.3">
      <c r="B104" s="376" t="s">
        <v>229</v>
      </c>
      <c r="C104" s="367" t="s">
        <v>45</v>
      </c>
      <c r="D104" s="314" t="s">
        <v>64</v>
      </c>
      <c r="E104" s="314" t="s">
        <v>65</v>
      </c>
      <c r="F104" s="315">
        <v>14</v>
      </c>
      <c r="G104" s="315">
        <v>14</v>
      </c>
      <c r="H104" s="383">
        <v>0.13900000000000001</v>
      </c>
      <c r="I104" s="383">
        <v>1.7000000000000001E-2</v>
      </c>
      <c r="J104" s="383" t="s">
        <v>145</v>
      </c>
      <c r="K104" s="383" t="s">
        <v>145</v>
      </c>
      <c r="L104" s="383">
        <v>9.4557823129251706E-2</v>
      </c>
      <c r="M104" s="383">
        <v>1.1564625850340137E-2</v>
      </c>
      <c r="N104" s="383">
        <v>4.4126984126984133E-2</v>
      </c>
      <c r="O104" s="383">
        <v>5.3968253968253973E-3</v>
      </c>
      <c r="P104" s="383">
        <v>3.6268754076973259E-3</v>
      </c>
      <c r="Q104" s="383">
        <v>4.4357469015003263E-4</v>
      </c>
      <c r="R104" s="383">
        <v>9.1136869219061003E-4</v>
      </c>
      <c r="S104" s="383">
        <v>8.6383327479217886E-5</v>
      </c>
      <c r="T104" s="355">
        <v>4</v>
      </c>
      <c r="U104" s="312">
        <v>0</v>
      </c>
      <c r="V104" s="332"/>
    </row>
    <row r="105" spans="2:22" x14ac:dyDescent="0.3">
      <c r="B105" s="376"/>
      <c r="C105" s="367" t="s">
        <v>387</v>
      </c>
      <c r="D105" s="314" t="s">
        <v>68</v>
      </c>
      <c r="E105" s="314" t="s">
        <v>65</v>
      </c>
      <c r="F105" s="309">
        <v>250</v>
      </c>
      <c r="G105" s="159">
        <v>250</v>
      </c>
      <c r="H105" s="383">
        <v>1.7000000000000001E-2</v>
      </c>
      <c r="I105" s="383">
        <v>8.0000000000000002E-3</v>
      </c>
      <c r="J105" s="383" t="s">
        <v>145</v>
      </c>
      <c r="K105" s="383" t="s">
        <v>145</v>
      </c>
      <c r="L105" s="383">
        <v>1.1564625850340137E-2</v>
      </c>
      <c r="M105" s="383">
        <v>5.4421768707482989E-3</v>
      </c>
      <c r="N105" s="383">
        <v>8.4807256235827667E-3</v>
      </c>
      <c r="O105" s="383">
        <v>3.9909297052154197E-3</v>
      </c>
      <c r="P105" s="383">
        <v>8.2378156742148913E-3</v>
      </c>
      <c r="Q105" s="383">
        <v>3.876619140807008E-3</v>
      </c>
      <c r="R105" s="383">
        <v>2.0700152207001523E-3</v>
      </c>
      <c r="S105" s="383">
        <v>7.5494672754946733E-4</v>
      </c>
      <c r="T105" s="355">
        <v>39</v>
      </c>
      <c r="U105" s="312">
        <v>0</v>
      </c>
      <c r="V105" s="332"/>
    </row>
    <row r="106" spans="2:22" x14ac:dyDescent="0.3">
      <c r="B106" s="376" t="s">
        <v>230</v>
      </c>
      <c r="C106" s="367" t="s">
        <v>389</v>
      </c>
      <c r="D106" s="314" t="s">
        <v>64</v>
      </c>
      <c r="E106" s="314" t="s">
        <v>65</v>
      </c>
      <c r="F106" s="159">
        <v>250</v>
      </c>
      <c r="G106" s="159">
        <v>250</v>
      </c>
      <c r="H106" s="383">
        <v>0.23499999999999999</v>
      </c>
      <c r="I106" s="383">
        <v>2.5000000000000001E-2</v>
      </c>
      <c r="J106" s="383" t="s">
        <v>145</v>
      </c>
      <c r="K106" s="383" t="s">
        <v>145</v>
      </c>
      <c r="L106" s="383">
        <v>0.15986394557823128</v>
      </c>
      <c r="M106" s="383">
        <v>1.7006802721088437E-2</v>
      </c>
      <c r="N106" s="383">
        <v>0.11723356009070295</v>
      </c>
      <c r="O106" s="383">
        <v>1.2471655328798186E-2</v>
      </c>
      <c r="P106" s="383">
        <v>0.11387568726120585</v>
      </c>
      <c r="Q106" s="383">
        <v>1.2114434815021899E-2</v>
      </c>
      <c r="R106" s="383">
        <v>2.8614916286149164E-2</v>
      </c>
      <c r="S106" s="383">
        <v>2.3592085235920853E-3</v>
      </c>
      <c r="T106" s="355">
        <v>215</v>
      </c>
      <c r="U106" s="312">
        <v>0</v>
      </c>
      <c r="V106" s="332"/>
    </row>
    <row r="107" spans="2:22" x14ac:dyDescent="0.3">
      <c r="B107" s="376" t="s">
        <v>231</v>
      </c>
      <c r="C107" s="367" t="s">
        <v>390</v>
      </c>
      <c r="D107" s="314" t="s">
        <v>64</v>
      </c>
      <c r="E107" s="314" t="s">
        <v>65</v>
      </c>
      <c r="F107" s="315">
        <v>5</v>
      </c>
      <c r="G107" s="315">
        <v>5</v>
      </c>
      <c r="H107" s="383">
        <v>60.03</v>
      </c>
      <c r="I107" s="383">
        <v>60.03</v>
      </c>
      <c r="J107" s="383" t="s">
        <v>145</v>
      </c>
      <c r="K107" s="383" t="s">
        <v>145</v>
      </c>
      <c r="L107" s="383">
        <v>40.836734693877553</v>
      </c>
      <c r="M107" s="383">
        <v>40.836734693877553</v>
      </c>
      <c r="N107" s="383">
        <v>6.8061224489795915</v>
      </c>
      <c r="O107" s="383">
        <v>6.8061224489795915</v>
      </c>
      <c r="P107" s="383">
        <v>0.55940732457366504</v>
      </c>
      <c r="Q107" s="383">
        <v>0.55940732457366504</v>
      </c>
      <c r="R107" s="383">
        <v>0.14056902002107483</v>
      </c>
      <c r="S107" s="383">
        <v>0.10894099051633298</v>
      </c>
      <c r="T107" s="355">
        <v>1</v>
      </c>
      <c r="U107" s="312">
        <v>0</v>
      </c>
      <c r="V107" s="332"/>
    </row>
    <row r="108" spans="2:22" x14ac:dyDescent="0.3">
      <c r="B108" s="376"/>
      <c r="C108" s="367" t="s">
        <v>389</v>
      </c>
      <c r="D108" s="314" t="s">
        <v>68</v>
      </c>
      <c r="E108" s="314" t="s">
        <v>65</v>
      </c>
      <c r="F108" s="309">
        <v>250</v>
      </c>
      <c r="G108" s="159">
        <v>250</v>
      </c>
      <c r="H108" s="383">
        <v>1.7000000000000001E-2</v>
      </c>
      <c r="I108" s="383">
        <v>8.0000000000000002E-3</v>
      </c>
      <c r="J108" s="383" t="s">
        <v>145</v>
      </c>
      <c r="K108" s="383" t="s">
        <v>145</v>
      </c>
      <c r="L108" s="383">
        <v>1.1564625850340137E-2</v>
      </c>
      <c r="M108" s="383">
        <v>5.4421768707482989E-3</v>
      </c>
      <c r="N108" s="383">
        <v>8.4807256235827667E-3</v>
      </c>
      <c r="O108" s="383">
        <v>3.9909297052154197E-3</v>
      </c>
      <c r="P108" s="383">
        <v>8.2378156742148913E-3</v>
      </c>
      <c r="Q108" s="383">
        <v>3.876619140807008E-3</v>
      </c>
      <c r="R108" s="383">
        <v>2.0700152207001523E-3</v>
      </c>
      <c r="S108" s="383">
        <v>7.5494672754946733E-4</v>
      </c>
      <c r="T108" s="355">
        <v>39</v>
      </c>
      <c r="U108" s="312"/>
      <c r="V108" s="332"/>
    </row>
    <row r="109" spans="2:22" x14ac:dyDescent="0.3">
      <c r="B109" s="376" t="s">
        <v>232</v>
      </c>
      <c r="C109" s="367" t="s">
        <v>391</v>
      </c>
      <c r="D109" s="314" t="s">
        <v>64</v>
      </c>
      <c r="E109" s="314" t="s">
        <v>65</v>
      </c>
      <c r="F109" s="159">
        <v>250</v>
      </c>
      <c r="G109" s="159">
        <v>250</v>
      </c>
      <c r="H109" s="383">
        <v>0.27700000000000002</v>
      </c>
      <c r="I109" s="383">
        <v>6.0000000000000001E-3</v>
      </c>
      <c r="J109" s="383" t="s">
        <v>145</v>
      </c>
      <c r="K109" s="383" t="s">
        <v>145</v>
      </c>
      <c r="L109" s="383">
        <v>0.18843537414965988</v>
      </c>
      <c r="M109" s="383">
        <v>4.0816326530612249E-3</v>
      </c>
      <c r="N109" s="383">
        <v>0.1381859410430839</v>
      </c>
      <c r="O109" s="383">
        <v>2.9931972789115648E-3</v>
      </c>
      <c r="P109" s="383">
        <v>0.13422793775044267</v>
      </c>
      <c r="Q109" s="383">
        <v>2.907464355605256E-3</v>
      </c>
      <c r="R109" s="383">
        <v>3.3729071537290718E-2</v>
      </c>
      <c r="S109" s="383">
        <v>5.6621004566210045E-4</v>
      </c>
      <c r="T109" s="355">
        <v>222</v>
      </c>
      <c r="U109" s="312">
        <v>0</v>
      </c>
      <c r="V109" s="332"/>
    </row>
    <row r="110" spans="2:22" x14ac:dyDescent="0.3">
      <c r="B110" s="376" t="s">
        <v>233</v>
      </c>
      <c r="C110" s="367" t="s">
        <v>392</v>
      </c>
      <c r="D110" s="314" t="s">
        <v>64</v>
      </c>
      <c r="E110" s="314" t="s">
        <v>65</v>
      </c>
      <c r="F110" s="315">
        <v>14</v>
      </c>
      <c r="G110" s="315">
        <v>14</v>
      </c>
      <c r="H110" s="383">
        <v>1.2E-2</v>
      </c>
      <c r="I110" s="383">
        <v>8.0000000000000002E-3</v>
      </c>
      <c r="J110" s="383" t="s">
        <v>145</v>
      </c>
      <c r="K110" s="383" t="s">
        <v>145</v>
      </c>
      <c r="L110" s="383">
        <v>8.1632653061224497E-3</v>
      </c>
      <c r="M110" s="383">
        <v>5.4421768707482989E-3</v>
      </c>
      <c r="N110" s="383">
        <v>3.80952380952381E-3</v>
      </c>
      <c r="O110" s="383">
        <v>2.5396825396825397E-3</v>
      </c>
      <c r="P110" s="383">
        <v>3.1311154598825838E-4</v>
      </c>
      <c r="Q110" s="383">
        <v>2.0874103065883888E-4</v>
      </c>
      <c r="R110" s="383">
        <v>7.8679311556023896E-5</v>
      </c>
      <c r="S110" s="383">
        <v>4.0650977637279005E-5</v>
      </c>
      <c r="T110" s="355">
        <v>8</v>
      </c>
      <c r="U110" s="312">
        <v>0</v>
      </c>
      <c r="V110" s="332"/>
    </row>
    <row r="111" spans="2:22" x14ac:dyDescent="0.3">
      <c r="B111" s="376"/>
      <c r="C111" s="367" t="s">
        <v>391</v>
      </c>
      <c r="D111" s="314" t="s">
        <v>68</v>
      </c>
      <c r="E111" s="314" t="s">
        <v>65</v>
      </c>
      <c r="F111" s="309">
        <v>250</v>
      </c>
      <c r="G111" s="159">
        <v>250</v>
      </c>
      <c r="H111" s="383">
        <v>1.7000000000000001E-2</v>
      </c>
      <c r="I111" s="383">
        <v>8.0000000000000002E-3</v>
      </c>
      <c r="J111" s="383" t="s">
        <v>145</v>
      </c>
      <c r="K111" s="383" t="s">
        <v>145</v>
      </c>
      <c r="L111" s="383">
        <v>1.1564625850340137E-2</v>
      </c>
      <c r="M111" s="383">
        <v>5.4421768707482989E-3</v>
      </c>
      <c r="N111" s="383">
        <v>8.4807256235827667E-3</v>
      </c>
      <c r="O111" s="383">
        <v>3.9909297052154197E-3</v>
      </c>
      <c r="P111" s="383">
        <v>8.2378156742148913E-3</v>
      </c>
      <c r="Q111" s="383">
        <v>3.876619140807008E-3</v>
      </c>
      <c r="R111" s="383">
        <v>2.0700152207001523E-3</v>
      </c>
      <c r="S111" s="383">
        <v>7.5494672754946733E-4</v>
      </c>
      <c r="T111" s="355">
        <v>39</v>
      </c>
      <c r="U111" s="312">
        <v>0</v>
      </c>
      <c r="V111" s="332"/>
    </row>
    <row r="112" spans="2:22" ht="27" customHeight="1" x14ac:dyDescent="0.3">
      <c r="B112" s="376" t="s">
        <v>234</v>
      </c>
      <c r="C112" s="367" t="s">
        <v>393</v>
      </c>
      <c r="D112" s="314" t="s">
        <v>64</v>
      </c>
      <c r="E112" s="314" t="s">
        <v>65</v>
      </c>
      <c r="F112" s="159">
        <v>250</v>
      </c>
      <c r="G112" s="159">
        <v>250</v>
      </c>
      <c r="H112" s="383">
        <v>0.23400000000000001</v>
      </c>
      <c r="I112" s="383">
        <v>0.152</v>
      </c>
      <c r="J112" s="383" t="s">
        <v>145</v>
      </c>
      <c r="K112" s="383" t="s">
        <v>145</v>
      </c>
      <c r="L112" s="383">
        <v>0.15918367346938775</v>
      </c>
      <c r="M112" s="383">
        <v>0.10340136054421768</v>
      </c>
      <c r="N112" s="383">
        <v>0.11673469387755103</v>
      </c>
      <c r="O112" s="383">
        <v>7.582766439909297E-2</v>
      </c>
      <c r="P112" s="383">
        <v>0.113391109868605</v>
      </c>
      <c r="Q112" s="383">
        <v>7.3655763675333136E-2</v>
      </c>
      <c r="R112" s="383">
        <v>2.8493150684931513E-2</v>
      </c>
      <c r="S112" s="383">
        <v>1.4343987823439878E-2</v>
      </c>
      <c r="T112" s="355">
        <v>354</v>
      </c>
      <c r="U112" s="312">
        <v>0</v>
      </c>
      <c r="V112" s="332"/>
    </row>
    <row r="113" spans="2:22" ht="27" customHeight="1" x14ac:dyDescent="0.3">
      <c r="B113" s="376" t="s">
        <v>235</v>
      </c>
      <c r="C113" s="367" t="s">
        <v>394</v>
      </c>
      <c r="D113" s="314" t="s">
        <v>64</v>
      </c>
      <c r="E113" s="314" t="s">
        <v>65</v>
      </c>
      <c r="F113" s="315">
        <v>5</v>
      </c>
      <c r="G113" s="315">
        <v>5</v>
      </c>
      <c r="H113" s="383">
        <v>0.61899999999999999</v>
      </c>
      <c r="I113" s="383">
        <v>0.34100000000000003</v>
      </c>
      <c r="J113" s="383" t="s">
        <v>145</v>
      </c>
      <c r="K113" s="383" t="s">
        <v>145</v>
      </c>
      <c r="L113" s="383">
        <v>0.42108843537414969</v>
      </c>
      <c r="M113" s="383">
        <v>0.23197278911564628</v>
      </c>
      <c r="N113" s="383">
        <v>7.0181405895691606E-2</v>
      </c>
      <c r="O113" s="383">
        <v>3.8662131519274376E-2</v>
      </c>
      <c r="P113" s="383">
        <v>5.7683347311527347E-3</v>
      </c>
      <c r="Q113" s="383">
        <v>3.1777094399403601E-3</v>
      </c>
      <c r="R113" s="383">
        <v>1.4494789837255588E-3</v>
      </c>
      <c r="S113" s="383">
        <v>6.1883854349607781E-4</v>
      </c>
      <c r="T113" s="355">
        <v>2</v>
      </c>
      <c r="U113" s="312">
        <v>0</v>
      </c>
      <c r="V113" s="332"/>
    </row>
    <row r="114" spans="2:22" ht="27" customHeight="1" x14ac:dyDescent="0.3">
      <c r="B114" s="376" t="s">
        <v>236</v>
      </c>
      <c r="C114" s="367" t="s">
        <v>395</v>
      </c>
      <c r="D114" s="314" t="s">
        <v>64</v>
      </c>
      <c r="E114" s="314" t="s">
        <v>65</v>
      </c>
      <c r="F114" s="315">
        <v>14</v>
      </c>
      <c r="G114" s="315">
        <v>14</v>
      </c>
      <c r="H114" s="383">
        <v>4.9189999999999996</v>
      </c>
      <c r="I114" s="383">
        <v>2.9000000000000001E-2</v>
      </c>
      <c r="J114" s="383" t="s">
        <v>145</v>
      </c>
      <c r="K114" s="383" t="s">
        <v>145</v>
      </c>
      <c r="L114" s="383">
        <v>3.3462585034013603</v>
      </c>
      <c r="M114" s="383">
        <v>1.9727891156462587E-2</v>
      </c>
      <c r="N114" s="383">
        <v>1.5615873015873016</v>
      </c>
      <c r="O114" s="383">
        <v>9.2063492063492076E-3</v>
      </c>
      <c r="P114" s="383">
        <v>0.12834964122635356</v>
      </c>
      <c r="Q114" s="383">
        <v>7.566862361382909E-4</v>
      </c>
      <c r="R114" s="383">
        <v>3.2251961128673456E-2</v>
      </c>
      <c r="S114" s="383">
        <v>1.4735979393513639E-4</v>
      </c>
      <c r="T114" s="355">
        <v>33</v>
      </c>
      <c r="U114" s="312">
        <v>0</v>
      </c>
      <c r="V114" s="332"/>
    </row>
    <row r="115" spans="2:22" x14ac:dyDescent="0.3">
      <c r="B115" s="376"/>
      <c r="C115" s="367" t="s">
        <v>393</v>
      </c>
      <c r="D115" s="314" t="s">
        <v>68</v>
      </c>
      <c r="E115" s="314" t="s">
        <v>65</v>
      </c>
      <c r="F115" s="309">
        <v>250</v>
      </c>
      <c r="G115" s="159">
        <v>250</v>
      </c>
      <c r="H115" s="383">
        <v>1.7000000000000001E-2</v>
      </c>
      <c r="I115" s="383">
        <v>8.0000000000000002E-3</v>
      </c>
      <c r="J115" s="383" t="s">
        <v>145</v>
      </c>
      <c r="K115" s="383" t="s">
        <v>145</v>
      </c>
      <c r="L115" s="383">
        <v>1.1564625850340137E-2</v>
      </c>
      <c r="M115" s="383">
        <v>5.4421768707482989E-3</v>
      </c>
      <c r="N115" s="383">
        <v>8.4807256235827667E-3</v>
      </c>
      <c r="O115" s="383">
        <v>3.9909297052154197E-3</v>
      </c>
      <c r="P115" s="383">
        <v>8.2378156742148913E-3</v>
      </c>
      <c r="Q115" s="383">
        <v>3.876619140807008E-3</v>
      </c>
      <c r="R115" s="383">
        <v>2.0700152207001523E-3</v>
      </c>
      <c r="S115" s="383">
        <v>7.5494672754946733E-4</v>
      </c>
      <c r="T115" s="355">
        <v>39</v>
      </c>
      <c r="U115" s="312">
        <v>0</v>
      </c>
      <c r="V115" s="332"/>
    </row>
    <row r="116" spans="2:22" x14ac:dyDescent="0.3">
      <c r="B116" s="376" t="s">
        <v>237</v>
      </c>
      <c r="C116" s="367" t="s">
        <v>396</v>
      </c>
      <c r="D116" s="314" t="s">
        <v>64</v>
      </c>
      <c r="E116" s="314" t="s">
        <v>65</v>
      </c>
      <c r="F116" s="159">
        <v>250</v>
      </c>
      <c r="G116" s="159">
        <v>250</v>
      </c>
      <c r="H116" s="383">
        <v>0.2</v>
      </c>
      <c r="I116" s="383">
        <v>0.02</v>
      </c>
      <c r="J116" s="383" t="s">
        <v>145</v>
      </c>
      <c r="K116" s="383" t="s">
        <v>145</v>
      </c>
      <c r="L116" s="383">
        <v>0.1360544217687075</v>
      </c>
      <c r="M116" s="383">
        <v>1.360544217687075E-2</v>
      </c>
      <c r="N116" s="383">
        <v>9.9773242630385492E-2</v>
      </c>
      <c r="O116" s="383">
        <v>9.9773242630385485E-3</v>
      </c>
      <c r="P116" s="383">
        <v>9.6915478520175194E-2</v>
      </c>
      <c r="Q116" s="383">
        <v>9.6915478520175208E-3</v>
      </c>
      <c r="R116" s="383">
        <v>2.4353120243531201E-2</v>
      </c>
      <c r="S116" s="383">
        <v>1.8873668188736684E-3</v>
      </c>
      <c r="T116" s="355">
        <v>1952</v>
      </c>
      <c r="U116" s="312">
        <v>0</v>
      </c>
      <c r="V116" s="332"/>
    </row>
    <row r="117" spans="2:22" x14ac:dyDescent="0.3">
      <c r="B117" s="376" t="s">
        <v>238</v>
      </c>
      <c r="C117" s="367" t="s">
        <v>397</v>
      </c>
      <c r="D117" s="314" t="s">
        <v>64</v>
      </c>
      <c r="E117" s="314" t="s">
        <v>65</v>
      </c>
      <c r="F117" s="315">
        <v>5</v>
      </c>
      <c r="G117" s="315">
        <v>5</v>
      </c>
      <c r="H117" s="383">
        <v>0.13400000000000001</v>
      </c>
      <c r="I117" s="383">
        <v>3.2000000000000001E-2</v>
      </c>
      <c r="J117" s="383" t="s">
        <v>145</v>
      </c>
      <c r="K117" s="383" t="s">
        <v>145</v>
      </c>
      <c r="L117" s="383">
        <v>9.1156462585034015E-2</v>
      </c>
      <c r="M117" s="383">
        <v>2.1768707482993196E-2</v>
      </c>
      <c r="N117" s="383">
        <v>1.5192743764172336E-2</v>
      </c>
      <c r="O117" s="383">
        <v>3.6281179138321997E-3</v>
      </c>
      <c r="P117" s="383">
        <v>1.2487186655484111E-3</v>
      </c>
      <c r="Q117" s="383">
        <v>2.9820147236976982E-4</v>
      </c>
      <c r="R117" s="383">
        <v>3.1378058775319051E-4</v>
      </c>
      <c r="S117" s="383">
        <v>5.8072825196112867E-5</v>
      </c>
      <c r="T117" s="355">
        <v>38</v>
      </c>
      <c r="U117" s="312">
        <v>0</v>
      </c>
      <c r="V117" s="332"/>
    </row>
    <row r="118" spans="2:22" x14ac:dyDescent="0.3">
      <c r="B118" s="376" t="s">
        <v>239</v>
      </c>
      <c r="C118" s="367" t="s">
        <v>398</v>
      </c>
      <c r="D118" s="314" t="s">
        <v>64</v>
      </c>
      <c r="E118" s="314" t="s">
        <v>65</v>
      </c>
      <c r="F118" s="315">
        <v>14</v>
      </c>
      <c r="G118" s="315">
        <v>14</v>
      </c>
      <c r="H118" s="383">
        <v>0.06</v>
      </c>
      <c r="I118" s="383">
        <v>2.8000000000000001E-2</v>
      </c>
      <c r="J118" s="383" t="s">
        <v>145</v>
      </c>
      <c r="K118" s="383" t="s">
        <v>145</v>
      </c>
      <c r="L118" s="383">
        <v>4.0816326530612249E-2</v>
      </c>
      <c r="M118" s="383">
        <v>1.9047619047619049E-2</v>
      </c>
      <c r="N118" s="383">
        <v>1.9047619047619046E-2</v>
      </c>
      <c r="O118" s="383">
        <v>8.8888888888888906E-3</v>
      </c>
      <c r="P118" s="383">
        <v>1.5655577299412918E-3</v>
      </c>
      <c r="Q118" s="383">
        <v>7.305936073059362E-4</v>
      </c>
      <c r="R118" s="383">
        <v>3.9339655778011941E-4</v>
      </c>
      <c r="S118" s="383">
        <v>1.4227842173047655E-4</v>
      </c>
      <c r="T118" s="355">
        <v>1633</v>
      </c>
      <c r="U118" s="312">
        <v>0</v>
      </c>
      <c r="V118" s="332"/>
    </row>
    <row r="119" spans="2:22" x14ac:dyDescent="0.3">
      <c r="B119" s="376"/>
      <c r="C119" s="367" t="s">
        <v>396</v>
      </c>
      <c r="D119" s="314" t="s">
        <v>68</v>
      </c>
      <c r="E119" s="314" t="s">
        <v>65</v>
      </c>
      <c r="F119" s="309">
        <v>250</v>
      </c>
      <c r="G119" s="159">
        <v>250</v>
      </c>
      <c r="H119" s="383">
        <v>1.7000000000000001E-2</v>
      </c>
      <c r="I119" s="383">
        <v>8.0000000000000002E-3</v>
      </c>
      <c r="J119" s="383" t="s">
        <v>145</v>
      </c>
      <c r="K119" s="383" t="s">
        <v>145</v>
      </c>
      <c r="L119" s="383">
        <v>1.1564625850340137E-2</v>
      </c>
      <c r="M119" s="383">
        <v>5.4421768707482989E-3</v>
      </c>
      <c r="N119" s="383">
        <v>8.4807256235827667E-3</v>
      </c>
      <c r="O119" s="383">
        <v>3.9909297052154197E-3</v>
      </c>
      <c r="P119" s="383">
        <v>8.2378156742148913E-3</v>
      </c>
      <c r="Q119" s="383">
        <v>3.876619140807008E-3</v>
      </c>
      <c r="R119" s="383">
        <v>2.0700152207001523E-3</v>
      </c>
      <c r="S119" s="383">
        <v>7.5494672754946733E-4</v>
      </c>
      <c r="T119" s="316">
        <v>39</v>
      </c>
      <c r="U119" s="318">
        <v>0</v>
      </c>
      <c r="V119" s="332"/>
    </row>
    <row r="120" spans="2:22" x14ac:dyDescent="0.3">
      <c r="B120" s="376" t="s">
        <v>240</v>
      </c>
      <c r="C120" s="367" t="s">
        <v>399</v>
      </c>
      <c r="D120" s="314" t="s">
        <v>64</v>
      </c>
      <c r="E120" s="314" t="s">
        <v>65</v>
      </c>
      <c r="F120" s="159">
        <v>250</v>
      </c>
      <c r="G120" s="309">
        <v>250</v>
      </c>
      <c r="H120" s="383">
        <v>0.36399999999999999</v>
      </c>
      <c r="I120" s="383">
        <v>3.7999999999999999E-2</v>
      </c>
      <c r="J120" s="383" t="s">
        <v>145</v>
      </c>
      <c r="K120" s="383" t="s">
        <v>145</v>
      </c>
      <c r="L120" s="383">
        <v>0.24761904761904763</v>
      </c>
      <c r="M120" s="383">
        <v>2.5850340136054421E-2</v>
      </c>
      <c r="N120" s="383">
        <v>0.18158730158730158</v>
      </c>
      <c r="O120" s="383">
        <v>1.8956916099773242E-2</v>
      </c>
      <c r="P120" s="383">
        <v>0.17638617090671885</v>
      </c>
      <c r="Q120" s="383">
        <v>1.8413940918833284E-2</v>
      </c>
      <c r="R120" s="383">
        <v>4.4322678843226784E-2</v>
      </c>
      <c r="S120" s="383">
        <v>3.5859969558599694E-3</v>
      </c>
      <c r="T120" s="317">
        <v>21</v>
      </c>
      <c r="U120" s="318">
        <v>0</v>
      </c>
      <c r="V120" s="332"/>
    </row>
    <row r="121" spans="2:22" ht="13.5" thickBot="1" x14ac:dyDescent="0.35">
      <c r="B121" s="377"/>
      <c r="C121" s="368" t="s">
        <v>399</v>
      </c>
      <c r="D121" s="351" t="s">
        <v>68</v>
      </c>
      <c r="E121" s="351" t="s">
        <v>65</v>
      </c>
      <c r="F121" s="322">
        <v>250</v>
      </c>
      <c r="G121" s="322">
        <v>250</v>
      </c>
      <c r="H121" s="385">
        <v>1.7000000000000001E-2</v>
      </c>
      <c r="I121" s="385">
        <v>8.0000000000000002E-3</v>
      </c>
      <c r="J121" s="385" t="s">
        <v>145</v>
      </c>
      <c r="K121" s="385" t="s">
        <v>145</v>
      </c>
      <c r="L121" s="385">
        <v>1.1564625850340137E-2</v>
      </c>
      <c r="M121" s="385">
        <v>5.4421768707482989E-3</v>
      </c>
      <c r="N121" s="385">
        <v>8.4807256235827667E-3</v>
      </c>
      <c r="O121" s="385">
        <v>3.9909297052154197E-3</v>
      </c>
      <c r="P121" s="385">
        <v>8.2378156742148913E-3</v>
      </c>
      <c r="Q121" s="385">
        <v>3.876619140807008E-3</v>
      </c>
      <c r="R121" s="385">
        <v>2.0700152207001523E-3</v>
      </c>
      <c r="S121" s="385">
        <v>7.5494672754946733E-4</v>
      </c>
      <c r="T121" s="336">
        <v>39</v>
      </c>
      <c r="U121" s="324">
        <v>0</v>
      </c>
      <c r="V121" s="344"/>
    </row>
    <row r="122" spans="2:22" x14ac:dyDescent="0.3">
      <c r="B122" s="376" t="s">
        <v>242</v>
      </c>
      <c r="C122" s="367" t="s">
        <v>385</v>
      </c>
      <c r="D122" s="334" t="s">
        <v>64</v>
      </c>
      <c r="E122" s="334" t="s">
        <v>67</v>
      </c>
      <c r="F122" s="352">
        <v>167</v>
      </c>
      <c r="G122" s="309">
        <v>167</v>
      </c>
      <c r="H122" s="384">
        <v>0.44900000000000001</v>
      </c>
      <c r="I122" s="384">
        <v>2.5000000000000001E-2</v>
      </c>
      <c r="J122" s="384" t="s">
        <v>145</v>
      </c>
      <c r="K122" s="384" t="s">
        <v>145</v>
      </c>
      <c r="L122" s="384">
        <v>0.45816326530612245</v>
      </c>
      <c r="M122" s="384">
        <v>2.5510204081632657E-2</v>
      </c>
      <c r="N122" s="384">
        <v>0.33598639455782314</v>
      </c>
      <c r="O122" s="384">
        <v>1.8707482993197282E-2</v>
      </c>
      <c r="P122" s="384">
        <v>0.20962538440033546</v>
      </c>
      <c r="Q122" s="384">
        <v>1.1671792004473025E-2</v>
      </c>
      <c r="R122" s="384">
        <v>5.2675096592904806E-2</v>
      </c>
      <c r="S122" s="384">
        <v>2.2730066736916057E-3</v>
      </c>
      <c r="T122" s="355">
        <v>455</v>
      </c>
      <c r="U122" s="312">
        <v>0</v>
      </c>
      <c r="V122" s="313" t="s">
        <v>351</v>
      </c>
    </row>
    <row r="123" spans="2:22" x14ac:dyDescent="0.3">
      <c r="B123" s="376" t="s">
        <v>244</v>
      </c>
      <c r="C123" s="367" t="s">
        <v>386</v>
      </c>
      <c r="D123" s="314" t="s">
        <v>64</v>
      </c>
      <c r="E123" s="314" t="s">
        <v>67</v>
      </c>
      <c r="F123" s="349">
        <v>5</v>
      </c>
      <c r="G123" s="315">
        <v>5</v>
      </c>
      <c r="H123" s="383">
        <v>0.78400000000000003</v>
      </c>
      <c r="I123" s="383">
        <v>0.37</v>
      </c>
      <c r="J123" s="383" t="s">
        <v>145</v>
      </c>
      <c r="K123" s="383" t="s">
        <v>145</v>
      </c>
      <c r="L123" s="383">
        <v>0.80000000000000016</v>
      </c>
      <c r="M123" s="383">
        <v>0.37755102040816318</v>
      </c>
      <c r="N123" s="383">
        <v>0.13333333333333336</v>
      </c>
      <c r="O123" s="383">
        <v>6.2925170068027197E-2</v>
      </c>
      <c r="P123" s="383">
        <v>1.0958904109589045E-2</v>
      </c>
      <c r="Q123" s="383">
        <v>5.1719317864131944E-3</v>
      </c>
      <c r="R123" s="383">
        <v>2.7537759044608365E-3</v>
      </c>
      <c r="S123" s="383">
        <v>1.0072005619950822E-3</v>
      </c>
      <c r="T123" s="355">
        <v>3</v>
      </c>
      <c r="U123" s="312">
        <v>0</v>
      </c>
      <c r="V123" s="332"/>
    </row>
    <row r="124" spans="2:22" x14ac:dyDescent="0.3">
      <c r="B124" s="376" t="s">
        <v>259</v>
      </c>
      <c r="C124" s="367" t="s">
        <v>385</v>
      </c>
      <c r="D124" s="314" t="s">
        <v>68</v>
      </c>
      <c r="E124" s="314" t="s">
        <v>67</v>
      </c>
      <c r="F124" s="352">
        <v>167</v>
      </c>
      <c r="G124" s="309">
        <v>167</v>
      </c>
      <c r="H124" s="383">
        <v>1.7000000000000001E-2</v>
      </c>
      <c r="I124" s="383">
        <v>8.0000000000000002E-3</v>
      </c>
      <c r="J124" s="383" t="s">
        <v>145</v>
      </c>
      <c r="K124" s="383" t="s">
        <v>145</v>
      </c>
      <c r="L124" s="383">
        <v>1.7346938775510207E-2</v>
      </c>
      <c r="M124" s="383">
        <v>8.1632653061224497E-3</v>
      </c>
      <c r="N124" s="383">
        <v>1.272108843537415E-2</v>
      </c>
      <c r="O124" s="383">
        <v>5.9863945578231296E-3</v>
      </c>
      <c r="P124" s="383">
        <v>7.9368185630416567E-3</v>
      </c>
      <c r="Q124" s="383">
        <v>3.7349734414313675E-3</v>
      </c>
      <c r="R124" s="383">
        <v>1.9943800491745703E-3</v>
      </c>
      <c r="S124" s="383">
        <v>7.2736213558131371E-4</v>
      </c>
      <c r="T124" s="355">
        <v>39</v>
      </c>
      <c r="U124" s="312">
        <v>0</v>
      </c>
      <c r="V124" s="332"/>
    </row>
    <row r="125" spans="2:22" x14ac:dyDescent="0.3">
      <c r="B125" s="376" t="s">
        <v>245</v>
      </c>
      <c r="C125" s="367" t="s">
        <v>387</v>
      </c>
      <c r="D125" s="314" t="s">
        <v>64</v>
      </c>
      <c r="E125" s="314" t="s">
        <v>67</v>
      </c>
      <c r="F125" s="348">
        <v>167</v>
      </c>
      <c r="G125" s="159">
        <v>167</v>
      </c>
      <c r="H125" s="383">
        <v>0.16</v>
      </c>
      <c r="I125" s="383">
        <v>0.02</v>
      </c>
      <c r="J125" s="383" t="s">
        <v>145</v>
      </c>
      <c r="K125" s="383" t="s">
        <v>145</v>
      </c>
      <c r="L125" s="383">
        <v>0.16326530612244899</v>
      </c>
      <c r="M125" s="383">
        <v>2.0408163265306124E-2</v>
      </c>
      <c r="N125" s="383">
        <v>0.11972789115646257</v>
      </c>
      <c r="O125" s="383">
        <v>1.4965986394557821E-2</v>
      </c>
      <c r="P125" s="383">
        <v>7.4699468828627338E-2</v>
      </c>
      <c r="Q125" s="383">
        <v>9.337433603578419E-3</v>
      </c>
      <c r="R125" s="383">
        <v>1.8770635756937125E-2</v>
      </c>
      <c r="S125" s="383">
        <v>1.8184053389532842E-3</v>
      </c>
      <c r="T125" s="355">
        <v>313</v>
      </c>
      <c r="U125" s="312">
        <v>0</v>
      </c>
      <c r="V125" s="332"/>
    </row>
    <row r="126" spans="2:22" x14ac:dyDescent="0.3">
      <c r="B126" s="376" t="s">
        <v>246</v>
      </c>
      <c r="C126" s="367" t="s">
        <v>388</v>
      </c>
      <c r="D126" s="314" t="s">
        <v>64</v>
      </c>
      <c r="E126" s="314" t="s">
        <v>67</v>
      </c>
      <c r="F126" s="349">
        <v>5</v>
      </c>
      <c r="G126" s="315">
        <v>5</v>
      </c>
      <c r="H126" s="383">
        <v>0.25</v>
      </c>
      <c r="I126" s="383">
        <v>0.13</v>
      </c>
      <c r="J126" s="383" t="s">
        <v>145</v>
      </c>
      <c r="K126" s="383" t="s">
        <v>145</v>
      </c>
      <c r="L126" s="383">
        <v>9.183673469387757E-2</v>
      </c>
      <c r="M126" s="383">
        <v>4.5918367346938785E-2</v>
      </c>
      <c r="N126" s="383">
        <v>1.5306122448979593E-2</v>
      </c>
      <c r="O126" s="383">
        <v>7.6530612244897966E-3</v>
      </c>
      <c r="P126" s="383">
        <v>3.4945485043332402E-3</v>
      </c>
      <c r="Q126" s="383">
        <v>1.8171652222532851E-3</v>
      </c>
      <c r="R126" s="383">
        <v>8.7811731647348087E-4</v>
      </c>
      <c r="S126" s="383">
        <v>3.5388127853881279E-4</v>
      </c>
      <c r="T126" s="355">
        <v>5</v>
      </c>
      <c r="U126" s="312">
        <v>0</v>
      </c>
      <c r="V126" s="332"/>
    </row>
    <row r="127" spans="2:22" x14ac:dyDescent="0.3">
      <c r="B127" s="376" t="s">
        <v>247</v>
      </c>
      <c r="C127" s="367" t="s">
        <v>45</v>
      </c>
      <c r="D127" s="314" t="s">
        <v>64</v>
      </c>
      <c r="E127" s="314" t="s">
        <v>67</v>
      </c>
      <c r="F127" s="349">
        <v>14</v>
      </c>
      <c r="G127" s="315">
        <v>14</v>
      </c>
      <c r="H127" s="383">
        <v>0.13900000000000001</v>
      </c>
      <c r="I127" s="383">
        <v>1.7000000000000001E-2</v>
      </c>
      <c r="J127" s="383" t="s">
        <v>145</v>
      </c>
      <c r="K127" s="383" t="s">
        <v>145</v>
      </c>
      <c r="L127" s="383">
        <v>0.14183673469387756</v>
      </c>
      <c r="M127" s="383">
        <v>1.7346938775510207E-2</v>
      </c>
      <c r="N127" s="383">
        <v>6.6190476190476202E-2</v>
      </c>
      <c r="O127" s="383">
        <v>8.0952380952380963E-3</v>
      </c>
      <c r="P127" s="383">
        <v>5.440313111545989E-3</v>
      </c>
      <c r="Q127" s="383">
        <v>6.6536203522504908E-4</v>
      </c>
      <c r="R127" s="383">
        <v>1.3670530382859153E-3</v>
      </c>
      <c r="S127" s="383">
        <v>1.2957499121882686E-4</v>
      </c>
      <c r="T127" s="355">
        <v>4</v>
      </c>
      <c r="U127" s="312">
        <v>0</v>
      </c>
      <c r="V127" s="332"/>
    </row>
    <row r="128" spans="2:22" x14ac:dyDescent="0.3">
      <c r="B128" s="376"/>
      <c r="C128" s="367" t="s">
        <v>387</v>
      </c>
      <c r="D128" s="314" t="s">
        <v>68</v>
      </c>
      <c r="E128" s="314" t="s">
        <v>67</v>
      </c>
      <c r="F128" s="352">
        <v>167</v>
      </c>
      <c r="G128" s="309">
        <v>167</v>
      </c>
      <c r="H128" s="383">
        <v>1.7000000000000001E-2</v>
      </c>
      <c r="I128" s="383">
        <v>8.0000000000000002E-3</v>
      </c>
      <c r="J128" s="383" t="s">
        <v>145</v>
      </c>
      <c r="K128" s="383" t="s">
        <v>145</v>
      </c>
      <c r="L128" s="383">
        <v>1.7346938775510207E-2</v>
      </c>
      <c r="M128" s="383">
        <v>8.1632653061224497E-3</v>
      </c>
      <c r="N128" s="383">
        <v>1.272108843537415E-2</v>
      </c>
      <c r="O128" s="383">
        <v>5.9863945578231296E-3</v>
      </c>
      <c r="P128" s="383">
        <v>7.9368185630416567E-3</v>
      </c>
      <c r="Q128" s="383">
        <v>3.7349734414313675E-3</v>
      </c>
      <c r="R128" s="383">
        <v>1.9943800491745703E-3</v>
      </c>
      <c r="S128" s="383">
        <v>7.2736213558131371E-4</v>
      </c>
      <c r="T128" s="355">
        <v>39</v>
      </c>
      <c r="U128" s="312">
        <v>0</v>
      </c>
      <c r="V128" s="332"/>
    </row>
    <row r="129" spans="2:22" x14ac:dyDescent="0.3">
      <c r="B129" s="376" t="s">
        <v>248</v>
      </c>
      <c r="C129" s="367" t="s">
        <v>389</v>
      </c>
      <c r="D129" s="314" t="s">
        <v>64</v>
      </c>
      <c r="E129" s="314" t="s">
        <v>67</v>
      </c>
      <c r="F129" s="348">
        <v>167</v>
      </c>
      <c r="G129" s="159">
        <v>167</v>
      </c>
      <c r="H129" s="383">
        <v>0.23499999999999999</v>
      </c>
      <c r="I129" s="383">
        <v>2.5000000000000001E-2</v>
      </c>
      <c r="J129" s="383" t="s">
        <v>145</v>
      </c>
      <c r="K129" s="383" t="s">
        <v>145</v>
      </c>
      <c r="L129" s="383">
        <v>0.23979591836734693</v>
      </c>
      <c r="M129" s="383">
        <v>2.5510204081632657E-2</v>
      </c>
      <c r="N129" s="383">
        <v>0.17585034013605444</v>
      </c>
      <c r="O129" s="383">
        <v>1.8707482993197282E-2</v>
      </c>
      <c r="P129" s="383">
        <v>0.10971484484204641</v>
      </c>
      <c r="Q129" s="383">
        <v>1.1671792004473025E-2</v>
      </c>
      <c r="R129" s="383">
        <v>2.7569371268001405E-2</v>
      </c>
      <c r="S129" s="383">
        <v>2.2730066736916057E-3</v>
      </c>
      <c r="T129" s="355">
        <v>215</v>
      </c>
      <c r="U129" s="312">
        <v>0</v>
      </c>
      <c r="V129" s="332"/>
    </row>
    <row r="130" spans="2:22" x14ac:dyDescent="0.3">
      <c r="B130" s="376" t="s">
        <v>249</v>
      </c>
      <c r="C130" s="367" t="s">
        <v>390</v>
      </c>
      <c r="D130" s="314" t="s">
        <v>64</v>
      </c>
      <c r="E130" s="314" t="s">
        <v>67</v>
      </c>
      <c r="F130" s="349">
        <v>5</v>
      </c>
      <c r="G130" s="315">
        <v>5</v>
      </c>
      <c r="H130" s="383">
        <v>60.03</v>
      </c>
      <c r="I130" s="383">
        <v>60.03</v>
      </c>
      <c r="J130" s="383" t="s">
        <v>145</v>
      </c>
      <c r="K130" s="383" t="s">
        <v>145</v>
      </c>
      <c r="L130" s="383">
        <v>61.255102040816332</v>
      </c>
      <c r="M130" s="383">
        <v>61.255102040816332</v>
      </c>
      <c r="N130" s="383">
        <v>10.209183673469388</v>
      </c>
      <c r="O130" s="383">
        <v>10.209183673469388</v>
      </c>
      <c r="P130" s="383">
        <v>0.83911098686049757</v>
      </c>
      <c r="Q130" s="383">
        <v>0.83911098686049768</v>
      </c>
      <c r="R130" s="383">
        <v>0.21085353003161222</v>
      </c>
      <c r="S130" s="383">
        <v>0.16341148577449949</v>
      </c>
      <c r="T130" s="355">
        <v>1</v>
      </c>
      <c r="U130" s="312">
        <v>0</v>
      </c>
      <c r="V130" s="332"/>
    </row>
    <row r="131" spans="2:22" x14ac:dyDescent="0.3">
      <c r="B131" s="376"/>
      <c r="C131" s="367" t="s">
        <v>389</v>
      </c>
      <c r="D131" s="314" t="s">
        <v>68</v>
      </c>
      <c r="E131" s="314" t="s">
        <v>67</v>
      </c>
      <c r="F131" s="352">
        <v>167</v>
      </c>
      <c r="G131" s="309">
        <v>167</v>
      </c>
      <c r="H131" s="383">
        <v>1.7000000000000001E-2</v>
      </c>
      <c r="I131" s="383">
        <v>8.0000000000000002E-3</v>
      </c>
      <c r="J131" s="383" t="s">
        <v>145</v>
      </c>
      <c r="K131" s="383" t="s">
        <v>145</v>
      </c>
      <c r="L131" s="383">
        <v>1.7346938775510207E-2</v>
      </c>
      <c r="M131" s="383">
        <v>8.1632653061224497E-3</v>
      </c>
      <c r="N131" s="383">
        <v>1.272108843537415E-2</v>
      </c>
      <c r="O131" s="383">
        <v>5.9863945578231296E-3</v>
      </c>
      <c r="P131" s="383">
        <v>7.9368185630416567E-3</v>
      </c>
      <c r="Q131" s="383">
        <v>3.7349734414313675E-3</v>
      </c>
      <c r="R131" s="383">
        <v>1.9943800491745703E-3</v>
      </c>
      <c r="S131" s="383">
        <v>7.2736213558131371E-4</v>
      </c>
      <c r="T131" s="355">
        <v>39</v>
      </c>
      <c r="U131" s="312"/>
      <c r="V131" s="332"/>
    </row>
    <row r="132" spans="2:22" x14ac:dyDescent="0.3">
      <c r="B132" s="376" t="s">
        <v>250</v>
      </c>
      <c r="C132" s="367" t="s">
        <v>391</v>
      </c>
      <c r="D132" s="314" t="s">
        <v>64</v>
      </c>
      <c r="E132" s="314" t="s">
        <v>67</v>
      </c>
      <c r="F132" s="348">
        <v>167</v>
      </c>
      <c r="G132" s="159">
        <v>167</v>
      </c>
      <c r="H132" s="383">
        <v>0.27700000000000002</v>
      </c>
      <c r="I132" s="383">
        <v>6.0000000000000001E-3</v>
      </c>
      <c r="J132" s="383" t="s">
        <v>145</v>
      </c>
      <c r="K132" s="383" t="s">
        <v>145</v>
      </c>
      <c r="L132" s="383">
        <v>0.28265306122448985</v>
      </c>
      <c r="M132" s="383">
        <v>6.1224489795918382E-3</v>
      </c>
      <c r="N132" s="383">
        <v>0.20727891156462586</v>
      </c>
      <c r="O132" s="383">
        <v>4.489795918367347E-3</v>
      </c>
      <c r="P132" s="383">
        <v>0.12932345540956108</v>
      </c>
      <c r="Q132" s="383">
        <v>2.8012300810735255E-3</v>
      </c>
      <c r="R132" s="383">
        <v>3.2496663154197407E-2</v>
      </c>
      <c r="S132" s="383">
        <v>5.4552160168598531E-4</v>
      </c>
      <c r="T132" s="355">
        <v>222</v>
      </c>
      <c r="U132" s="312">
        <v>0</v>
      </c>
      <c r="V132" s="332"/>
    </row>
    <row r="133" spans="2:22" x14ac:dyDescent="0.3">
      <c r="B133" s="376" t="s">
        <v>251</v>
      </c>
      <c r="C133" s="367" t="s">
        <v>392</v>
      </c>
      <c r="D133" s="314" t="s">
        <v>64</v>
      </c>
      <c r="E133" s="314" t="s">
        <v>67</v>
      </c>
      <c r="F133" s="349">
        <v>14</v>
      </c>
      <c r="G133" s="315">
        <v>14</v>
      </c>
      <c r="H133" s="383">
        <v>1.2E-2</v>
      </c>
      <c r="I133" s="383">
        <v>8.0000000000000002E-3</v>
      </c>
      <c r="J133" s="383" t="s">
        <v>145</v>
      </c>
      <c r="K133" s="383" t="s">
        <v>145</v>
      </c>
      <c r="L133" s="383">
        <v>1.2244897959183676E-2</v>
      </c>
      <c r="M133" s="383">
        <v>8.1632653061224497E-3</v>
      </c>
      <c r="N133" s="383">
        <v>5.7142857142857143E-3</v>
      </c>
      <c r="O133" s="383">
        <v>3.80952380952381E-3</v>
      </c>
      <c r="P133" s="383">
        <v>4.6966731898238749E-4</v>
      </c>
      <c r="Q133" s="383">
        <v>3.1311154598825833E-4</v>
      </c>
      <c r="R133" s="383">
        <v>1.1801896733403582E-4</v>
      </c>
      <c r="S133" s="383">
        <v>6.0976466455918515E-5</v>
      </c>
      <c r="T133" s="355">
        <v>8</v>
      </c>
      <c r="U133" s="312">
        <v>0</v>
      </c>
      <c r="V133" s="332"/>
    </row>
    <row r="134" spans="2:22" x14ac:dyDescent="0.3">
      <c r="B134" s="376"/>
      <c r="C134" s="367" t="s">
        <v>391</v>
      </c>
      <c r="D134" s="314" t="s">
        <v>68</v>
      </c>
      <c r="E134" s="314" t="s">
        <v>67</v>
      </c>
      <c r="F134" s="352">
        <v>167</v>
      </c>
      <c r="G134" s="309">
        <v>167</v>
      </c>
      <c r="H134" s="383">
        <v>1.7000000000000001E-2</v>
      </c>
      <c r="I134" s="383">
        <v>8.0000000000000002E-3</v>
      </c>
      <c r="J134" s="383" t="s">
        <v>145</v>
      </c>
      <c r="K134" s="383" t="s">
        <v>145</v>
      </c>
      <c r="L134" s="383">
        <v>1.7346938775510207E-2</v>
      </c>
      <c r="M134" s="383">
        <v>8.1632653061224497E-3</v>
      </c>
      <c r="N134" s="383">
        <v>1.272108843537415E-2</v>
      </c>
      <c r="O134" s="383">
        <v>5.9863945578231296E-3</v>
      </c>
      <c r="P134" s="383">
        <v>7.9368185630416567E-3</v>
      </c>
      <c r="Q134" s="383">
        <v>3.7349734414313675E-3</v>
      </c>
      <c r="R134" s="383">
        <v>1.9943800491745703E-3</v>
      </c>
      <c r="S134" s="383">
        <v>7.2736213558131371E-4</v>
      </c>
      <c r="T134" s="355">
        <v>39</v>
      </c>
      <c r="U134" s="312">
        <v>0</v>
      </c>
      <c r="V134" s="332"/>
    </row>
    <row r="135" spans="2:22" x14ac:dyDescent="0.3">
      <c r="B135" s="376" t="s">
        <v>252</v>
      </c>
      <c r="C135" s="367" t="s">
        <v>393</v>
      </c>
      <c r="D135" s="314" t="s">
        <v>64</v>
      </c>
      <c r="E135" s="314" t="s">
        <v>67</v>
      </c>
      <c r="F135" s="348">
        <v>167</v>
      </c>
      <c r="G135" s="159">
        <v>167</v>
      </c>
      <c r="H135" s="383">
        <v>0.23400000000000001</v>
      </c>
      <c r="I135" s="383">
        <v>0.152</v>
      </c>
      <c r="J135" s="383" t="s">
        <v>145</v>
      </c>
      <c r="K135" s="383" t="s">
        <v>145</v>
      </c>
      <c r="L135" s="383">
        <v>0.23877551020408166</v>
      </c>
      <c r="M135" s="383">
        <v>0.15510204081632653</v>
      </c>
      <c r="N135" s="383">
        <v>0.17510204081632655</v>
      </c>
      <c r="O135" s="383">
        <v>0.11374149659863947</v>
      </c>
      <c r="P135" s="383">
        <v>0.1092479731618675</v>
      </c>
      <c r="Q135" s="383">
        <v>7.0964495387195972E-2</v>
      </c>
      <c r="R135" s="383">
        <v>2.745205479452055E-2</v>
      </c>
      <c r="S135" s="383">
        <v>1.3819880576044956E-2</v>
      </c>
      <c r="T135" s="355">
        <v>354</v>
      </c>
      <c r="U135" s="312">
        <v>0</v>
      </c>
      <c r="V135" s="332"/>
    </row>
    <row r="136" spans="2:22" x14ac:dyDescent="0.3">
      <c r="B136" s="376" t="s">
        <v>253</v>
      </c>
      <c r="C136" s="367" t="s">
        <v>394</v>
      </c>
      <c r="D136" s="314" t="s">
        <v>64</v>
      </c>
      <c r="E136" s="314" t="s">
        <v>67</v>
      </c>
      <c r="F136" s="349">
        <v>5</v>
      </c>
      <c r="G136" s="315">
        <v>5</v>
      </c>
      <c r="H136" s="383">
        <v>0.61899999999999999</v>
      </c>
      <c r="I136" s="383">
        <v>0.34100000000000003</v>
      </c>
      <c r="J136" s="383" t="s">
        <v>145</v>
      </c>
      <c r="K136" s="383" t="s">
        <v>145</v>
      </c>
      <c r="L136" s="383">
        <v>0.63163265306122451</v>
      </c>
      <c r="M136" s="383">
        <v>0.3479591836734694</v>
      </c>
      <c r="N136" s="383">
        <v>0.10527210884353742</v>
      </c>
      <c r="O136" s="383">
        <v>5.7993197278911564E-2</v>
      </c>
      <c r="P136" s="383">
        <v>8.6525020967291016E-3</v>
      </c>
      <c r="Q136" s="383">
        <v>4.7665641599105397E-3</v>
      </c>
      <c r="R136" s="383">
        <v>2.1742184755883386E-3</v>
      </c>
      <c r="S136" s="383">
        <v>9.2825781524411661E-4</v>
      </c>
      <c r="T136" s="355">
        <v>2</v>
      </c>
      <c r="U136" s="312">
        <v>0</v>
      </c>
      <c r="V136" s="332"/>
    </row>
    <row r="137" spans="2:22" x14ac:dyDescent="0.3">
      <c r="B137" s="376" t="s">
        <v>254</v>
      </c>
      <c r="C137" s="367" t="s">
        <v>395</v>
      </c>
      <c r="D137" s="314" t="s">
        <v>64</v>
      </c>
      <c r="E137" s="314" t="s">
        <v>67</v>
      </c>
      <c r="F137" s="349">
        <v>14</v>
      </c>
      <c r="G137" s="315">
        <v>14</v>
      </c>
      <c r="H137" s="383">
        <v>4.9189999999999996</v>
      </c>
      <c r="I137" s="383">
        <v>2.9000000000000001E-2</v>
      </c>
      <c r="J137" s="383" t="s">
        <v>145</v>
      </c>
      <c r="K137" s="383" t="s">
        <v>145</v>
      </c>
      <c r="L137" s="383">
        <v>5.0193877551020405</v>
      </c>
      <c r="M137" s="383">
        <v>2.9591836734693878E-2</v>
      </c>
      <c r="N137" s="383">
        <v>2.3423809523809518</v>
      </c>
      <c r="O137" s="383">
        <v>1.3809523809523811E-2</v>
      </c>
      <c r="P137" s="383">
        <v>0.19252446183953029</v>
      </c>
      <c r="Q137" s="383">
        <v>1.1350293542074365E-3</v>
      </c>
      <c r="R137" s="383">
        <v>4.8377941693010178E-2</v>
      </c>
      <c r="S137" s="383">
        <v>2.2103969090270462E-4</v>
      </c>
      <c r="T137" s="355">
        <v>33</v>
      </c>
      <c r="U137" s="312">
        <v>0</v>
      </c>
      <c r="V137" s="332"/>
    </row>
    <row r="138" spans="2:22" x14ac:dyDescent="0.3">
      <c r="B138" s="376"/>
      <c r="C138" s="367" t="s">
        <v>393</v>
      </c>
      <c r="D138" s="314" t="s">
        <v>68</v>
      </c>
      <c r="E138" s="314" t="s">
        <v>67</v>
      </c>
      <c r="F138" s="352">
        <v>167</v>
      </c>
      <c r="G138" s="309">
        <v>167</v>
      </c>
      <c r="H138" s="383">
        <v>1.7000000000000001E-2</v>
      </c>
      <c r="I138" s="383">
        <v>8.0000000000000002E-3</v>
      </c>
      <c r="J138" s="383" t="s">
        <v>145</v>
      </c>
      <c r="K138" s="383" t="s">
        <v>145</v>
      </c>
      <c r="L138" s="383">
        <v>1.7346938775510207E-2</v>
      </c>
      <c r="M138" s="383">
        <v>8.1632653061224497E-3</v>
      </c>
      <c r="N138" s="383">
        <v>1.272108843537415E-2</v>
      </c>
      <c r="O138" s="383">
        <v>5.9863945578231296E-3</v>
      </c>
      <c r="P138" s="383">
        <v>7.9368185630416567E-3</v>
      </c>
      <c r="Q138" s="383">
        <v>3.7349734414313675E-3</v>
      </c>
      <c r="R138" s="383">
        <v>1.9943800491745703E-3</v>
      </c>
      <c r="S138" s="383">
        <v>7.2736213558131371E-4</v>
      </c>
      <c r="T138" s="355">
        <v>39</v>
      </c>
      <c r="U138" s="312">
        <v>0</v>
      </c>
      <c r="V138" s="332"/>
    </row>
    <row r="139" spans="2:22" x14ac:dyDescent="0.3">
      <c r="B139" s="376" t="s">
        <v>255</v>
      </c>
      <c r="C139" s="367" t="s">
        <v>396</v>
      </c>
      <c r="D139" s="314" t="s">
        <v>64</v>
      </c>
      <c r="E139" s="314" t="s">
        <v>67</v>
      </c>
      <c r="F139" s="348">
        <v>167</v>
      </c>
      <c r="G139" s="159">
        <v>167</v>
      </c>
      <c r="H139" s="383">
        <v>0.2</v>
      </c>
      <c r="I139" s="383">
        <v>0.02</v>
      </c>
      <c r="J139" s="383" t="s">
        <v>145</v>
      </c>
      <c r="K139" s="383" t="s">
        <v>145</v>
      </c>
      <c r="L139" s="383">
        <v>0.20408163265306126</v>
      </c>
      <c r="M139" s="383">
        <v>2.0408163265306124E-2</v>
      </c>
      <c r="N139" s="383">
        <v>0.14965986394557826</v>
      </c>
      <c r="O139" s="383">
        <v>1.4965986394557821E-2</v>
      </c>
      <c r="P139" s="383">
        <v>9.3374336035784197E-2</v>
      </c>
      <c r="Q139" s="383">
        <v>9.337433603578419E-3</v>
      </c>
      <c r="R139" s="383">
        <v>2.3463294696171415E-2</v>
      </c>
      <c r="S139" s="383">
        <v>1.8184053389532842E-3</v>
      </c>
      <c r="T139" s="355">
        <v>1952</v>
      </c>
      <c r="U139" s="312">
        <v>0</v>
      </c>
      <c r="V139" s="332"/>
    </row>
    <row r="140" spans="2:22" x14ac:dyDescent="0.3">
      <c r="B140" s="376" t="s">
        <v>256</v>
      </c>
      <c r="C140" s="367" t="s">
        <v>397</v>
      </c>
      <c r="D140" s="314" t="s">
        <v>64</v>
      </c>
      <c r="E140" s="314" t="s">
        <v>67</v>
      </c>
      <c r="F140" s="349">
        <v>5</v>
      </c>
      <c r="G140" s="315">
        <v>5</v>
      </c>
      <c r="H140" s="383">
        <v>0.13400000000000001</v>
      </c>
      <c r="I140" s="383">
        <v>3.2000000000000001E-2</v>
      </c>
      <c r="J140" s="383" t="s">
        <v>145</v>
      </c>
      <c r="K140" s="383" t="s">
        <v>145</v>
      </c>
      <c r="L140" s="383">
        <v>0.13673469387755102</v>
      </c>
      <c r="M140" s="383">
        <v>3.2653061224489799E-2</v>
      </c>
      <c r="N140" s="383">
        <v>2.2789115646258507E-2</v>
      </c>
      <c r="O140" s="383">
        <v>5.4421768707482989E-3</v>
      </c>
      <c r="P140" s="383">
        <v>1.873077998322617E-3</v>
      </c>
      <c r="Q140" s="383">
        <v>4.4730220855465473E-4</v>
      </c>
      <c r="R140" s="383">
        <v>4.706708816297858E-4</v>
      </c>
      <c r="S140" s="383">
        <v>8.7109237794169293E-5</v>
      </c>
      <c r="T140" s="355">
        <v>38</v>
      </c>
      <c r="U140" s="312">
        <v>0</v>
      </c>
      <c r="V140" s="332"/>
    </row>
    <row r="141" spans="2:22" x14ac:dyDescent="0.3">
      <c r="B141" s="376" t="s">
        <v>257</v>
      </c>
      <c r="C141" s="367" t="s">
        <v>398</v>
      </c>
      <c r="D141" s="314" t="s">
        <v>64</v>
      </c>
      <c r="E141" s="314" t="s">
        <v>67</v>
      </c>
      <c r="F141" s="349">
        <v>14</v>
      </c>
      <c r="G141" s="315">
        <v>14</v>
      </c>
      <c r="H141" s="383">
        <v>0.06</v>
      </c>
      <c r="I141" s="383">
        <v>2.8000000000000001E-2</v>
      </c>
      <c r="J141" s="383" t="s">
        <v>145</v>
      </c>
      <c r="K141" s="383" t="s">
        <v>145</v>
      </c>
      <c r="L141" s="383">
        <v>6.1224489795918366E-2</v>
      </c>
      <c r="M141" s="383">
        <v>2.8571428571428574E-2</v>
      </c>
      <c r="N141" s="383">
        <v>2.8571428571428574E-2</v>
      </c>
      <c r="O141" s="383">
        <v>1.3333333333333336E-2</v>
      </c>
      <c r="P141" s="383">
        <v>2.3483365949119373E-3</v>
      </c>
      <c r="Q141" s="383">
        <v>1.0958904109589042E-3</v>
      </c>
      <c r="R141" s="383">
        <v>5.9009483667017909E-4</v>
      </c>
      <c r="S141" s="383">
        <v>2.134176325957148E-4</v>
      </c>
      <c r="T141" s="355">
        <v>1633</v>
      </c>
      <c r="U141" s="312">
        <v>0</v>
      </c>
      <c r="V141" s="332"/>
    </row>
    <row r="142" spans="2:22" x14ac:dyDescent="0.3">
      <c r="B142" s="376"/>
      <c r="C142" s="367" t="s">
        <v>396</v>
      </c>
      <c r="D142" s="314" t="s">
        <v>68</v>
      </c>
      <c r="E142" s="314" t="s">
        <v>67</v>
      </c>
      <c r="F142" s="352">
        <v>167</v>
      </c>
      <c r="G142" s="309">
        <v>167</v>
      </c>
      <c r="H142" s="383">
        <v>1.7000000000000001E-2</v>
      </c>
      <c r="I142" s="383">
        <v>8.0000000000000002E-3</v>
      </c>
      <c r="J142" s="383" t="s">
        <v>145</v>
      </c>
      <c r="K142" s="383" t="s">
        <v>145</v>
      </c>
      <c r="L142" s="383">
        <v>1.7346938775510207E-2</v>
      </c>
      <c r="M142" s="383">
        <v>8.1632653061224497E-3</v>
      </c>
      <c r="N142" s="383">
        <v>1.272108843537415E-2</v>
      </c>
      <c r="O142" s="383">
        <v>5.9863945578231296E-3</v>
      </c>
      <c r="P142" s="383">
        <v>7.9368185630416567E-3</v>
      </c>
      <c r="Q142" s="383">
        <v>3.7349734414313675E-3</v>
      </c>
      <c r="R142" s="383">
        <v>1.9943800491745703E-3</v>
      </c>
      <c r="S142" s="383">
        <v>7.2736213558131371E-4</v>
      </c>
      <c r="T142" s="317">
        <v>39</v>
      </c>
      <c r="U142" s="318">
        <v>0</v>
      </c>
      <c r="V142" s="332"/>
    </row>
    <row r="143" spans="2:22" x14ac:dyDescent="0.3">
      <c r="B143" s="376" t="s">
        <v>258</v>
      </c>
      <c r="C143" s="367" t="s">
        <v>399</v>
      </c>
      <c r="D143" s="314" t="s">
        <v>64</v>
      </c>
      <c r="E143" s="314" t="s">
        <v>67</v>
      </c>
      <c r="F143" s="348">
        <v>167</v>
      </c>
      <c r="G143" s="159">
        <v>167</v>
      </c>
      <c r="H143" s="383">
        <v>0.36399999999999999</v>
      </c>
      <c r="I143" s="383">
        <v>3.7999999999999999E-2</v>
      </c>
      <c r="J143" s="383" t="s">
        <v>145</v>
      </c>
      <c r="K143" s="383" t="s">
        <v>145</v>
      </c>
      <c r="L143" s="383">
        <v>0.3714285714285715</v>
      </c>
      <c r="M143" s="383">
        <v>3.8775510204081633E-2</v>
      </c>
      <c r="N143" s="383">
        <v>0.27238095238095239</v>
      </c>
      <c r="O143" s="383">
        <v>2.8435374149659867E-2</v>
      </c>
      <c r="P143" s="383">
        <v>0.16994129158512719</v>
      </c>
      <c r="Q143" s="383">
        <v>1.7741123846798993E-2</v>
      </c>
      <c r="R143" s="383">
        <v>4.2703196347031964E-2</v>
      </c>
      <c r="S143" s="383">
        <v>3.454970144011239E-3</v>
      </c>
      <c r="T143" s="317">
        <v>21</v>
      </c>
      <c r="U143" s="318">
        <v>0</v>
      </c>
      <c r="V143" s="332"/>
    </row>
    <row r="144" spans="2:22" ht="13.5" thickBot="1" x14ac:dyDescent="0.35">
      <c r="B144" s="377"/>
      <c r="C144" s="368" t="s">
        <v>399</v>
      </c>
      <c r="D144" s="351" t="s">
        <v>68</v>
      </c>
      <c r="E144" s="351" t="s">
        <v>67</v>
      </c>
      <c r="F144" s="350">
        <v>167</v>
      </c>
      <c r="G144" s="322">
        <v>167</v>
      </c>
      <c r="H144" s="385">
        <v>1.7000000000000001E-2</v>
      </c>
      <c r="I144" s="385">
        <v>8.0000000000000002E-3</v>
      </c>
      <c r="J144" s="385" t="s">
        <v>145</v>
      </c>
      <c r="K144" s="385" t="s">
        <v>145</v>
      </c>
      <c r="L144" s="385">
        <v>1.7346938775510207E-2</v>
      </c>
      <c r="M144" s="385">
        <v>8.1632653061224497E-3</v>
      </c>
      <c r="N144" s="385">
        <v>1.272108843537415E-2</v>
      </c>
      <c r="O144" s="385">
        <v>5.9863945578231296E-3</v>
      </c>
      <c r="P144" s="385">
        <v>7.9368185630416567E-3</v>
      </c>
      <c r="Q144" s="385">
        <v>3.7349734414313675E-3</v>
      </c>
      <c r="R144" s="385">
        <v>1.9943800491745703E-3</v>
      </c>
      <c r="S144" s="385">
        <v>7.2736213558131371E-4</v>
      </c>
      <c r="T144" s="336">
        <v>39</v>
      </c>
      <c r="U144" s="337">
        <v>0</v>
      </c>
      <c r="V144" s="356"/>
    </row>
    <row r="145" spans="2:22" x14ac:dyDescent="0.3">
      <c r="B145" s="376" t="s">
        <v>260</v>
      </c>
      <c r="C145" s="371" t="s">
        <v>263</v>
      </c>
      <c r="D145" s="321" t="s">
        <v>64</v>
      </c>
      <c r="E145" s="321" t="s">
        <v>65</v>
      </c>
      <c r="F145" s="159">
        <v>250</v>
      </c>
      <c r="G145" s="159">
        <v>250</v>
      </c>
      <c r="H145" s="384">
        <v>0.27124999999999994</v>
      </c>
      <c r="I145" s="384">
        <v>2.8991378028648446E-2</v>
      </c>
      <c r="J145" s="384" t="s">
        <v>145</v>
      </c>
      <c r="K145" s="384" t="s">
        <v>145</v>
      </c>
      <c r="L145" s="384">
        <v>0.18452380952380948</v>
      </c>
      <c r="M145" s="384">
        <v>1.9722025869828873E-2</v>
      </c>
      <c r="N145" s="384">
        <v>0.13531746031746028</v>
      </c>
      <c r="O145" s="384">
        <v>1.446281897120784E-2</v>
      </c>
      <c r="P145" s="384">
        <v>0.13144161774298757</v>
      </c>
      <c r="Q145" s="384">
        <v>1.4048566373028789E-2</v>
      </c>
      <c r="R145" s="384">
        <v>3.3028919330289182E-2</v>
      </c>
      <c r="S145" s="384">
        <v>2.7358682462347086E-3</v>
      </c>
      <c r="T145" s="338">
        <v>53</v>
      </c>
      <c r="U145" s="339">
        <v>0</v>
      </c>
      <c r="V145" s="328"/>
    </row>
    <row r="146" spans="2:22" x14ac:dyDescent="0.3">
      <c r="B146" s="376" t="s">
        <v>260</v>
      </c>
      <c r="C146" s="371" t="s">
        <v>263</v>
      </c>
      <c r="D146" s="321" t="s">
        <v>68</v>
      </c>
      <c r="E146" s="314" t="s">
        <v>65</v>
      </c>
      <c r="F146" s="159">
        <v>250</v>
      </c>
      <c r="G146" s="159">
        <v>250</v>
      </c>
      <c r="H146" s="383">
        <f>I145</f>
        <v>2.8991378028648446E-2</v>
      </c>
      <c r="I146" s="383">
        <f>I145</f>
        <v>2.8991378028648446E-2</v>
      </c>
      <c r="J146" s="383" t="s">
        <v>145</v>
      </c>
      <c r="K146" s="383" t="s">
        <v>145</v>
      </c>
      <c r="L146" s="383">
        <v>1.9722025869828873E-2</v>
      </c>
      <c r="M146" s="383">
        <v>1.9722025869828873E-2</v>
      </c>
      <c r="N146" s="383">
        <v>1.446281897120784E-2</v>
      </c>
      <c r="O146" s="383">
        <v>1.446281897120784E-2</v>
      </c>
      <c r="P146" s="383">
        <v>1.4048566373028787E-2</v>
      </c>
      <c r="Q146" s="383">
        <v>1.4048566373028789E-2</v>
      </c>
      <c r="R146" s="383">
        <v>3.5301525757867208E-3</v>
      </c>
      <c r="S146" s="383">
        <v>2.7358682462347086E-3</v>
      </c>
      <c r="T146" s="318">
        <v>0</v>
      </c>
      <c r="U146" s="312">
        <v>0</v>
      </c>
      <c r="V146" s="332" t="s">
        <v>368</v>
      </c>
    </row>
    <row r="147" spans="2:22" x14ac:dyDescent="0.3">
      <c r="B147" s="376" t="s">
        <v>264</v>
      </c>
      <c r="C147" s="371" t="s">
        <v>263</v>
      </c>
      <c r="D147" s="321" t="s">
        <v>64</v>
      </c>
      <c r="E147" s="314" t="s">
        <v>67</v>
      </c>
      <c r="F147" s="159">
        <v>167</v>
      </c>
      <c r="G147" s="159">
        <v>167</v>
      </c>
      <c r="H147" s="383">
        <v>0.27529999999999999</v>
      </c>
      <c r="I147" s="383">
        <v>0.14050000000000001</v>
      </c>
      <c r="J147" s="383" t="s">
        <v>145</v>
      </c>
      <c r="K147" s="383" t="s">
        <v>145</v>
      </c>
      <c r="L147" s="383">
        <v>0.28091836734693876</v>
      </c>
      <c r="M147" s="383">
        <v>0.14336734693877554</v>
      </c>
      <c r="N147" s="383">
        <v>0.20600680272108843</v>
      </c>
      <c r="O147" s="383">
        <v>0.10513605442176872</v>
      </c>
      <c r="P147" s="383">
        <v>0.12852977355325693</v>
      </c>
      <c r="Q147" s="383">
        <v>6.5595471065138397E-2</v>
      </c>
      <c r="R147" s="383">
        <v>3.2297225149279941E-2</v>
      </c>
      <c r="S147" s="383">
        <v>1.2774297506146821E-2</v>
      </c>
      <c r="T147" s="318">
        <v>44</v>
      </c>
      <c r="U147" s="311">
        <v>0</v>
      </c>
      <c r="V147" s="332"/>
    </row>
    <row r="148" spans="2:22" ht="13.5" thickBot="1" x14ac:dyDescent="0.35">
      <c r="B148" s="377" t="s">
        <v>264</v>
      </c>
      <c r="C148" s="370" t="s">
        <v>263</v>
      </c>
      <c r="D148" s="329" t="s">
        <v>68</v>
      </c>
      <c r="E148" s="351" t="s">
        <v>67</v>
      </c>
      <c r="F148" s="322">
        <v>167</v>
      </c>
      <c r="G148" s="322">
        <v>167</v>
      </c>
      <c r="H148" s="385">
        <f>I147</f>
        <v>0.14050000000000001</v>
      </c>
      <c r="I148" s="385">
        <f>I147</f>
        <v>0.14050000000000001</v>
      </c>
      <c r="J148" s="385" t="s">
        <v>145</v>
      </c>
      <c r="K148" s="385" t="s">
        <v>145</v>
      </c>
      <c r="L148" s="385">
        <v>0.14336734693877554</v>
      </c>
      <c r="M148" s="385">
        <v>0.14336734693877554</v>
      </c>
      <c r="N148" s="385">
        <v>0.10513605442176872</v>
      </c>
      <c r="O148" s="385">
        <v>0.10513605442176872</v>
      </c>
      <c r="P148" s="385">
        <v>6.5595471065138383E-2</v>
      </c>
      <c r="Q148" s="385">
        <v>6.5595471065138397E-2</v>
      </c>
      <c r="R148" s="385">
        <v>1.6482964524060412E-2</v>
      </c>
      <c r="S148" s="385">
        <v>1.2774297506146821E-2</v>
      </c>
      <c r="T148" s="318">
        <v>0</v>
      </c>
      <c r="U148" s="311">
        <v>0</v>
      </c>
      <c r="V148" s="332" t="s">
        <v>368</v>
      </c>
    </row>
    <row r="149" spans="2:22" ht="15" customHeight="1" x14ac:dyDescent="0.3">
      <c r="B149" s="376" t="s">
        <v>265</v>
      </c>
      <c r="C149" s="371" t="s">
        <v>268</v>
      </c>
      <c r="D149" s="340" t="s">
        <v>64</v>
      </c>
      <c r="E149" s="321" t="s">
        <v>65</v>
      </c>
      <c r="F149" s="309">
        <v>250</v>
      </c>
      <c r="G149" s="264">
        <v>250</v>
      </c>
      <c r="H149" s="384">
        <v>0.28849999999999992</v>
      </c>
      <c r="I149" s="384">
        <v>2.4748737341529162E-2</v>
      </c>
      <c r="J149" s="384" t="s">
        <v>145</v>
      </c>
      <c r="K149" s="384" t="s">
        <v>145</v>
      </c>
      <c r="L149" s="384">
        <v>0.19625850340136047</v>
      </c>
      <c r="M149" s="384">
        <v>1.6835875742536848E-2</v>
      </c>
      <c r="N149" s="384">
        <v>0.14392290249433104</v>
      </c>
      <c r="O149" s="384">
        <v>1.2346308877860354E-2</v>
      </c>
      <c r="P149" s="384">
        <v>0.13980057776535268</v>
      </c>
      <c r="Q149" s="384">
        <v>1.1992678611122135E-2</v>
      </c>
      <c r="R149" s="384">
        <v>3.512937595129375E-2</v>
      </c>
      <c r="S149" s="384">
        <v>2.3354972833710928E-3</v>
      </c>
      <c r="T149" s="341">
        <v>50</v>
      </c>
      <c r="U149" s="339">
        <v>0</v>
      </c>
      <c r="V149" s="328"/>
    </row>
    <row r="150" spans="2:22" ht="15" customHeight="1" x14ac:dyDescent="0.3">
      <c r="B150" s="376" t="s">
        <v>265</v>
      </c>
      <c r="C150" s="371" t="s">
        <v>268</v>
      </c>
      <c r="D150" s="340" t="s">
        <v>68</v>
      </c>
      <c r="E150" s="314" t="s">
        <v>65</v>
      </c>
      <c r="F150" s="159">
        <v>250</v>
      </c>
      <c r="G150" s="159">
        <v>250</v>
      </c>
      <c r="H150" s="383">
        <f>I149</f>
        <v>2.4748737341529162E-2</v>
      </c>
      <c r="I150" s="383">
        <f>I149</f>
        <v>2.4748737341529162E-2</v>
      </c>
      <c r="J150" s="383" t="s">
        <v>145</v>
      </c>
      <c r="K150" s="383" t="s">
        <v>145</v>
      </c>
      <c r="L150" s="383">
        <v>1.6835875742536848E-2</v>
      </c>
      <c r="M150" s="383">
        <v>1.6835875742536848E-2</v>
      </c>
      <c r="N150" s="383">
        <v>1.2346308877860354E-2</v>
      </c>
      <c r="O150" s="383">
        <v>1.2346308877860354E-2</v>
      </c>
      <c r="P150" s="383">
        <v>1.1992678611122135E-2</v>
      </c>
      <c r="Q150" s="383">
        <v>1.1992678611122135E-2</v>
      </c>
      <c r="R150" s="383">
        <v>3.013544881769152E-3</v>
      </c>
      <c r="S150" s="383">
        <v>2.3354972833710928E-3</v>
      </c>
      <c r="T150" s="439">
        <v>0</v>
      </c>
      <c r="U150" s="320">
        <v>0</v>
      </c>
      <c r="V150" s="342"/>
    </row>
    <row r="151" spans="2:22" ht="15" customHeight="1" x14ac:dyDescent="0.3">
      <c r="B151" s="376" t="s">
        <v>269</v>
      </c>
      <c r="C151" s="371" t="s">
        <v>268</v>
      </c>
      <c r="D151" s="340" t="s">
        <v>64</v>
      </c>
      <c r="E151" s="314" t="s">
        <v>67</v>
      </c>
      <c r="F151" s="309">
        <v>167</v>
      </c>
      <c r="G151" s="309">
        <v>167</v>
      </c>
      <c r="H151" s="383">
        <v>0.28890000000000005</v>
      </c>
      <c r="I151" s="383">
        <v>9.0999999999999998E-2</v>
      </c>
      <c r="J151" s="383" t="s">
        <v>145</v>
      </c>
      <c r="K151" s="383" t="s">
        <v>145</v>
      </c>
      <c r="L151" s="383">
        <v>0.29479591836734698</v>
      </c>
      <c r="M151" s="383">
        <v>9.2857142857142874E-2</v>
      </c>
      <c r="N151" s="383">
        <v>0.21618367346938777</v>
      </c>
      <c r="O151" s="383">
        <v>6.8095238095238098E-2</v>
      </c>
      <c r="P151" s="383">
        <v>0.13487922840369029</v>
      </c>
      <c r="Q151" s="383">
        <v>4.2485322896281812E-2</v>
      </c>
      <c r="R151" s="383">
        <v>3.3892729188619609E-2</v>
      </c>
      <c r="S151" s="383">
        <v>8.2737442922374439E-3</v>
      </c>
      <c r="T151" s="343">
        <v>44</v>
      </c>
      <c r="U151" s="354">
        <v>0</v>
      </c>
      <c r="V151" s="332"/>
    </row>
    <row r="152" spans="2:22" ht="13.5" thickBot="1" x14ac:dyDescent="0.35">
      <c r="B152" s="377" t="s">
        <v>269</v>
      </c>
      <c r="C152" s="370" t="s">
        <v>268</v>
      </c>
      <c r="D152" s="329" t="s">
        <v>68</v>
      </c>
      <c r="E152" s="351" t="s">
        <v>67</v>
      </c>
      <c r="F152" s="322">
        <v>167</v>
      </c>
      <c r="G152" s="322">
        <v>167</v>
      </c>
      <c r="H152" s="385">
        <f>I151</f>
        <v>9.0999999999999998E-2</v>
      </c>
      <c r="I152" s="385">
        <f>I151</f>
        <v>9.0999999999999998E-2</v>
      </c>
      <c r="J152" s="385" t="s">
        <v>145</v>
      </c>
      <c r="K152" s="385" t="s">
        <v>145</v>
      </c>
      <c r="L152" s="385">
        <v>9.2857142857142874E-2</v>
      </c>
      <c r="M152" s="385">
        <v>9.2857142857142874E-2</v>
      </c>
      <c r="N152" s="385">
        <v>6.8095238095238098E-2</v>
      </c>
      <c r="O152" s="385">
        <v>6.8095238095238098E-2</v>
      </c>
      <c r="P152" s="385">
        <v>4.2485322896281798E-2</v>
      </c>
      <c r="Q152" s="385">
        <v>4.2485322896281812E-2</v>
      </c>
      <c r="R152" s="385">
        <v>1.0675799086757991E-2</v>
      </c>
      <c r="S152" s="385">
        <v>8.2737442922374439E-3</v>
      </c>
      <c r="T152" s="323">
        <v>0</v>
      </c>
      <c r="U152" s="325">
        <v>0</v>
      </c>
      <c r="V152" s="344"/>
    </row>
    <row r="153" spans="2:22" x14ac:dyDescent="0.3">
      <c r="B153" s="376" t="s">
        <v>270</v>
      </c>
      <c r="C153" s="371" t="s">
        <v>400</v>
      </c>
      <c r="D153" s="321" t="s">
        <v>64</v>
      </c>
      <c r="E153" s="321" t="s">
        <v>65</v>
      </c>
      <c r="F153" s="316">
        <v>250</v>
      </c>
      <c r="G153" s="316">
        <v>174</v>
      </c>
      <c r="H153" s="384">
        <v>0.23499999999999999</v>
      </c>
      <c r="I153" s="384">
        <v>2.5000000000000001E-2</v>
      </c>
      <c r="J153" s="384" t="s">
        <v>145</v>
      </c>
      <c r="K153" s="384" t="s">
        <v>145</v>
      </c>
      <c r="L153" s="384">
        <v>0.15986394557823128</v>
      </c>
      <c r="M153" s="384">
        <v>1.7006802721088437E-2</v>
      </c>
      <c r="N153" s="384">
        <v>0.11723356009070295</v>
      </c>
      <c r="O153" s="384">
        <v>1.2471655328798186E-2</v>
      </c>
      <c r="P153" s="384">
        <v>0.11387568726120585</v>
      </c>
      <c r="Q153" s="384">
        <v>1.2114434815021899E-2</v>
      </c>
      <c r="R153" s="384">
        <v>2.8614916286149164E-2</v>
      </c>
      <c r="S153" s="384">
        <v>2.3592085235920853E-3</v>
      </c>
      <c r="T153" s="355">
        <v>215</v>
      </c>
      <c r="U153" s="311">
        <v>0</v>
      </c>
      <c r="V153" s="313" t="s">
        <v>495</v>
      </c>
    </row>
    <row r="154" spans="2:22" x14ac:dyDescent="0.3">
      <c r="B154" s="376" t="s">
        <v>274</v>
      </c>
      <c r="C154" s="371" t="s">
        <v>401</v>
      </c>
      <c r="D154" s="321" t="s">
        <v>64</v>
      </c>
      <c r="E154" s="321" t="s">
        <v>65</v>
      </c>
      <c r="F154" s="315">
        <v>5</v>
      </c>
      <c r="G154" s="315">
        <v>5</v>
      </c>
      <c r="H154" s="383">
        <v>60.03</v>
      </c>
      <c r="I154" s="383">
        <v>60.03</v>
      </c>
      <c r="J154" s="383" t="s">
        <v>145</v>
      </c>
      <c r="K154" s="383" t="s">
        <v>145</v>
      </c>
      <c r="L154" s="383">
        <v>40.836734693877553</v>
      </c>
      <c r="M154" s="383">
        <v>40.836734693877553</v>
      </c>
      <c r="N154" s="383">
        <v>6.8061224489795915</v>
      </c>
      <c r="O154" s="383">
        <v>6.8061224489795915</v>
      </c>
      <c r="P154" s="383">
        <v>0.55940732457366504</v>
      </c>
      <c r="Q154" s="383">
        <v>0.55940732457366504</v>
      </c>
      <c r="R154" s="383">
        <v>0.14056902002107483</v>
      </c>
      <c r="S154" s="383">
        <v>0.10894099051633298</v>
      </c>
      <c r="T154" s="355">
        <v>1</v>
      </c>
      <c r="U154" s="311">
        <v>0</v>
      </c>
      <c r="V154" s="313"/>
    </row>
    <row r="155" spans="2:22" x14ac:dyDescent="0.3">
      <c r="B155" s="376" t="s">
        <v>275</v>
      </c>
      <c r="C155" s="371" t="s">
        <v>400</v>
      </c>
      <c r="D155" s="340" t="s">
        <v>68</v>
      </c>
      <c r="E155" s="340" t="s">
        <v>65</v>
      </c>
      <c r="F155" s="316">
        <v>250</v>
      </c>
      <c r="G155" s="316">
        <v>174</v>
      </c>
      <c r="H155" s="383">
        <v>1.7000000000000001E-2</v>
      </c>
      <c r="I155" s="383">
        <v>8.0000000000000002E-3</v>
      </c>
      <c r="J155" s="383" t="s">
        <v>145</v>
      </c>
      <c r="K155" s="383" t="s">
        <v>145</v>
      </c>
      <c r="L155" s="383">
        <v>0.88435374149659873</v>
      </c>
      <c r="M155" s="383">
        <v>1.1564625850340137E-2</v>
      </c>
      <c r="N155" s="383">
        <v>0.64852607709750565</v>
      </c>
      <c r="O155" s="383">
        <v>8.4807256235827667E-3</v>
      </c>
      <c r="P155" s="383">
        <v>0.62995061038113886</v>
      </c>
      <c r="Q155" s="383">
        <v>8.2378156742148913E-3</v>
      </c>
      <c r="R155" s="383">
        <v>0.15829528158295281</v>
      </c>
      <c r="S155" s="383">
        <v>1.6042617960426182E-3</v>
      </c>
      <c r="T155" s="355">
        <v>39</v>
      </c>
      <c r="U155" s="311">
        <v>0</v>
      </c>
      <c r="V155" s="313"/>
    </row>
    <row r="156" spans="2:22" x14ac:dyDescent="0.3">
      <c r="B156" s="376" t="s">
        <v>276</v>
      </c>
      <c r="C156" s="371" t="s">
        <v>400</v>
      </c>
      <c r="D156" s="321" t="s">
        <v>64</v>
      </c>
      <c r="E156" s="340" t="s">
        <v>67</v>
      </c>
      <c r="F156" s="348">
        <v>167</v>
      </c>
      <c r="G156" s="159">
        <v>167</v>
      </c>
      <c r="H156" s="383">
        <v>0.23499999999999999</v>
      </c>
      <c r="I156" s="383">
        <v>2.5000000000000001E-2</v>
      </c>
      <c r="J156" s="383" t="s">
        <v>145</v>
      </c>
      <c r="K156" s="383" t="s">
        <v>145</v>
      </c>
      <c r="L156" s="383">
        <v>0.23979591836734693</v>
      </c>
      <c r="M156" s="383">
        <v>2.5510204081632657E-2</v>
      </c>
      <c r="N156" s="383">
        <v>0.17585034013605444</v>
      </c>
      <c r="O156" s="383">
        <v>1.8707482993197282E-2</v>
      </c>
      <c r="P156" s="383">
        <v>0.10971484484204641</v>
      </c>
      <c r="Q156" s="383">
        <v>1.1671792004473025E-2</v>
      </c>
      <c r="R156" s="383">
        <v>2.7569371268001405E-2</v>
      </c>
      <c r="S156" s="383">
        <v>2.2730066736916057E-3</v>
      </c>
      <c r="T156" s="355">
        <v>215</v>
      </c>
      <c r="U156" s="311">
        <v>0</v>
      </c>
      <c r="V156" s="313"/>
    </row>
    <row r="157" spans="2:22" x14ac:dyDescent="0.3">
      <c r="B157" s="376" t="s">
        <v>277</v>
      </c>
      <c r="C157" s="371" t="s">
        <v>401</v>
      </c>
      <c r="D157" s="321" t="s">
        <v>64</v>
      </c>
      <c r="E157" s="340" t="s">
        <v>67</v>
      </c>
      <c r="F157" s="315">
        <v>5</v>
      </c>
      <c r="G157" s="315">
        <v>5</v>
      </c>
      <c r="H157" s="383">
        <v>60.03</v>
      </c>
      <c r="I157" s="383">
        <v>60.03</v>
      </c>
      <c r="J157" s="383" t="s">
        <v>145</v>
      </c>
      <c r="K157" s="383" t="s">
        <v>145</v>
      </c>
      <c r="L157" s="383">
        <v>61.255102040816332</v>
      </c>
      <c r="M157" s="383">
        <v>61.255102040816332</v>
      </c>
      <c r="N157" s="383">
        <v>10.209183673469388</v>
      </c>
      <c r="O157" s="383">
        <v>10.209183673469388</v>
      </c>
      <c r="P157" s="383">
        <v>0.83911098686049757</v>
      </c>
      <c r="Q157" s="383">
        <v>0.83911098686049768</v>
      </c>
      <c r="R157" s="383">
        <v>0.21085353003161222</v>
      </c>
      <c r="S157" s="383">
        <v>0.16341148577449949</v>
      </c>
      <c r="T157" s="355">
        <v>1</v>
      </c>
      <c r="U157" s="312">
        <v>0</v>
      </c>
      <c r="V157" s="313"/>
    </row>
    <row r="158" spans="2:22" ht="13.5" thickBot="1" x14ac:dyDescent="0.35">
      <c r="B158" s="377" t="s">
        <v>278</v>
      </c>
      <c r="C158" s="371" t="s">
        <v>400</v>
      </c>
      <c r="D158" s="335" t="s">
        <v>68</v>
      </c>
      <c r="E158" s="335" t="s">
        <v>67</v>
      </c>
      <c r="F158" s="322">
        <v>167</v>
      </c>
      <c r="G158" s="322">
        <v>167</v>
      </c>
      <c r="H158" s="383">
        <v>1.7000000000000001E-2</v>
      </c>
      <c r="I158" s="383">
        <v>8.0000000000000002E-3</v>
      </c>
      <c r="J158" s="385" t="s">
        <v>145</v>
      </c>
      <c r="K158" s="385" t="s">
        <v>145</v>
      </c>
      <c r="L158" s="385">
        <v>1.3265306122448981</v>
      </c>
      <c r="M158" s="385">
        <v>1.7346938775510207E-2</v>
      </c>
      <c r="N158" s="385">
        <v>0.9727891156462587</v>
      </c>
      <c r="O158" s="385">
        <v>1.272108843537415E-2</v>
      </c>
      <c r="P158" s="385">
        <v>0.60693318423259723</v>
      </c>
      <c r="Q158" s="385">
        <v>7.9368185630416567E-3</v>
      </c>
      <c r="R158" s="385">
        <v>0.15251141552511419</v>
      </c>
      <c r="S158" s="385">
        <v>1.5456445381102919E-3</v>
      </c>
      <c r="T158" s="336">
        <v>39</v>
      </c>
      <c r="U158" s="325">
        <v>0</v>
      </c>
      <c r="V158" s="331"/>
    </row>
    <row r="159" spans="2:22" ht="26.15" customHeight="1" x14ac:dyDescent="0.3">
      <c r="B159" s="376">
        <v>8</v>
      </c>
      <c r="C159" s="372" t="s">
        <v>402</v>
      </c>
      <c r="D159" s="326" t="s">
        <v>64</v>
      </c>
      <c r="E159" s="340" t="s">
        <v>65</v>
      </c>
      <c r="F159" s="319">
        <v>250</v>
      </c>
      <c r="G159" s="345">
        <v>250</v>
      </c>
      <c r="H159" s="384">
        <v>9.0402206627276702E-2</v>
      </c>
      <c r="I159" s="384">
        <v>4.5201103313638351E-2</v>
      </c>
      <c r="J159" s="384" t="s">
        <v>145</v>
      </c>
      <c r="K159" s="384" t="s">
        <v>145</v>
      </c>
      <c r="L159" s="384">
        <v>6.1498099746446738E-2</v>
      </c>
      <c r="M159" s="384">
        <v>3.0749049873223369E-2</v>
      </c>
      <c r="N159" s="384">
        <v>4.509860648072761E-2</v>
      </c>
      <c r="O159" s="384">
        <v>2.2549303240363805E-2</v>
      </c>
      <c r="P159" s="384">
        <v>4.3806865572811368E-2</v>
      </c>
      <c r="Q159" s="384">
        <v>2.1903432786405684E-2</v>
      </c>
      <c r="R159" s="384">
        <v>1.1007879041373113E-2</v>
      </c>
      <c r="S159" s="384">
        <v>4.2655531285320809E-3</v>
      </c>
      <c r="T159" s="318">
        <v>43</v>
      </c>
      <c r="U159" s="311">
        <v>0</v>
      </c>
      <c r="V159" s="332" t="s">
        <v>403</v>
      </c>
    </row>
    <row r="160" spans="2:22" ht="13.5" thickBot="1" x14ac:dyDescent="0.35">
      <c r="B160" s="377">
        <v>8</v>
      </c>
      <c r="C160" s="373" t="s">
        <v>402</v>
      </c>
      <c r="D160" s="329" t="s">
        <v>68</v>
      </c>
      <c r="E160" s="329" t="s">
        <v>65</v>
      </c>
      <c r="F160" s="236">
        <v>250</v>
      </c>
      <c r="G160" s="236">
        <v>250</v>
      </c>
      <c r="H160" s="385">
        <f>I159</f>
        <v>4.5201103313638351E-2</v>
      </c>
      <c r="I160" s="385">
        <f>I159</f>
        <v>4.5201103313638351E-2</v>
      </c>
      <c r="J160" s="385" t="s">
        <v>145</v>
      </c>
      <c r="K160" s="385" t="s">
        <v>145</v>
      </c>
      <c r="L160" s="385">
        <v>3.0749049873223369E-2</v>
      </c>
      <c r="M160" s="385">
        <v>3.0749049873223369E-2</v>
      </c>
      <c r="N160" s="385">
        <v>2.2549303240363805E-2</v>
      </c>
      <c r="O160" s="385">
        <v>2.2549303240363805E-2</v>
      </c>
      <c r="P160" s="385">
        <v>2.1903432786405684E-2</v>
      </c>
      <c r="Q160" s="385">
        <v>2.1903432786405684E-2</v>
      </c>
      <c r="R160" s="385">
        <v>5.5039395206865566E-3</v>
      </c>
      <c r="S160" s="385">
        <v>4.2655531285320809E-3</v>
      </c>
      <c r="T160" s="330">
        <v>0</v>
      </c>
      <c r="U160" s="325">
        <v>0</v>
      </c>
      <c r="V160" s="331" t="s">
        <v>368</v>
      </c>
    </row>
    <row r="161" spans="2:22" x14ac:dyDescent="0.3">
      <c r="B161" s="376">
        <v>9</v>
      </c>
      <c r="C161" s="374" t="s">
        <v>283</v>
      </c>
      <c r="D161" s="326" t="s">
        <v>64</v>
      </c>
      <c r="E161" s="340" t="s">
        <v>65</v>
      </c>
      <c r="F161" s="316">
        <v>250</v>
      </c>
      <c r="G161" s="319">
        <v>250</v>
      </c>
      <c r="H161" s="384">
        <v>1.3</v>
      </c>
      <c r="I161" s="384">
        <v>0.23</v>
      </c>
      <c r="J161" s="384" t="s">
        <v>145</v>
      </c>
      <c r="K161" s="384" t="s">
        <v>145</v>
      </c>
      <c r="L161" s="384">
        <v>0.88435374149659873</v>
      </c>
      <c r="M161" s="384">
        <v>0.15646258503401361</v>
      </c>
      <c r="N161" s="384">
        <v>0.64852607709750565</v>
      </c>
      <c r="O161" s="384">
        <v>0.11473922902494332</v>
      </c>
      <c r="P161" s="384">
        <v>0.62995061038113886</v>
      </c>
      <c r="Q161" s="384">
        <v>0.11145280029820148</v>
      </c>
      <c r="R161" s="384">
        <v>0.15829528158295281</v>
      </c>
      <c r="S161" s="384">
        <v>2.1704718417047186E-2</v>
      </c>
      <c r="T161" s="318">
        <v>10</v>
      </c>
      <c r="U161" s="339">
        <v>0</v>
      </c>
      <c r="V161" s="328" t="s">
        <v>496</v>
      </c>
    </row>
    <row r="162" spans="2:22" ht="13.5" thickBot="1" x14ac:dyDescent="0.35">
      <c r="B162" s="377">
        <v>9</v>
      </c>
      <c r="C162" s="374" t="s">
        <v>283</v>
      </c>
      <c r="D162" s="329" t="s">
        <v>68</v>
      </c>
      <c r="E162" s="329" t="s">
        <v>65</v>
      </c>
      <c r="F162" s="236">
        <v>250</v>
      </c>
      <c r="G162" s="236">
        <v>250</v>
      </c>
      <c r="H162" s="385">
        <f>I161</f>
        <v>0.23</v>
      </c>
      <c r="I162" s="385">
        <f>I161</f>
        <v>0.23</v>
      </c>
      <c r="J162" s="385" t="s">
        <v>145</v>
      </c>
      <c r="K162" s="385" t="s">
        <v>145</v>
      </c>
      <c r="L162" s="385">
        <v>0.15646258503401361</v>
      </c>
      <c r="M162" s="385">
        <v>0.15646258503401361</v>
      </c>
      <c r="N162" s="385">
        <v>0.11473922902494332</v>
      </c>
      <c r="O162" s="385">
        <v>0.11473922902494332</v>
      </c>
      <c r="P162" s="385">
        <v>0.11145280029820147</v>
      </c>
      <c r="Q162" s="385">
        <v>0.11145280029820148</v>
      </c>
      <c r="R162" s="385">
        <v>2.8006088280060883E-2</v>
      </c>
      <c r="S162" s="385">
        <v>2.1704718417047186E-2</v>
      </c>
      <c r="T162" s="330">
        <v>0</v>
      </c>
      <c r="U162" s="325">
        <v>0</v>
      </c>
      <c r="V162" s="331" t="s">
        <v>368</v>
      </c>
    </row>
    <row r="163" spans="2:22" ht="13.5" customHeight="1" x14ac:dyDescent="0.3">
      <c r="B163" s="376">
        <v>10</v>
      </c>
      <c r="C163" s="369" t="s">
        <v>284</v>
      </c>
      <c r="D163" s="326" t="s">
        <v>64</v>
      </c>
      <c r="E163" s="340" t="s">
        <v>65</v>
      </c>
      <c r="F163" s="316">
        <v>250</v>
      </c>
      <c r="G163" s="319">
        <v>250</v>
      </c>
      <c r="H163" s="384">
        <v>1.3</v>
      </c>
      <c r="I163" s="384">
        <v>0.23</v>
      </c>
      <c r="J163" s="384" t="s">
        <v>145</v>
      </c>
      <c r="K163" s="384" t="s">
        <v>145</v>
      </c>
      <c r="L163" s="384">
        <v>0.88435374149659873</v>
      </c>
      <c r="M163" s="384">
        <v>0.15646258503401361</v>
      </c>
      <c r="N163" s="384">
        <v>0.64852607709750565</v>
      </c>
      <c r="O163" s="384">
        <v>0.11473922902494332</v>
      </c>
      <c r="P163" s="384">
        <v>0.62995061038113886</v>
      </c>
      <c r="Q163" s="384">
        <v>0.11145280029820148</v>
      </c>
      <c r="R163" s="384">
        <v>0.15829528158295281</v>
      </c>
      <c r="S163" s="384">
        <v>2.1704718417047186E-2</v>
      </c>
      <c r="T163" s="318">
        <v>10</v>
      </c>
      <c r="U163" s="339">
        <v>0</v>
      </c>
      <c r="V163" s="328" t="s">
        <v>496</v>
      </c>
    </row>
    <row r="164" spans="2:22" ht="13.5" thickBot="1" x14ac:dyDescent="0.35">
      <c r="B164" s="377">
        <v>10</v>
      </c>
      <c r="C164" s="370" t="s">
        <v>284</v>
      </c>
      <c r="D164" s="329" t="s">
        <v>68</v>
      </c>
      <c r="E164" s="329" t="s">
        <v>65</v>
      </c>
      <c r="F164" s="236">
        <v>250</v>
      </c>
      <c r="G164" s="236">
        <v>250</v>
      </c>
      <c r="H164" s="385">
        <f>I163</f>
        <v>0.23</v>
      </c>
      <c r="I164" s="385">
        <f>I163</f>
        <v>0.23</v>
      </c>
      <c r="J164" s="385" t="s">
        <v>145</v>
      </c>
      <c r="K164" s="385" t="s">
        <v>145</v>
      </c>
      <c r="L164" s="385">
        <v>0.15646258503401361</v>
      </c>
      <c r="M164" s="385">
        <v>0.15646258503401361</v>
      </c>
      <c r="N164" s="385">
        <v>0.11473922902494332</v>
      </c>
      <c r="O164" s="385">
        <v>0.11473922902494332</v>
      </c>
      <c r="P164" s="385">
        <v>0.11145280029820147</v>
      </c>
      <c r="Q164" s="385">
        <v>0.11145280029820148</v>
      </c>
      <c r="R164" s="385">
        <v>2.8006088280060883E-2</v>
      </c>
      <c r="S164" s="385">
        <v>2.1704718417047186E-2</v>
      </c>
      <c r="T164" s="330">
        <v>0</v>
      </c>
      <c r="U164" s="325">
        <v>0</v>
      </c>
      <c r="V164" s="331" t="s">
        <v>368</v>
      </c>
    </row>
  </sheetData>
  <sheetProtection sheet="1" objects="1" scenarios="1" formatCells="0" formatColumns="0" formatRows="0"/>
  <mergeCells count="20">
    <mergeCell ref="V2:V4"/>
    <mergeCell ref="H3:I3"/>
    <mergeCell ref="J3:K3"/>
    <mergeCell ref="L3:M3"/>
    <mergeCell ref="N3:O3"/>
    <mergeCell ref="P3:Q3"/>
    <mergeCell ref="R3:S3"/>
    <mergeCell ref="L2:M2"/>
    <mergeCell ref="N2:O2"/>
    <mergeCell ref="P2:Q2"/>
    <mergeCell ref="R2:S2"/>
    <mergeCell ref="T2:T4"/>
    <mergeCell ref="U2:U4"/>
    <mergeCell ref="J2:K2"/>
    <mergeCell ref="B2:B4"/>
    <mergeCell ref="C2:C4"/>
    <mergeCell ref="D2:D4"/>
    <mergeCell ref="F2:G3"/>
    <mergeCell ref="H2:I2"/>
    <mergeCell ref="E2:E4"/>
  </mergeCells>
  <conditionalFormatting sqref="H5:I27">
    <cfRule type="cellIs" dxfId="23" priority="97" operator="lessThan">
      <formula>0.1</formula>
    </cfRule>
    <cfRule type="cellIs" dxfId="22" priority="98" operator="between">
      <formula>0.1</formula>
      <formula>0.999</formula>
    </cfRule>
    <cfRule type="cellIs" dxfId="21" priority="99" operator="between">
      <formula>1</formula>
      <formula>9.999</formula>
    </cfRule>
    <cfRule type="cellIs" dxfId="20" priority="100" operator="between">
      <formula>10</formula>
      <formula>9999.999</formula>
    </cfRule>
    <cfRule type="expression" dxfId="19" priority="101">
      <formula>"&gt;=10000"</formula>
    </cfRule>
    <cfRule type="cellIs" dxfId="18" priority="102" operator="lessThan">
      <formula>0.01</formula>
    </cfRule>
    <cfRule type="cellIs" dxfId="17" priority="103" operator="between">
      <formula>0.01</formula>
      <formula>1</formula>
    </cfRule>
    <cfRule type="cellIs" dxfId="16" priority="104" operator="greaterThanOrEqual">
      <formula>1</formula>
    </cfRule>
  </conditionalFormatting>
  <conditionalFormatting sqref="H28:S164">
    <cfRule type="cellIs" dxfId="15" priority="1" operator="lessThan">
      <formula>0.1</formula>
    </cfRule>
    <cfRule type="cellIs" dxfId="14" priority="2" operator="between">
      <formula>0.1</formula>
      <formula>0.999</formula>
    </cfRule>
    <cfRule type="cellIs" dxfId="13" priority="3" operator="between">
      <formula>1</formula>
      <formula>9.999</formula>
    </cfRule>
    <cfRule type="cellIs" dxfId="12" priority="4" operator="between">
      <formula>10</formula>
      <formula>9999.999</formula>
    </cfRule>
    <cfRule type="expression" dxfId="11" priority="5">
      <formula>"&gt;=10000"</formula>
    </cfRule>
    <cfRule type="cellIs" dxfId="10" priority="6" operator="lessThan">
      <formula>0.01</formula>
    </cfRule>
    <cfRule type="cellIs" dxfId="9" priority="7" operator="between">
      <formula>0.01</formula>
      <formula>1</formula>
    </cfRule>
    <cfRule type="cellIs" dxfId="8" priority="8" operator="greaterThanOrEqual">
      <formula>1</formula>
    </cfRule>
  </conditionalFormatting>
  <conditionalFormatting sqref="L5:S27">
    <cfRule type="cellIs" dxfId="7" priority="33" operator="lessThan">
      <formula>0.1</formula>
    </cfRule>
    <cfRule type="cellIs" dxfId="6" priority="34" operator="between">
      <formula>0.1</formula>
      <formula>0.999</formula>
    </cfRule>
    <cfRule type="cellIs" dxfId="5" priority="35" operator="between">
      <formula>1</formula>
      <formula>9.999</formula>
    </cfRule>
    <cfRule type="cellIs" dxfId="4" priority="36" operator="between">
      <formula>10</formula>
      <formula>9999.999</formula>
    </cfRule>
    <cfRule type="expression" dxfId="3" priority="37">
      <formula>"&gt;=10000"</formula>
    </cfRule>
    <cfRule type="cellIs" dxfId="2" priority="38" operator="lessThan">
      <formula>0.01</formula>
    </cfRule>
    <cfRule type="cellIs" dxfId="1" priority="39" operator="between">
      <formula>0.01</formula>
      <formula>1</formula>
    </cfRule>
    <cfRule type="cellIs" dxfId="0" priority="40" operator="greaterThanOrEqual">
      <formula>1</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E2DC-4EE0-4CF0-B381-0DF510B873A9}">
  <sheetPr>
    <tabColor theme="1"/>
  </sheetPr>
  <dimension ref="A1:M57"/>
  <sheetViews>
    <sheetView workbookViewId="0">
      <selection activeCell="B1" sqref="B1"/>
    </sheetView>
  </sheetViews>
  <sheetFormatPr defaultRowHeight="14.5" x14ac:dyDescent="0.35"/>
  <cols>
    <col min="2" max="2" width="77.7265625" customWidth="1"/>
    <col min="5" max="5" width="36.1796875" customWidth="1"/>
    <col min="8" max="8" width="37.1796875" customWidth="1"/>
    <col min="9" max="9" width="11.26953125" customWidth="1"/>
    <col min="10" max="10" width="11" bestFit="1" customWidth="1"/>
    <col min="12" max="12" width="48.26953125" customWidth="1"/>
  </cols>
  <sheetData>
    <row r="1" spans="1:13" x14ac:dyDescent="0.35">
      <c r="B1" s="357" t="s">
        <v>404</v>
      </c>
      <c r="E1" s="64" t="s">
        <v>405</v>
      </c>
      <c r="H1" s="64" t="s">
        <v>14</v>
      </c>
    </row>
    <row r="2" spans="1:13" x14ac:dyDescent="0.35">
      <c r="A2" s="29"/>
      <c r="B2" s="114" t="s">
        <v>350</v>
      </c>
      <c r="E2" s="67" t="s">
        <v>406</v>
      </c>
      <c r="H2" s="65" t="s">
        <v>64</v>
      </c>
    </row>
    <row r="3" spans="1:13" ht="15" thickBot="1" x14ac:dyDescent="0.4">
      <c r="A3" s="29"/>
      <c r="B3" s="114" t="s">
        <v>352</v>
      </c>
      <c r="E3" s="68" t="s">
        <v>407</v>
      </c>
      <c r="H3" s="66" t="s">
        <v>68</v>
      </c>
    </row>
    <row r="4" spans="1:13" x14ac:dyDescent="0.35">
      <c r="A4" s="29"/>
      <c r="B4" s="114" t="s">
        <v>353</v>
      </c>
    </row>
    <row r="5" spans="1:13" ht="15" thickBot="1" x14ac:dyDescent="0.4">
      <c r="A5" s="29"/>
      <c r="B5" s="114" t="s">
        <v>354</v>
      </c>
      <c r="H5" s="30"/>
    </row>
    <row r="6" spans="1:13" x14ac:dyDescent="0.35">
      <c r="A6" s="29"/>
      <c r="B6" s="114" t="s">
        <v>355</v>
      </c>
      <c r="E6" s="62" t="s">
        <v>408</v>
      </c>
      <c r="H6" s="115" t="s">
        <v>409</v>
      </c>
      <c r="I6" s="115"/>
      <c r="J6" s="115"/>
      <c r="K6" s="115"/>
    </row>
    <row r="7" spans="1:13" ht="15" thickBot="1" x14ac:dyDescent="0.4">
      <c r="A7" s="29"/>
      <c r="B7" s="114" t="s">
        <v>356</v>
      </c>
      <c r="E7" s="63" t="s">
        <v>410</v>
      </c>
      <c r="H7" s="115"/>
      <c r="I7" s="115"/>
      <c r="J7" s="115"/>
      <c r="K7" s="115"/>
    </row>
    <row r="8" spans="1:13" ht="15" thickBot="1" x14ac:dyDescent="0.4">
      <c r="A8" s="29"/>
      <c r="B8" s="114" t="s">
        <v>357</v>
      </c>
      <c r="E8" s="113"/>
      <c r="H8" s="230" t="s">
        <v>411</v>
      </c>
      <c r="I8" s="231">
        <v>54.09</v>
      </c>
      <c r="J8" s="230" t="s">
        <v>333</v>
      </c>
      <c r="K8" s="115"/>
    </row>
    <row r="9" spans="1:13" ht="15" thickBot="1" x14ac:dyDescent="0.4">
      <c r="B9" s="114" t="s">
        <v>358</v>
      </c>
      <c r="E9" s="358"/>
      <c r="H9" s="116" t="s">
        <v>334</v>
      </c>
      <c r="I9" s="117">
        <v>24.45</v>
      </c>
      <c r="J9" s="116" t="s">
        <v>335</v>
      </c>
      <c r="K9" s="115"/>
    </row>
    <row r="10" spans="1:13" x14ac:dyDescent="0.35">
      <c r="B10" s="114" t="s">
        <v>359</v>
      </c>
      <c r="E10" s="359"/>
      <c r="H10" s="115"/>
      <c r="I10" s="115"/>
      <c r="J10" s="115"/>
      <c r="K10" s="115"/>
      <c r="L10" s="18"/>
    </row>
    <row r="11" spans="1:13" ht="15" thickBot="1" x14ac:dyDescent="0.4">
      <c r="B11" s="114" t="s">
        <v>360</v>
      </c>
      <c r="H11" s="121" t="s">
        <v>412</v>
      </c>
      <c r="I11" s="122">
        <v>1</v>
      </c>
      <c r="J11" s="121" t="s">
        <v>413</v>
      </c>
      <c r="K11" s="115"/>
    </row>
    <row r="12" spans="1:13" ht="15" thickBot="1" x14ac:dyDescent="0.4">
      <c r="B12" s="114" t="s">
        <v>361</v>
      </c>
      <c r="E12" s="64" t="s">
        <v>414</v>
      </c>
      <c r="H12" s="116"/>
      <c r="I12" s="293">
        <f>I11/I9*MW</f>
        <v>2.2122699386503069</v>
      </c>
      <c r="J12" s="116" t="s">
        <v>415</v>
      </c>
      <c r="K12" s="115"/>
    </row>
    <row r="13" spans="1:13" ht="15" thickBot="1" x14ac:dyDescent="0.4">
      <c r="B13" s="114" t="s">
        <v>362</v>
      </c>
      <c r="E13" s="65">
        <v>0.5</v>
      </c>
      <c r="H13" s="151"/>
      <c r="I13" s="152"/>
      <c r="J13" s="151"/>
      <c r="K13" s="115"/>
      <c r="M13" s="30"/>
    </row>
    <row r="14" spans="1:13" ht="15" thickBot="1" x14ac:dyDescent="0.4">
      <c r="B14" s="114" t="s">
        <v>363</v>
      </c>
      <c r="E14" s="66">
        <v>0.95</v>
      </c>
      <c r="H14" s="155" t="s">
        <v>416</v>
      </c>
      <c r="I14" s="156"/>
      <c r="J14" s="157"/>
      <c r="K14" s="115"/>
    </row>
    <row r="15" spans="1:13" ht="15" thickBot="1" x14ac:dyDescent="0.4">
      <c r="B15" s="114" t="s">
        <v>364</v>
      </c>
      <c r="H15" s="153" t="s">
        <v>417</v>
      </c>
      <c r="I15" s="158">
        <v>1000</v>
      </c>
      <c r="J15" s="154" t="s">
        <v>418</v>
      </c>
      <c r="K15" s="115"/>
    </row>
    <row r="16" spans="1:13" ht="15" thickBot="1" x14ac:dyDescent="0.4">
      <c r="B16" s="114" t="s">
        <v>365</v>
      </c>
      <c r="E16" s="61" t="s">
        <v>419</v>
      </c>
      <c r="H16" s="115"/>
      <c r="I16" s="115"/>
      <c r="J16" s="115"/>
      <c r="K16" s="115"/>
    </row>
    <row r="17" spans="2:12" ht="16" thickBot="1" x14ac:dyDescent="0.4">
      <c r="B17" s="114" t="s">
        <v>366</v>
      </c>
      <c r="E17" s="67">
        <v>10</v>
      </c>
      <c r="H17" s="118" t="s">
        <v>420</v>
      </c>
      <c r="I17" s="119" t="s">
        <v>421</v>
      </c>
      <c r="J17" s="119" t="s">
        <v>422</v>
      </c>
      <c r="K17" s="119" t="s">
        <v>423</v>
      </c>
    </row>
    <row r="18" spans="2:12" ht="15.5" thickTop="1" thickBot="1" x14ac:dyDescent="0.4">
      <c r="B18" s="333" t="s">
        <v>367</v>
      </c>
      <c r="E18" s="67">
        <v>25</v>
      </c>
      <c r="H18" s="116" t="s">
        <v>424</v>
      </c>
      <c r="I18" s="117" t="s">
        <v>425</v>
      </c>
      <c r="J18" s="117">
        <v>8</v>
      </c>
      <c r="K18" s="120" t="s">
        <v>426</v>
      </c>
    </row>
    <row r="19" spans="2:12" ht="15" thickBot="1" x14ac:dyDescent="0.4">
      <c r="B19" s="114" t="s">
        <v>369</v>
      </c>
      <c r="E19" s="67">
        <v>50</v>
      </c>
      <c r="H19" s="116" t="s">
        <v>427</v>
      </c>
      <c r="I19" s="117" t="s">
        <v>428</v>
      </c>
      <c r="J19" s="117">
        <v>12</v>
      </c>
      <c r="K19" s="120" t="s">
        <v>426</v>
      </c>
    </row>
    <row r="20" spans="2:12" ht="15" thickBot="1" x14ac:dyDescent="0.4">
      <c r="B20" s="114" t="s">
        <v>370</v>
      </c>
      <c r="E20" s="67">
        <v>1000</v>
      </c>
      <c r="H20" s="116" t="s">
        <v>429</v>
      </c>
      <c r="I20" s="117" t="s">
        <v>430</v>
      </c>
      <c r="J20" s="117">
        <v>24</v>
      </c>
      <c r="K20" s="120" t="s">
        <v>426</v>
      </c>
    </row>
    <row r="21" spans="2:12" ht="15" thickBot="1" x14ac:dyDescent="0.4">
      <c r="B21" s="114" t="s">
        <v>371</v>
      </c>
      <c r="E21" s="68">
        <v>10000</v>
      </c>
      <c r="H21" s="116" t="s">
        <v>431</v>
      </c>
      <c r="I21" s="117" t="s">
        <v>432</v>
      </c>
      <c r="J21" s="117">
        <v>260</v>
      </c>
      <c r="K21" s="120" t="s">
        <v>433</v>
      </c>
    </row>
    <row r="22" spans="2:12" ht="15" thickBot="1" x14ac:dyDescent="0.4">
      <c r="B22" s="114" t="s">
        <v>372</v>
      </c>
      <c r="H22" s="401" t="s">
        <v>434</v>
      </c>
      <c r="I22" s="409" t="s">
        <v>435</v>
      </c>
      <c r="J22" s="404">
        <v>167</v>
      </c>
      <c r="K22" s="408" t="s">
        <v>436</v>
      </c>
    </row>
    <row r="23" spans="2:12" ht="15" thickBot="1" x14ac:dyDescent="0.4">
      <c r="B23" s="114" t="s">
        <v>373</v>
      </c>
      <c r="E23" s="150"/>
      <c r="H23" s="402" t="s">
        <v>437</v>
      </c>
      <c r="I23" s="410" t="s">
        <v>438</v>
      </c>
      <c r="J23" s="405">
        <v>5</v>
      </c>
      <c r="K23" s="407" t="s">
        <v>436</v>
      </c>
      <c r="L23" s="18"/>
    </row>
    <row r="24" spans="2:12" ht="15" thickBot="1" x14ac:dyDescent="0.4">
      <c r="B24" s="114" t="s">
        <v>374</v>
      </c>
      <c r="H24" s="403" t="s">
        <v>439</v>
      </c>
      <c r="I24" s="411" t="s">
        <v>440</v>
      </c>
      <c r="J24" s="406">
        <v>14</v>
      </c>
      <c r="K24" s="408" t="s">
        <v>436</v>
      </c>
      <c r="L24" s="18"/>
    </row>
    <row r="25" spans="2:12" ht="15" thickBot="1" x14ac:dyDescent="0.4">
      <c r="B25" s="114" t="s">
        <v>375</v>
      </c>
      <c r="H25" s="116" t="s">
        <v>441</v>
      </c>
      <c r="I25" s="117" t="s">
        <v>442</v>
      </c>
      <c r="J25" s="294">
        <v>365</v>
      </c>
      <c r="K25" s="120" t="s">
        <v>433</v>
      </c>
    </row>
    <row r="26" spans="2:12" ht="15" thickBot="1" x14ac:dyDescent="0.4">
      <c r="B26" s="114" t="s">
        <v>376</v>
      </c>
      <c r="H26" s="116" t="s">
        <v>443</v>
      </c>
      <c r="I26" s="117" t="s">
        <v>444</v>
      </c>
      <c r="J26" s="117">
        <v>31</v>
      </c>
      <c r="K26" s="120" t="s">
        <v>445</v>
      </c>
    </row>
    <row r="27" spans="2:12" ht="15" thickBot="1" x14ac:dyDescent="0.4">
      <c r="B27" s="114" t="s">
        <v>377</v>
      </c>
      <c r="H27" s="116" t="s">
        <v>446</v>
      </c>
      <c r="I27" s="117" t="s">
        <v>447</v>
      </c>
      <c r="J27" s="117">
        <v>40</v>
      </c>
      <c r="K27" s="120" t="s">
        <v>445</v>
      </c>
    </row>
    <row r="28" spans="2:12" ht="15" thickBot="1" x14ac:dyDescent="0.4">
      <c r="B28" s="114" t="s">
        <v>378</v>
      </c>
      <c r="H28" s="116" t="s">
        <v>448</v>
      </c>
      <c r="I28" s="117" t="s">
        <v>449</v>
      </c>
      <c r="J28" s="117">
        <v>78</v>
      </c>
      <c r="K28" s="120" t="s">
        <v>445</v>
      </c>
    </row>
    <row r="29" spans="2:12" ht="26.5" thickBot="1" x14ac:dyDescent="0.4">
      <c r="B29" s="114" t="s">
        <v>379</v>
      </c>
      <c r="H29" s="116" t="s">
        <v>450</v>
      </c>
      <c r="I29" s="117" t="s">
        <v>451</v>
      </c>
      <c r="J29" s="227">
        <f>WY_mid*EF_C*ED_24</f>
        <v>271560</v>
      </c>
      <c r="K29" s="120" t="s">
        <v>452</v>
      </c>
    </row>
    <row r="30" spans="2:12" ht="26.5" thickBot="1" x14ac:dyDescent="0.4">
      <c r="B30" s="114" t="s">
        <v>380</v>
      </c>
      <c r="H30" s="116" t="s">
        <v>453</v>
      </c>
      <c r="I30" s="117" t="s">
        <v>454</v>
      </c>
      <c r="J30" s="227">
        <f>WY_high*EF_C*ED_24</f>
        <v>350400</v>
      </c>
      <c r="K30" s="120" t="s">
        <v>452</v>
      </c>
    </row>
    <row r="31" spans="2:12" ht="15" thickBot="1" x14ac:dyDescent="0.4">
      <c r="B31" s="114" t="s">
        <v>381</v>
      </c>
      <c r="H31" s="116" t="s">
        <v>455</v>
      </c>
      <c r="I31" s="117" t="s">
        <v>456</v>
      </c>
      <c r="J31" s="227">
        <f>LT*EF_C*ED_24</f>
        <v>683280</v>
      </c>
      <c r="K31" s="120" t="s">
        <v>452</v>
      </c>
    </row>
    <row r="32" spans="2:12" ht="35.25" customHeight="1" thickBot="1" x14ac:dyDescent="0.4">
      <c r="B32" s="114" t="s">
        <v>382</v>
      </c>
      <c r="H32" s="116" t="s">
        <v>457</v>
      </c>
      <c r="I32" s="117" t="s">
        <v>458</v>
      </c>
      <c r="J32" s="228">
        <f>EF_C*WY_mid</f>
        <v>11315</v>
      </c>
      <c r="K32" s="120" t="s">
        <v>459</v>
      </c>
    </row>
    <row r="33" spans="2:11" ht="25.5" customHeight="1" thickBot="1" x14ac:dyDescent="0.4">
      <c r="B33" s="114" t="s">
        <v>383</v>
      </c>
      <c r="H33" s="116" t="s">
        <v>460</v>
      </c>
      <c r="I33" s="117" t="s">
        <v>461</v>
      </c>
      <c r="J33" s="228">
        <f>EF_C*WY_high</f>
        <v>14600</v>
      </c>
      <c r="K33" s="120" t="s">
        <v>459</v>
      </c>
    </row>
    <row r="34" spans="2:11" ht="15" thickBot="1" x14ac:dyDescent="0.4">
      <c r="B34" s="114" t="s">
        <v>384</v>
      </c>
      <c r="H34" s="116" t="s">
        <v>462</v>
      </c>
      <c r="I34" s="117" t="s">
        <v>463</v>
      </c>
      <c r="J34" s="229">
        <f>EF_C*LT</f>
        <v>28470</v>
      </c>
      <c r="K34" s="120" t="s">
        <v>459</v>
      </c>
    </row>
    <row r="35" spans="2:11" ht="26.5" thickBot="1" x14ac:dyDescent="0.4">
      <c r="B35" s="114" t="s">
        <v>385</v>
      </c>
      <c r="H35" s="116" t="s">
        <v>464</v>
      </c>
      <c r="I35" s="117" t="s">
        <v>465</v>
      </c>
      <c r="J35" s="229">
        <f>1.25/0.6125</f>
        <v>2.0408163265306123</v>
      </c>
      <c r="K35" s="120"/>
    </row>
    <row r="36" spans="2:11" ht="26.5" thickBot="1" x14ac:dyDescent="0.4">
      <c r="B36" s="114" t="s">
        <v>386</v>
      </c>
      <c r="H36" s="116" t="s">
        <v>466</v>
      </c>
      <c r="I36" s="117" t="s">
        <v>467</v>
      </c>
      <c r="J36" s="227">
        <f>30*ED_24</f>
        <v>720</v>
      </c>
      <c r="K36" s="120" t="s">
        <v>452</v>
      </c>
    </row>
    <row r="37" spans="2:11" ht="15" thickBot="1" x14ac:dyDescent="0.4">
      <c r="B37" s="114" t="s">
        <v>387</v>
      </c>
      <c r="H37" s="116" t="s">
        <v>468</v>
      </c>
      <c r="I37" s="117" t="s">
        <v>469</v>
      </c>
      <c r="J37" s="227">
        <v>22</v>
      </c>
      <c r="K37" s="120" t="s">
        <v>433</v>
      </c>
    </row>
    <row r="38" spans="2:11" ht="26.5" thickBot="1" x14ac:dyDescent="0.4">
      <c r="B38" s="114" t="s">
        <v>388</v>
      </c>
      <c r="H38" s="116" t="s">
        <v>470</v>
      </c>
      <c r="I38" s="117" t="s">
        <v>471</v>
      </c>
      <c r="J38" s="228">
        <f>30</f>
        <v>30</v>
      </c>
      <c r="K38" s="120" t="s">
        <v>459</v>
      </c>
    </row>
    <row r="39" spans="2:11" ht="15" thickBot="1" x14ac:dyDescent="0.4">
      <c r="B39" s="114" t="s">
        <v>45</v>
      </c>
      <c r="H39" s="116" t="s">
        <v>472</v>
      </c>
      <c r="I39" s="117" t="s">
        <v>473</v>
      </c>
      <c r="J39" s="117">
        <v>24</v>
      </c>
      <c r="K39" s="120" t="s">
        <v>426</v>
      </c>
    </row>
    <row r="40" spans="2:11" x14ac:dyDescent="0.35">
      <c r="B40" s="114" t="s">
        <v>389</v>
      </c>
    </row>
    <row r="41" spans="2:11" x14ac:dyDescent="0.35">
      <c r="B41" s="114" t="s">
        <v>390</v>
      </c>
    </row>
    <row r="42" spans="2:11" x14ac:dyDescent="0.35">
      <c r="B42" s="114" t="s">
        <v>391</v>
      </c>
    </row>
    <row r="43" spans="2:11" x14ac:dyDescent="0.35">
      <c r="B43" s="114" t="s">
        <v>392</v>
      </c>
    </row>
    <row r="44" spans="2:11" x14ac:dyDescent="0.35">
      <c r="B44" s="114" t="s">
        <v>393</v>
      </c>
    </row>
    <row r="45" spans="2:11" x14ac:dyDescent="0.35">
      <c r="B45" s="114" t="s">
        <v>394</v>
      </c>
    </row>
    <row r="46" spans="2:11" x14ac:dyDescent="0.35">
      <c r="B46" s="114" t="s">
        <v>395</v>
      </c>
    </row>
    <row r="47" spans="2:11" x14ac:dyDescent="0.35">
      <c r="B47" s="114" t="s">
        <v>396</v>
      </c>
    </row>
    <row r="48" spans="2:11" x14ac:dyDescent="0.35">
      <c r="B48" s="114" t="s">
        <v>397</v>
      </c>
    </row>
    <row r="49" spans="2:2" x14ac:dyDescent="0.35">
      <c r="B49" s="114" t="s">
        <v>398</v>
      </c>
    </row>
    <row r="50" spans="2:2" x14ac:dyDescent="0.35">
      <c r="B50" s="114" t="s">
        <v>399</v>
      </c>
    </row>
    <row r="51" spans="2:2" x14ac:dyDescent="0.35">
      <c r="B51" s="333" t="s">
        <v>263</v>
      </c>
    </row>
    <row r="52" spans="2:2" x14ac:dyDescent="0.35">
      <c r="B52" s="333" t="s">
        <v>268</v>
      </c>
    </row>
    <row r="53" spans="2:2" x14ac:dyDescent="0.35">
      <c r="B53" s="333" t="s">
        <v>400</v>
      </c>
    </row>
    <row r="54" spans="2:2" x14ac:dyDescent="0.35">
      <c r="B54" s="333" t="s">
        <v>401</v>
      </c>
    </row>
    <row r="55" spans="2:2" x14ac:dyDescent="0.35">
      <c r="B55" s="314" t="s">
        <v>402</v>
      </c>
    </row>
    <row r="56" spans="2:2" x14ac:dyDescent="0.35">
      <c r="B56" s="314" t="s">
        <v>283</v>
      </c>
    </row>
    <row r="57" spans="2:2" x14ac:dyDescent="0.35">
      <c r="B57" s="333" t="s">
        <v>284</v>
      </c>
    </row>
  </sheetData>
  <sheetProtection sheet="1" objects="1" scenarios="1" formatCells="0" formatColumns="0" formatRow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Value>1716</Value>
      <Value>1699</Value>
      <Value>1198</Value>
      <Value>1191</Value>
      <Value>1701</Value>
      <Value>1700</Value>
    </TaxCatchAll>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Occupational Risk</TermName>
          <TermId xmlns="http://schemas.microsoft.com/office/infopath/2007/PartnerControls">79b9a469-6802-4c39-813e-0e54b0926316</TermId>
        </TermInfo>
        <TermInfo xmlns="http://schemas.microsoft.com/office/infopath/2007/PartnerControls">
          <TermName xmlns="http://schemas.microsoft.com/office/infopath/2007/PartnerControls">13Butadiene</TermName>
          <TermId xmlns="http://schemas.microsoft.com/office/infopath/2007/PartnerControls">ce55a473-0b60-47f6-ac28-d1b58c4a6051</TermId>
        </TermInfo>
        <TermInfo xmlns="http://schemas.microsoft.com/office/infopath/2007/PartnerControls">
          <TermName xmlns="http://schemas.microsoft.com/office/infopath/2007/PartnerControls">risk calculator</TermName>
          <TermId xmlns="http://schemas.microsoft.com/office/infopath/2007/PartnerControls">8af20125-90c4-4af3-92eb-7f5682895c4d</TermId>
        </TermInfo>
        <TermInfo xmlns="http://schemas.microsoft.com/office/infopath/2007/PartnerControls">
          <TermName xmlns="http://schemas.microsoft.com/office/infopath/2007/PartnerControls">occupational exposure</TermName>
          <TermId xmlns="http://schemas.microsoft.com/office/infopath/2007/PartnerControls">dc86747e-746f-435b-be39-b7773de656d7</TermId>
        </TermInfo>
        <TermInfo xmlns="http://schemas.microsoft.com/office/infopath/2007/PartnerControls">
          <TermName xmlns="http://schemas.microsoft.com/office/infopath/2007/PartnerControls">Draft Risk Evaluation</TermName>
          <TermId xmlns="http://schemas.microsoft.com/office/infopath/2007/PartnerControls">3be8d6cd-3d15-47a6-9501-361194882881</TermId>
        </TermInfo>
        <TermInfo xmlns="http://schemas.microsoft.com/office/infopath/2007/PartnerControls">
          <TermName xmlns="http://schemas.microsoft.com/office/infopath/2007/PartnerControls">CASRN 106-99-0</TermName>
          <TermId xmlns="http://schemas.microsoft.com/office/infopath/2007/PartnerControls">781bd8e3-531a-45ac-b84d-a1ea18e0a36f</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2024-08-08T14:46:21+00:00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e3f09c3df709400db2417a7161762d62 xmlns="4ffa91fb-a0ff-4ac5-b2db-65c790d184a4">
      <Terms xmlns="http://schemas.microsoft.com/office/infopath/2007/PartnerControls"/>
    </e3f09c3df709400db2417a7161762d62>
    <lcf76f155ced4ddcb4097134ff3c332f xmlns="ead8da0f-3542-4e50-96c8-f1f698624e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904C9C-1D97-4CC6-A036-EEF42A702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DBAA17-DA24-49C4-ACB5-EE6EC67B9F7E}">
  <ds:schemaRefs>
    <ds:schemaRef ds:uri="Microsoft.SharePoint.Taxonomy.ContentTypeSync"/>
  </ds:schemaRefs>
</ds:datastoreItem>
</file>

<file path=customXml/itemProps3.xml><?xml version="1.0" encoding="utf-8"?>
<ds:datastoreItem xmlns:ds="http://schemas.openxmlformats.org/officeDocument/2006/customXml" ds:itemID="{AC66848A-9249-4628-AC04-A78FD2A2EA9F}">
  <ds:schemaRefs>
    <ds:schemaRef ds:uri="http://schemas.microsoft.com/sharepoint/v3/contenttype/forms"/>
  </ds:schemaRefs>
</ds:datastoreItem>
</file>

<file path=customXml/itemProps4.xml><?xml version="1.0" encoding="utf-8"?>
<ds:datastoreItem xmlns:ds="http://schemas.openxmlformats.org/officeDocument/2006/customXml" ds:itemID="{46D51179-5093-4E0D-97E0-1254349066E5}">
  <ds:schemaRefs>
    <ds:schemaRef ds:uri="http://purl.org/dc/terms/"/>
    <ds:schemaRef ds:uri="http://www.w3.org/XML/1998/namespace"/>
    <ds:schemaRef ds:uri="http://schemas.microsoft.com/office/2006/documentManagement/types"/>
    <ds:schemaRef ds:uri="http://schemas.microsoft.com/sharepoint/v3/fields"/>
    <ds:schemaRef ds:uri="http://schemas.microsoft.com/office/infopath/2007/PartnerControls"/>
    <ds:schemaRef ds:uri="4ffa91fb-a0ff-4ac5-b2db-65c790d184a4"/>
    <ds:schemaRef ds:uri="fecc2597-e8fd-4279-ac06-bd7c891938be"/>
    <ds:schemaRef ds:uri="http://schemas.microsoft.com/sharepoint/v3"/>
    <ds:schemaRef ds:uri="http://purl.org/dc/elements/1.1/"/>
    <ds:schemaRef ds:uri="http://schemas.openxmlformats.org/package/2006/metadata/core-properties"/>
    <ds:schemaRef ds:uri="ead8da0f-3542-4e50-96c8-f1f698624e86"/>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27</vt:i4>
      </vt:variant>
    </vt:vector>
  </HeadingPairs>
  <TitlesOfParts>
    <vt:vector size="37" baseType="lpstr">
      <vt:lpstr>Cover Page</vt:lpstr>
      <vt:lpstr>README</vt:lpstr>
      <vt:lpstr>Calculation Summary</vt:lpstr>
      <vt:lpstr>Dashboard</vt:lpstr>
      <vt:lpstr>Bridge Table</vt:lpstr>
      <vt:lpstr>Risk Reduction</vt:lpstr>
      <vt:lpstr>Health Data</vt:lpstr>
      <vt:lpstr>Inhalation Exposure</vt:lpstr>
      <vt:lpstr>List Values</vt:lpstr>
      <vt:lpstr>Exposure Factors</vt:lpstr>
      <vt:lpstr>AT_AC</vt:lpstr>
      <vt:lpstr>AT_ADC_high</vt:lpstr>
      <vt:lpstr>AT_ADC_mid</vt:lpstr>
      <vt:lpstr>AT_ADC_ST</vt:lpstr>
      <vt:lpstr>AT_CRD_high</vt:lpstr>
      <vt:lpstr>AT_CRD_mid</vt:lpstr>
      <vt:lpstr>AT_CRD_ST</vt:lpstr>
      <vt:lpstr>AT_LADC</vt:lpstr>
      <vt:lpstr>AT_LCRD</vt:lpstr>
      <vt:lpstr>Breathing_Ratio</vt:lpstr>
      <vt:lpstr>BW_default</vt:lpstr>
      <vt:lpstr>BW_women</vt:lpstr>
      <vt:lpstr>ED_24</vt:lpstr>
      <vt:lpstr>ED_8</vt:lpstr>
      <vt:lpstr>EF</vt:lpstr>
      <vt:lpstr>EF_C</vt:lpstr>
      <vt:lpstr>EF_ST</vt:lpstr>
      <vt:lpstr>'Health Data'!Exposure_Drop_down</vt:lpstr>
      <vt:lpstr>LT</vt:lpstr>
      <vt:lpstr>MW</vt:lpstr>
      <vt:lpstr>ug_per_mg</vt:lpstr>
      <vt:lpstr>WY_CT_default</vt:lpstr>
      <vt:lpstr>WY_CT_women</vt:lpstr>
      <vt:lpstr>WY_HE_default</vt:lpstr>
      <vt:lpstr>WY_HE_women</vt:lpstr>
      <vt:lpstr>WY_high</vt:lpstr>
      <vt:lpstr>WY_mid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Risk Calculator for Occupational Exposures for 1,3-Butadiene </dc:title>
  <dc:subject>Calculation of risk from occupational exposure to 1,3-butadiene</dc:subject>
  <dc:creator>US EPA</dc:creator>
  <cp:keywords>13Butadiene ; CASRN 106-99-0 ; Draft Risk Evaluation ; risk calculator ; occupational exposure ; Occupational Risk</cp:keywords>
  <dc:description/>
  <cp:lastModifiedBy>Lindsay, Sarah</cp:lastModifiedBy>
  <cp:revision/>
  <dcterms:created xsi:type="dcterms:W3CDTF">2014-03-17T14:32:48Z</dcterms:created>
  <dcterms:modified xsi:type="dcterms:W3CDTF">2024-12-02T19:43:13Z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MediaServiceImageTags">
    <vt:lpwstr/>
  </property>
  <property fmtid="{D5CDD505-2E9C-101B-9397-08002B2CF9AE}" pid="4" name="TaxKeyword">
    <vt:lpwstr>1716;#Occupational Risk|79b9a469-6802-4c39-813e-0e54b0926316;#1699;#13Butadiene|ce55a473-0b60-47f6-ac28-d1b58c4a6051;#1198;#risk calculator|8af20125-90c4-4af3-92eb-7f5682895c4d;#1191;#occupational exposure|dc86747e-746f-435b-be39-b7773de656d7;#1701;#Draft Risk Evaluation|3be8d6cd-3d15-47a6-9501-361194882881;#1700;#CASRN 106-99-0|781bd8e3-531a-45ac-b84d-a1ea18e0a36f</vt:lpwstr>
  </property>
  <property fmtid="{D5CDD505-2E9C-101B-9397-08002B2CF9AE}" pid="5" name="EPA Subject">
    <vt:lpwstr/>
  </property>
  <property fmtid="{D5CDD505-2E9C-101B-9397-08002B2CF9AE}" pid="6" name="Document Type">
    <vt:lpwstr/>
  </property>
</Properties>
</file>