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omments5.xml" ContentType="application/vnd.openxmlformats-officedocument.spreadsheetml.comments+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zelenski_elizabeth_epa_gov/Documents/Desktop/Monthly Outreach Mtg and General OUST Comms/"/>
    </mc:Choice>
  </mc:AlternateContent>
  <xr:revisionPtr revIDLastSave="362" documentId="8_{880463F1-DF21-4EDF-ACEC-2AA5742A3F97}" xr6:coauthVersionLast="47" xr6:coauthVersionMax="47" xr10:uidLastSave="{66C19095-9887-4C69-BDBB-D008D65CE871}"/>
  <bookViews>
    <workbookView xWindow="-103" yWindow="-103" windowWidth="16663" windowHeight="8743" tabRatio="823" activeTab="1" xr2:uid="{8817ECD3-BEAF-42A7-9F28-3B2CD85EF7A0}"/>
  </bookViews>
  <sheets>
    <sheet name="Data Entry" sheetId="9" r:id="rId1"/>
    <sheet name="Fuel Use, Tanks, &amp; Sites" sheetId="4" r:id="rId2"/>
    <sheet name="Releases &amp; Abandons" sheetId="5" r:id="rId3"/>
    <sheet name="Corrective Action Costs " sheetId="6" r:id="rId4"/>
    <sheet name="Funding &amp; Surplus"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7" l="1"/>
  <c r="F35" i="7"/>
  <c r="F34" i="7"/>
  <c r="F33" i="7"/>
  <c r="F32" i="7"/>
  <c r="F31" i="7"/>
  <c r="F30" i="7"/>
  <c r="F29" i="7"/>
  <c r="F28" i="7"/>
  <c r="F27" i="7"/>
  <c r="F26" i="7"/>
  <c r="F25" i="7"/>
  <c r="F24" i="7"/>
  <c r="F23" i="7"/>
  <c r="F22" i="7"/>
  <c r="F21" i="7"/>
  <c r="F20" i="7"/>
  <c r="F19" i="7"/>
  <c r="F18" i="7"/>
  <c r="F17" i="7"/>
  <c r="F16" i="7"/>
  <c r="F15" i="7"/>
  <c r="F14" i="7"/>
  <c r="F13" i="7"/>
  <c r="F12" i="7"/>
  <c r="F11" i="7"/>
  <c r="O11" i="4"/>
  <c r="O12" i="4" s="1"/>
  <c r="O13" i="4" s="1"/>
  <c r="O14" i="4" s="1"/>
  <c r="O15" i="4" s="1"/>
  <c r="O16" i="4" s="1"/>
  <c r="O17" i="4" s="1"/>
  <c r="O18" i="4" s="1"/>
  <c r="O19" i="4" s="1"/>
  <c r="O20" i="4" s="1"/>
  <c r="O21" i="4" s="1"/>
  <c r="O22" i="4" s="1"/>
  <c r="O23" i="4" s="1"/>
  <c r="O24" i="4" s="1"/>
  <c r="O25" i="4" s="1"/>
  <c r="O26" i="4" s="1"/>
  <c r="O27" i="4" s="1"/>
  <c r="O28" i="4" s="1"/>
  <c r="O29" i="4" s="1"/>
  <c r="O30" i="4" s="1"/>
  <c r="G32" i="5"/>
  <c r="G31" i="5"/>
  <c r="J11" i="4"/>
  <c r="AA24" i="6"/>
  <c r="I8" i="9"/>
  <c r="C11" i="5"/>
  <c r="AA13" i="6" s="1"/>
  <c r="AB13" i="6"/>
  <c r="B38" i="6"/>
  <c r="B37" i="6"/>
  <c r="B36" i="6"/>
  <c r="B35" i="6"/>
  <c r="B26" i="5"/>
  <c r="B25" i="5"/>
  <c r="B24" i="5"/>
  <c r="B23" i="5"/>
  <c r="B22" i="5"/>
  <c r="B21" i="5"/>
  <c r="B20" i="5"/>
  <c r="B19" i="5"/>
  <c r="B18" i="5"/>
  <c r="B17" i="5"/>
  <c r="B16" i="5"/>
  <c r="B15" i="5"/>
  <c r="B14" i="5"/>
  <c r="B13" i="5"/>
  <c r="B12" i="5"/>
  <c r="C35" i="9"/>
  <c r="C42" i="9"/>
  <c r="N10" i="7"/>
  <c r="A11" i="4"/>
  <c r="C9" i="4"/>
  <c r="B11" i="5"/>
  <c r="C12" i="5" l="1"/>
  <c r="AA14" i="6" s="1"/>
  <c r="AC14" i="6" s="1"/>
  <c r="AC13" i="6"/>
  <c r="L10" i="7"/>
  <c r="J11" i="7"/>
  <c r="C11" i="7"/>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9" i="9"/>
  <c r="C11" i="4" s="1"/>
  <c r="AA25" i="6" l="1"/>
  <c r="C13" i="5"/>
  <c r="AA15" i="6" s="1"/>
  <c r="AC15" i="6" s="1"/>
  <c r="D11" i="7"/>
  <c r="E11" i="7"/>
  <c r="B11" i="7"/>
  <c r="A13" i="6"/>
  <c r="C13" i="6"/>
  <c r="A11" i="5"/>
  <c r="E32" i="5"/>
  <c r="F32" i="5" s="1"/>
  <c r="H32" i="5" s="1"/>
  <c r="B34" i="6" s="1"/>
  <c r="E11" i="5"/>
  <c r="P32" i="4"/>
  <c r="M11" i="4"/>
  <c r="M12" i="4" s="1"/>
  <c r="M13" i="4" s="1"/>
  <c r="M14" i="4" s="1"/>
  <c r="M15" i="4" s="1"/>
  <c r="M16" i="4" s="1"/>
  <c r="M17" i="4" s="1"/>
  <c r="M18" i="4" s="1"/>
  <c r="M19" i="4" s="1"/>
  <c r="M20" i="4" s="1"/>
  <c r="M21" i="4" s="1"/>
  <c r="M22" i="4" s="1"/>
  <c r="M23" i="4" s="1"/>
  <c r="M24" i="4" s="1"/>
  <c r="M25" i="4" s="1"/>
  <c r="M26" i="4" s="1"/>
  <c r="M27" i="4" s="1"/>
  <c r="M28" i="4" s="1"/>
  <c r="M29" i="4" s="1"/>
  <c r="M30" i="4" s="1"/>
  <c r="L11" i="4"/>
  <c r="K11" i="4"/>
  <c r="C18" i="9"/>
  <c r="C19" i="9" s="1"/>
  <c r="D11" i="4" s="1"/>
  <c r="F12" i="6"/>
  <c r="G12" i="6" s="1"/>
  <c r="H12" i="6" s="1"/>
  <c r="I12" i="6" s="1"/>
  <c r="J12" i="6" s="1"/>
  <c r="K12" i="6" s="1"/>
  <c r="L12" i="6" s="1"/>
  <c r="M12" i="6" s="1"/>
  <c r="N12" i="6" s="1"/>
  <c r="O12" i="6" s="1"/>
  <c r="P12" i="6" s="1"/>
  <c r="Q12" i="6" s="1"/>
  <c r="R12" i="6" s="1"/>
  <c r="S12" i="6" s="1"/>
  <c r="T12" i="6" s="1"/>
  <c r="U12" i="6" s="1"/>
  <c r="V12" i="6" s="1"/>
  <c r="W12" i="6" s="1"/>
  <c r="X12" i="6" s="1"/>
  <c r="Y12" i="6" s="1"/>
  <c r="J53" i="4"/>
  <c r="F53" i="4"/>
  <c r="I53" i="4" s="1"/>
  <c r="J52" i="4"/>
  <c r="F52" i="4"/>
  <c r="I52" i="4" s="1"/>
  <c r="J51" i="4"/>
  <c r="F51" i="4"/>
  <c r="I51" i="4" s="1"/>
  <c r="J50" i="4"/>
  <c r="F50" i="4"/>
  <c r="I50" i="4" s="1"/>
  <c r="J49" i="4"/>
  <c r="F49" i="4"/>
  <c r="I49" i="4" s="1"/>
  <c r="I54" i="4" s="1"/>
  <c r="B12" i="4"/>
  <c r="B13" i="4" s="1"/>
  <c r="A12" i="4"/>
  <c r="C12" i="4" s="1"/>
  <c r="AA26" i="6" l="1"/>
  <c r="C14" i="5"/>
  <c r="A14" i="6"/>
  <c r="A13" i="4"/>
  <c r="C13" i="4" s="1"/>
  <c r="A12" i="5"/>
  <c r="D13" i="6"/>
  <c r="E12" i="7"/>
  <c r="E12" i="5"/>
  <c r="J54" i="4"/>
  <c r="E11" i="4"/>
  <c r="E12" i="4" s="1"/>
  <c r="E13" i="4" s="1"/>
  <c r="N15" i="4"/>
  <c r="B14" i="4"/>
  <c r="N14" i="4"/>
  <c r="N13" i="4"/>
  <c r="N12" i="4"/>
  <c r="N11" i="4"/>
  <c r="AA27" i="6" l="1"/>
  <c r="AA16" i="6"/>
  <c r="AC16" i="6" s="1"/>
  <c r="C15" i="5"/>
  <c r="A14" i="4"/>
  <c r="C14" i="4" s="1"/>
  <c r="A13" i="5"/>
  <c r="A15" i="6"/>
  <c r="E13" i="5"/>
  <c r="D16" i="6"/>
  <c r="D17" i="6"/>
  <c r="D15" i="6"/>
  <c r="D18" i="6"/>
  <c r="D14" i="6"/>
  <c r="E13" i="7"/>
  <c r="G11" i="7"/>
  <c r="I11" i="7" s="1"/>
  <c r="N17" i="4"/>
  <c r="F11" i="4"/>
  <c r="N18" i="4"/>
  <c r="N20" i="4"/>
  <c r="N21" i="4"/>
  <c r="E14" i="4"/>
  <c r="N19" i="4"/>
  <c r="N16" i="4"/>
  <c r="B15" i="4"/>
  <c r="AA28" i="6" l="1"/>
  <c r="C16" i="5"/>
  <c r="AA17" i="6"/>
  <c r="AC17" i="6" s="1"/>
  <c r="D13" i="7"/>
  <c r="F13" i="4"/>
  <c r="A15" i="4"/>
  <c r="C15" i="4" s="1"/>
  <c r="A16" i="6"/>
  <c r="A14" i="5"/>
  <c r="E14" i="5"/>
  <c r="K11" i="7"/>
  <c r="D14" i="7"/>
  <c r="E14" i="7"/>
  <c r="H11" i="4"/>
  <c r="D39" i="6"/>
  <c r="N22" i="4"/>
  <c r="B16" i="4"/>
  <c r="E15" i="4"/>
  <c r="F14" i="4"/>
  <c r="H13" i="4" l="1"/>
  <c r="G12" i="5"/>
  <c r="K13" i="4"/>
  <c r="K14" i="4"/>
  <c r="G13" i="5"/>
  <c r="AA29" i="6"/>
  <c r="C17" i="5"/>
  <c r="AA18" i="6"/>
  <c r="AC18" i="6" s="1"/>
  <c r="A16" i="4"/>
  <c r="C16" i="4" s="1"/>
  <c r="A17" i="6"/>
  <c r="A15" i="5"/>
  <c r="E15" i="5"/>
  <c r="E15" i="7"/>
  <c r="G13" i="7"/>
  <c r="H14" i="4"/>
  <c r="G14" i="7" s="1"/>
  <c r="I14" i="7" s="1"/>
  <c r="N23" i="4"/>
  <c r="B17" i="4"/>
  <c r="E16" i="4"/>
  <c r="G13" i="4"/>
  <c r="P13" i="4" s="1"/>
  <c r="D13" i="5" s="1"/>
  <c r="AA30" i="6" l="1"/>
  <c r="AA19" i="6"/>
  <c r="AC19" i="6" s="1"/>
  <c r="C18" i="5"/>
  <c r="I13" i="7"/>
  <c r="J13" i="7" s="1"/>
  <c r="K13" i="7" s="1"/>
  <c r="D15" i="7"/>
  <c r="F15" i="4"/>
  <c r="A17" i="4"/>
  <c r="C17" i="4" s="1"/>
  <c r="A18" i="6"/>
  <c r="A16" i="5"/>
  <c r="E16" i="5"/>
  <c r="D16" i="7"/>
  <c r="J14" i="7"/>
  <c r="K14" i="7" s="1"/>
  <c r="E16" i="7"/>
  <c r="F13" i="5"/>
  <c r="E17" i="4"/>
  <c r="F16" i="4"/>
  <c r="N24" i="4"/>
  <c r="B18" i="4"/>
  <c r="G14" i="4" l="1"/>
  <c r="G14" i="5"/>
  <c r="K15" i="4"/>
  <c r="K16" i="4"/>
  <c r="G15" i="5"/>
  <c r="AA31" i="6"/>
  <c r="H15" i="4"/>
  <c r="G15" i="7" s="1"/>
  <c r="AA20" i="6"/>
  <c r="AC20" i="6" s="1"/>
  <c r="C19" i="5"/>
  <c r="A18" i="4"/>
  <c r="C18" i="4" s="1"/>
  <c r="A19" i="6"/>
  <c r="A17" i="5"/>
  <c r="E17" i="5"/>
  <c r="E17" i="7"/>
  <c r="H13" i="5"/>
  <c r="P14" i="4"/>
  <c r="G15" i="4"/>
  <c r="H16" i="4"/>
  <c r="N25" i="4"/>
  <c r="E18" i="4"/>
  <c r="B19" i="4"/>
  <c r="G16" i="7" l="1"/>
  <c r="I16" i="7" s="1"/>
  <c r="AA32" i="6"/>
  <c r="AA33" i="6"/>
  <c r="B15" i="6"/>
  <c r="G19" i="6" s="1"/>
  <c r="I13" i="5"/>
  <c r="P15" i="4"/>
  <c r="D15" i="5" s="1"/>
  <c r="F15" i="5" s="1"/>
  <c r="C20" i="5"/>
  <c r="AA21" i="6"/>
  <c r="AC21" i="6" s="1"/>
  <c r="I15" i="7"/>
  <c r="J15" i="7" s="1"/>
  <c r="K15" i="7" s="1"/>
  <c r="F17" i="4"/>
  <c r="D17" i="7"/>
  <c r="A19" i="4"/>
  <c r="C19" i="4" s="1"/>
  <c r="A18" i="5"/>
  <c r="A20" i="6"/>
  <c r="E18" i="5"/>
  <c r="D18" i="7"/>
  <c r="J16" i="7"/>
  <c r="K16" i="7" s="1"/>
  <c r="E18" i="7"/>
  <c r="D14" i="5"/>
  <c r="F14" i="5" s="1"/>
  <c r="B20" i="4"/>
  <c r="E19" i="4"/>
  <c r="F18" i="4"/>
  <c r="N26" i="4"/>
  <c r="K18" i="4" l="1"/>
  <c r="G17" i="5"/>
  <c r="H17" i="4"/>
  <c r="K17" i="4"/>
  <c r="G16" i="5"/>
  <c r="G15" i="6"/>
  <c r="G16" i="6"/>
  <c r="G18" i="6"/>
  <c r="G20" i="6"/>
  <c r="G17" i="6"/>
  <c r="C21" i="5"/>
  <c r="AA23" i="6" s="1"/>
  <c r="AA22" i="6"/>
  <c r="G16" i="4"/>
  <c r="P16" i="4" s="1"/>
  <c r="D16" i="5" s="1"/>
  <c r="F16" i="5" s="1"/>
  <c r="A20" i="4"/>
  <c r="C20" i="4" s="1"/>
  <c r="A19" i="5"/>
  <c r="A21" i="6"/>
  <c r="E19" i="5"/>
  <c r="E19" i="7"/>
  <c r="D19" i="7"/>
  <c r="H15" i="5"/>
  <c r="H14" i="5"/>
  <c r="G17" i="4"/>
  <c r="P17" i="4" s="1"/>
  <c r="D17" i="5" s="1"/>
  <c r="H18" i="4"/>
  <c r="G18" i="7" s="1"/>
  <c r="I18" i="7" s="1"/>
  <c r="B21" i="4"/>
  <c r="F19" i="4"/>
  <c r="E20" i="4"/>
  <c r="N27" i="4"/>
  <c r="G17" i="7" l="1"/>
  <c r="I17" i="7" s="1"/>
  <c r="J17" i="7" s="1"/>
  <c r="K17" i="7" s="1"/>
  <c r="K19" i="4"/>
  <c r="G18" i="5"/>
  <c r="AC22" i="6"/>
  <c r="AC39" i="6" s="1"/>
  <c r="B16" i="6"/>
  <c r="H17" i="6" s="1"/>
  <c r="I14" i="5"/>
  <c r="B17" i="6"/>
  <c r="I20" i="6" s="1"/>
  <c r="I15" i="5"/>
  <c r="H16" i="5"/>
  <c r="A21" i="4"/>
  <c r="C21" i="4" s="1"/>
  <c r="A20" i="5"/>
  <c r="A22" i="6"/>
  <c r="E20" i="5"/>
  <c r="J18" i="7"/>
  <c r="K18" i="7" s="1"/>
  <c r="E20" i="7"/>
  <c r="D20" i="7"/>
  <c r="F17" i="5"/>
  <c r="G18" i="4"/>
  <c r="H19" i="4"/>
  <c r="E21" i="4"/>
  <c r="F20" i="4"/>
  <c r="N28" i="4"/>
  <c r="B22" i="4"/>
  <c r="G19" i="5" l="1"/>
  <c r="K20" i="4"/>
  <c r="H18" i="6"/>
  <c r="I17" i="6"/>
  <c r="I18" i="6"/>
  <c r="I22" i="6"/>
  <c r="I19" i="6"/>
  <c r="I21" i="6"/>
  <c r="H19" i="6"/>
  <c r="H21" i="6"/>
  <c r="H16" i="6"/>
  <c r="H20" i="6"/>
  <c r="B18" i="6"/>
  <c r="J19" i="6" s="1"/>
  <c r="I16" i="5"/>
  <c r="J21" i="6"/>
  <c r="A22" i="4"/>
  <c r="C22" i="4" s="1"/>
  <c r="A23" i="6"/>
  <c r="A21" i="5"/>
  <c r="E21" i="5"/>
  <c r="E21" i="7"/>
  <c r="D21" i="7"/>
  <c r="H17" i="5"/>
  <c r="G19" i="7"/>
  <c r="P18" i="4"/>
  <c r="G19" i="4"/>
  <c r="H20" i="4"/>
  <c r="B23" i="4"/>
  <c r="N29" i="4"/>
  <c r="F21" i="4"/>
  <c r="E22" i="4"/>
  <c r="G20" i="5" l="1"/>
  <c r="K21" i="4"/>
  <c r="J18" i="6"/>
  <c r="B19" i="6"/>
  <c r="K24" i="6" s="1"/>
  <c r="I17" i="5"/>
  <c r="J20" i="6"/>
  <c r="J22" i="6"/>
  <c r="J23" i="6"/>
  <c r="I19" i="7"/>
  <c r="J19" i="7" s="1"/>
  <c r="K19" i="7" s="1"/>
  <c r="A23" i="4"/>
  <c r="C23" i="4" s="1"/>
  <c r="A22" i="5"/>
  <c r="A24" i="6"/>
  <c r="E22" i="5"/>
  <c r="E22" i="7"/>
  <c r="D22" i="7"/>
  <c r="D18" i="5"/>
  <c r="F18" i="5" s="1"/>
  <c r="G20" i="7"/>
  <c r="P19" i="4"/>
  <c r="D19" i="5" s="1"/>
  <c r="F19" i="5" s="1"/>
  <c r="G20" i="4"/>
  <c r="H21" i="4"/>
  <c r="N30" i="4"/>
  <c r="M37" i="4"/>
  <c r="B24" i="4"/>
  <c r="E23" i="4"/>
  <c r="F22" i="4"/>
  <c r="G21" i="5" l="1"/>
  <c r="K22" i="4"/>
  <c r="K23" i="6"/>
  <c r="K22" i="6"/>
  <c r="K20" i="6"/>
  <c r="K21" i="6"/>
  <c r="K19" i="6"/>
  <c r="I20" i="7"/>
  <c r="J20" i="7" s="1"/>
  <c r="K20" i="7" s="1"/>
  <c r="A24" i="4"/>
  <c r="C24" i="4" s="1"/>
  <c r="A25" i="6"/>
  <c r="A23" i="5"/>
  <c r="E23" i="5"/>
  <c r="D23" i="7"/>
  <c r="E23" i="7"/>
  <c r="H19" i="5"/>
  <c r="H18" i="5"/>
  <c r="P20" i="4"/>
  <c r="D20" i="5" s="1"/>
  <c r="F20" i="5" s="1"/>
  <c r="G21" i="7"/>
  <c r="G21" i="4"/>
  <c r="P21" i="4" s="1"/>
  <c r="D21" i="5" s="1"/>
  <c r="H22" i="4"/>
  <c r="N37" i="4"/>
  <c r="F23" i="4"/>
  <c r="E24" i="4"/>
  <c r="B25" i="4"/>
  <c r="K23" i="4" l="1"/>
  <c r="G22" i="5"/>
  <c r="B20" i="6"/>
  <c r="L20" i="6" s="1"/>
  <c r="Z20" i="6" s="1"/>
  <c r="AD20" i="6" s="1"/>
  <c r="I18" i="5"/>
  <c r="B21" i="6"/>
  <c r="M23" i="6" s="1"/>
  <c r="I19" i="5"/>
  <c r="I21" i="7"/>
  <c r="J21" i="7" s="1"/>
  <c r="K21" i="7" s="1"/>
  <c r="A25" i="4"/>
  <c r="C25" i="4" s="1"/>
  <c r="A26" i="6"/>
  <c r="A24" i="5"/>
  <c r="E24" i="5"/>
  <c r="D24" i="7"/>
  <c r="E24" i="7"/>
  <c r="G22" i="7"/>
  <c r="F21" i="5"/>
  <c r="H20" i="5"/>
  <c r="G22" i="4"/>
  <c r="P22" i="4" s="1"/>
  <c r="D22" i="5" s="1"/>
  <c r="H23" i="4"/>
  <c r="G23" i="7" s="1"/>
  <c r="I23" i="7" s="1"/>
  <c r="B26" i="4"/>
  <c r="E25" i="4"/>
  <c r="F24" i="4"/>
  <c r="K24" i="4" l="1"/>
  <c r="G23" i="5"/>
  <c r="M26" i="6"/>
  <c r="M24" i="6"/>
  <c r="M25" i="6"/>
  <c r="M21" i="6"/>
  <c r="M22" i="6"/>
  <c r="L23" i="6"/>
  <c r="L24" i="6"/>
  <c r="L25" i="6"/>
  <c r="L21" i="6"/>
  <c r="L22" i="6"/>
  <c r="B22" i="6"/>
  <c r="N22" i="6" s="1"/>
  <c r="I20" i="5"/>
  <c r="I22" i="7"/>
  <c r="J22" i="7" s="1"/>
  <c r="K22" i="7" s="1"/>
  <c r="A26" i="4"/>
  <c r="C26" i="4" s="1"/>
  <c r="A25" i="5"/>
  <c r="A27" i="6"/>
  <c r="E25" i="5"/>
  <c r="L18" i="7"/>
  <c r="M18" i="7"/>
  <c r="J23" i="7"/>
  <c r="K23" i="7" s="1"/>
  <c r="E25" i="7"/>
  <c r="H21" i="5"/>
  <c r="F22" i="5"/>
  <c r="H24" i="4"/>
  <c r="G24" i="7" s="1"/>
  <c r="I24" i="7" s="1"/>
  <c r="E26" i="4"/>
  <c r="B27" i="4"/>
  <c r="G23" i="4"/>
  <c r="P23" i="4" s="1"/>
  <c r="D23" i="5" s="1"/>
  <c r="Z22" i="6" l="1"/>
  <c r="AD22" i="6" s="1"/>
  <c r="M20" i="7" s="1"/>
  <c r="Z21" i="6"/>
  <c r="AD21" i="6" s="1"/>
  <c r="M19" i="7" s="1"/>
  <c r="N24" i="6"/>
  <c r="N23" i="6"/>
  <c r="N25" i="6"/>
  <c r="N26" i="6"/>
  <c r="N27" i="6"/>
  <c r="B23" i="6"/>
  <c r="O23" i="6" s="1"/>
  <c r="Z23" i="6" s="1"/>
  <c r="AD23" i="6" s="1"/>
  <c r="I21" i="5"/>
  <c r="F25" i="4"/>
  <c r="G24" i="4" s="1"/>
  <c r="P24" i="4" s="1"/>
  <c r="D24" i="5" s="1"/>
  <c r="D25" i="7"/>
  <c r="A27" i="4"/>
  <c r="C27" i="4" s="1"/>
  <c r="A26" i="5"/>
  <c r="A28" i="6"/>
  <c r="E26" i="5"/>
  <c r="E26" i="7"/>
  <c r="J24" i="7"/>
  <c r="K24" i="7" s="1"/>
  <c r="D26" i="7"/>
  <c r="H22" i="5"/>
  <c r="F23" i="5"/>
  <c r="E27" i="4"/>
  <c r="F26" i="4"/>
  <c r="B28" i="4"/>
  <c r="H25" i="4" l="1"/>
  <c r="G24" i="5"/>
  <c r="K25" i="4"/>
  <c r="K26" i="4"/>
  <c r="G25" i="5"/>
  <c r="L20" i="7"/>
  <c r="O27" i="6"/>
  <c r="L19" i="7"/>
  <c r="O26" i="6"/>
  <c r="O28" i="6"/>
  <c r="O25" i="6"/>
  <c r="O24" i="6"/>
  <c r="B24" i="6"/>
  <c r="P26" i="6" s="1"/>
  <c r="I22" i="5"/>
  <c r="A28" i="4"/>
  <c r="C28" i="4" s="1"/>
  <c r="A27" i="5"/>
  <c r="A29" i="6"/>
  <c r="E27" i="5"/>
  <c r="L21" i="7"/>
  <c r="M21" i="7"/>
  <c r="E27" i="7"/>
  <c r="F24" i="5"/>
  <c r="H23" i="5"/>
  <c r="G25" i="4"/>
  <c r="P25" i="4" s="1"/>
  <c r="D25" i="5" s="1"/>
  <c r="H26" i="4"/>
  <c r="E28" i="4"/>
  <c r="B29" i="4"/>
  <c r="G25" i="7" l="1"/>
  <c r="P27" i="6"/>
  <c r="P29" i="6"/>
  <c r="P28" i="6"/>
  <c r="P24" i="6"/>
  <c r="Z24" i="6" s="1"/>
  <c r="AD24" i="6" s="1"/>
  <c r="L22" i="7" s="1"/>
  <c r="P25" i="6"/>
  <c r="B25" i="6"/>
  <c r="Q27" i="6" s="1"/>
  <c r="I23" i="5"/>
  <c r="I25" i="7"/>
  <c r="J25" i="7" s="1"/>
  <c r="K25" i="7" s="1"/>
  <c r="F27" i="4"/>
  <c r="D27" i="7"/>
  <c r="A29" i="4"/>
  <c r="C29" i="4" s="1"/>
  <c r="A28" i="5"/>
  <c r="A30" i="6"/>
  <c r="E28" i="5"/>
  <c r="B37" i="5" s="1"/>
  <c r="B38" i="5" s="1"/>
  <c r="E28" i="7"/>
  <c r="D28" i="7"/>
  <c r="G26" i="7"/>
  <c r="H24" i="5"/>
  <c r="F25" i="5"/>
  <c r="B30" i="4"/>
  <c r="E29" i="4"/>
  <c r="F28" i="4"/>
  <c r="G27" i="5" l="1"/>
  <c r="K28" i="4"/>
  <c r="G26" i="4"/>
  <c r="P26" i="4" s="1"/>
  <c r="D26" i="5" s="1"/>
  <c r="G26" i="5"/>
  <c r="K27" i="4"/>
  <c r="Q25" i="6"/>
  <c r="Z25" i="6" s="1"/>
  <c r="AD25" i="6" s="1"/>
  <c r="L23" i="7" s="1"/>
  <c r="Q26" i="6"/>
  <c r="Q28" i="6"/>
  <c r="M22" i="7"/>
  <c r="Q29" i="6"/>
  <c r="Q30" i="6"/>
  <c r="B26" i="6"/>
  <c r="R28" i="6" s="1"/>
  <c r="I24" i="5"/>
  <c r="H27" i="4"/>
  <c r="G27" i="7" s="1"/>
  <c r="I26" i="7"/>
  <c r="J26" i="7" s="1"/>
  <c r="K26" i="7" s="1"/>
  <c r="A30" i="4"/>
  <c r="C30" i="4" s="1"/>
  <c r="A31" i="6"/>
  <c r="A29" i="5"/>
  <c r="E29" i="5"/>
  <c r="E29" i="7"/>
  <c r="H25" i="5"/>
  <c r="F26" i="5"/>
  <c r="G27" i="4"/>
  <c r="H28" i="4"/>
  <c r="G28" i="7" s="1"/>
  <c r="I28" i="7" s="1"/>
  <c r="B31" i="4"/>
  <c r="E30" i="4"/>
  <c r="M23" i="7" l="1"/>
  <c r="R29" i="6"/>
  <c r="R26" i="6"/>
  <c r="Z26" i="6" s="1"/>
  <c r="AD26" i="6" s="1"/>
  <c r="M24" i="7" s="1"/>
  <c r="R31" i="6"/>
  <c r="R27" i="6"/>
  <c r="R30" i="6"/>
  <c r="B27" i="6"/>
  <c r="S28" i="6" s="1"/>
  <c r="I25" i="5"/>
  <c r="I27" i="7"/>
  <c r="J27" i="7" s="1"/>
  <c r="K27" i="7" s="1"/>
  <c r="F29" i="4"/>
  <c r="D29" i="7"/>
  <c r="A31" i="4"/>
  <c r="C31" i="4" s="1"/>
  <c r="A32" i="6"/>
  <c r="A30" i="5"/>
  <c r="E30" i="5"/>
  <c r="L24" i="7"/>
  <c r="J28" i="7"/>
  <c r="K28" i="7" s="1"/>
  <c r="E30" i="7"/>
  <c r="D30" i="7"/>
  <c r="H26" i="5"/>
  <c r="P27" i="4"/>
  <c r="D27" i="5" s="1"/>
  <c r="F27" i="5" s="1"/>
  <c r="B32" i="4"/>
  <c r="F30" i="4"/>
  <c r="E31" i="4"/>
  <c r="G28" i="4" l="1"/>
  <c r="P28" i="4" s="1"/>
  <c r="D28" i="5" s="1"/>
  <c r="G28" i="5"/>
  <c r="K29" i="4"/>
  <c r="K30" i="4"/>
  <c r="G29" i="5"/>
  <c r="S27" i="6"/>
  <c r="Z27" i="6" s="1"/>
  <c r="AD27" i="6" s="1"/>
  <c r="L25" i="7" s="1"/>
  <c r="S31" i="6"/>
  <c r="S29" i="6"/>
  <c r="S30" i="6"/>
  <c r="S32" i="6"/>
  <c r="B28" i="6"/>
  <c r="T33" i="6" s="1"/>
  <c r="I26" i="5"/>
  <c r="H29" i="4"/>
  <c r="A32" i="4"/>
  <c r="A33" i="6"/>
  <c r="A31" i="5"/>
  <c r="E31" i="5"/>
  <c r="D31" i="7"/>
  <c r="E31" i="7"/>
  <c r="H27" i="5"/>
  <c r="F28" i="5"/>
  <c r="H30" i="4"/>
  <c r="G29" i="4"/>
  <c r="G30" i="7" l="1"/>
  <c r="I30" i="7" s="1"/>
  <c r="G29" i="7"/>
  <c r="M25" i="7"/>
  <c r="T32" i="6"/>
  <c r="B29" i="6"/>
  <c r="U29" i="6" s="1"/>
  <c r="I27" i="5"/>
  <c r="T29" i="6"/>
  <c r="T28" i="6"/>
  <c r="Z28" i="6" s="1"/>
  <c r="AD28" i="6" s="1"/>
  <c r="L26" i="7" s="1"/>
  <c r="T30" i="6"/>
  <c r="T31" i="6"/>
  <c r="P29" i="4"/>
  <c r="D29" i="5" s="1"/>
  <c r="F29" i="5" s="1"/>
  <c r="I29" i="7"/>
  <c r="J29" i="7" s="1"/>
  <c r="K29" i="7" s="1"/>
  <c r="F31" i="4"/>
  <c r="A33" i="4"/>
  <c r="A34" i="6"/>
  <c r="A32" i="5"/>
  <c r="J30" i="7"/>
  <c r="K30" i="7" s="1"/>
  <c r="D32" i="7"/>
  <c r="E32" i="7"/>
  <c r="H28" i="5"/>
  <c r="H31" i="4" l="1"/>
  <c r="G30" i="5"/>
  <c r="K31" i="4"/>
  <c r="Z29" i="6"/>
  <c r="AD29" i="6" s="1"/>
  <c r="L27" i="7" s="1"/>
  <c r="U31" i="6"/>
  <c r="U32" i="6"/>
  <c r="U30" i="6"/>
  <c r="U33" i="6"/>
  <c r="U34" i="6"/>
  <c r="B30" i="6"/>
  <c r="V31" i="6" s="1"/>
  <c r="I28" i="5"/>
  <c r="M26" i="7"/>
  <c r="G30" i="4"/>
  <c r="P30" i="4" s="1"/>
  <c r="D30" i="5" s="1"/>
  <c r="F30" i="5" s="1"/>
  <c r="G31" i="4"/>
  <c r="A34" i="4"/>
  <c r="A33" i="5"/>
  <c r="A35" i="6"/>
  <c r="E33" i="7"/>
  <c r="G32" i="7"/>
  <c r="I32" i="7" s="1"/>
  <c r="K32" i="7" s="1"/>
  <c r="D33" i="7"/>
  <c r="H29" i="5"/>
  <c r="G31" i="7"/>
  <c r="M27" i="7" l="1"/>
  <c r="V33" i="6"/>
  <c r="V35" i="6"/>
  <c r="V34" i="6"/>
  <c r="V30" i="6"/>
  <c r="Z30" i="6" s="1"/>
  <c r="AD30" i="6" s="1"/>
  <c r="L28" i="7" s="1"/>
  <c r="B31" i="6"/>
  <c r="W31" i="6" s="1"/>
  <c r="Z31" i="6" s="1"/>
  <c r="AD31" i="6" s="1"/>
  <c r="I29" i="5"/>
  <c r="V32" i="6"/>
  <c r="H30" i="5"/>
  <c r="P31" i="4"/>
  <c r="D31" i="5" s="1"/>
  <c r="I31" i="7"/>
  <c r="J31" i="7" s="1"/>
  <c r="K31" i="7" s="1"/>
  <c r="A35" i="4"/>
  <c r="A34" i="5"/>
  <c r="A36" i="6"/>
  <c r="D34" i="7"/>
  <c r="E34" i="7"/>
  <c r="M28" i="7" l="1"/>
  <c r="W34" i="6"/>
  <c r="B32" i="6"/>
  <c r="X33" i="6" s="1"/>
  <c r="I30" i="5"/>
  <c r="W32" i="6"/>
  <c r="W35" i="6"/>
  <c r="W33" i="6"/>
  <c r="W36" i="6"/>
  <c r="A36" i="4"/>
  <c r="A35" i="5"/>
  <c r="A37" i="6"/>
  <c r="L29" i="7"/>
  <c r="M29" i="7"/>
  <c r="E35" i="7"/>
  <c r="G34" i="7"/>
  <c r="I34" i="7" s="1"/>
  <c r="K34" i="7" s="1"/>
  <c r="D35" i="7"/>
  <c r="D36" i="7"/>
  <c r="G33" i="7"/>
  <c r="I33" i="7" s="1"/>
  <c r="K33" i="7" s="1"/>
  <c r="F31" i="5"/>
  <c r="X32" i="6" l="1"/>
  <c r="Z32" i="6" s="1"/>
  <c r="AD32" i="6" s="1"/>
  <c r="L30" i="7" s="1"/>
  <c r="X37" i="6"/>
  <c r="X35" i="6"/>
  <c r="X34" i="6"/>
  <c r="X36" i="6"/>
  <c r="A36" i="5"/>
  <c r="A38" i="6"/>
  <c r="E36" i="7"/>
  <c r="G36" i="7" s="1"/>
  <c r="I36" i="7" s="1"/>
  <c r="K36" i="7" s="1"/>
  <c r="H31" i="5"/>
  <c r="M30" i="7" l="1"/>
  <c r="B33" i="6"/>
  <c r="Y33" i="6" s="1"/>
  <c r="Z33" i="6" s="1"/>
  <c r="AD33" i="6" s="1"/>
  <c r="I31" i="5"/>
  <c r="G35" i="7"/>
  <c r="I35" i="7" s="1"/>
  <c r="K35" i="7" s="1"/>
  <c r="Y37" i="6" l="1"/>
  <c r="Z37" i="6" s="1"/>
  <c r="AD37" i="6" s="1"/>
  <c r="L35" i="7" s="1"/>
  <c r="Y34" i="6"/>
  <c r="Z34" i="6" s="1"/>
  <c r="AD34" i="6" s="1"/>
  <c r="L32" i="7" s="1"/>
  <c r="Y35" i="6"/>
  <c r="Z35" i="6" s="1"/>
  <c r="AD35" i="6" s="1"/>
  <c r="L33" i="7" s="1"/>
  <c r="Y38" i="6"/>
  <c r="Z38" i="6" s="1"/>
  <c r="AD38" i="6" s="1"/>
  <c r="L36" i="7" s="1"/>
  <c r="Y36" i="6"/>
  <c r="Z36" i="6" s="1"/>
  <c r="AD36" i="6" s="1"/>
  <c r="L34" i="7" s="1"/>
  <c r="L31" i="7"/>
  <c r="M31" i="7"/>
  <c r="M34" i="7" l="1"/>
  <c r="M36" i="7"/>
  <c r="M32" i="7"/>
  <c r="M33" i="7"/>
  <c r="M35" i="7"/>
  <c r="F12" i="4"/>
  <c r="D12" i="7"/>
  <c r="D37" i="7" s="1"/>
  <c r="K12" i="4" l="1"/>
  <c r="G11" i="5"/>
  <c r="G11" i="4"/>
  <c r="I11" i="4" s="1"/>
  <c r="I12" i="4" s="1"/>
  <c r="I13" i="4" s="1"/>
  <c r="I14" i="4" s="1"/>
  <c r="I15" i="4" s="1"/>
  <c r="I16" i="4" s="1"/>
  <c r="I17" i="4" s="1"/>
  <c r="I18" i="4" s="1"/>
  <c r="I19" i="4" s="1"/>
  <c r="I20" i="4" s="1"/>
  <c r="I21" i="4" s="1"/>
  <c r="I22" i="4" s="1"/>
  <c r="I23" i="4" s="1"/>
  <c r="I24" i="4" s="1"/>
  <c r="I25" i="4" s="1"/>
  <c r="I26" i="4" s="1"/>
  <c r="I27" i="4" s="1"/>
  <c r="I28" i="4" s="1"/>
  <c r="I29" i="4" s="1"/>
  <c r="I30" i="4" s="1"/>
  <c r="I31" i="4" s="1"/>
  <c r="G12" i="4"/>
  <c r="H12" i="4"/>
  <c r="F37" i="7" s="1"/>
  <c r="H37" i="4" l="1"/>
  <c r="G12" i="7"/>
  <c r="P12" i="4"/>
  <c r="D12" i="5" s="1"/>
  <c r="F12" i="5" s="1"/>
  <c r="G37" i="5"/>
  <c r="P11" i="4"/>
  <c r="D11" i="5" s="1"/>
  <c r="G37" i="4"/>
  <c r="I12" i="7" l="1"/>
  <c r="J12" i="7" s="1"/>
  <c r="K12" i="7" s="1"/>
  <c r="H12" i="5"/>
  <c r="I12" i="5" s="1"/>
  <c r="P37" i="4"/>
  <c r="B14" i="6" l="1"/>
  <c r="F11" i="5"/>
  <c r="D37" i="5"/>
  <c r="F14" i="6" l="1"/>
  <c r="F19" i="6"/>
  <c r="Z19" i="6" s="1"/>
  <c r="AD19" i="6" s="1"/>
  <c r="F17" i="6"/>
  <c r="F15" i="6"/>
  <c r="F18" i="6"/>
  <c r="F16" i="6"/>
  <c r="H11" i="5"/>
  <c r="F37" i="5"/>
  <c r="B13" i="6" l="1"/>
  <c r="E15" i="6" s="1"/>
  <c r="Z15" i="6" s="1"/>
  <c r="AD15" i="6" s="1"/>
  <c r="I11" i="5"/>
  <c r="I37" i="5" s="1"/>
  <c r="L17" i="7"/>
  <c r="M17" i="7"/>
  <c r="H37" i="5"/>
  <c r="E17" i="6" l="1"/>
  <c r="Z17" i="6" s="1"/>
  <c r="AD17" i="6" s="1"/>
  <c r="L15" i="7" s="1"/>
  <c r="E14" i="6"/>
  <c r="Z14" i="6" s="1"/>
  <c r="AD14" i="6" s="1"/>
  <c r="M12" i="7" s="1"/>
  <c r="E16" i="6"/>
  <c r="Z16" i="6" s="1"/>
  <c r="AD16" i="6" s="1"/>
  <c r="L14" i="7" s="1"/>
  <c r="E18" i="6"/>
  <c r="Z18" i="6" s="1"/>
  <c r="AD18" i="6" s="1"/>
  <c r="M16" i="7" s="1"/>
  <c r="E13" i="6"/>
  <c r="Z13" i="6" s="1"/>
  <c r="AD13" i="6" s="1"/>
  <c r="L11" i="7" s="1"/>
  <c r="M13" i="7"/>
  <c r="L13" i="7"/>
  <c r="M15" i="7" l="1"/>
  <c r="M14" i="7"/>
  <c r="Z39" i="6"/>
  <c r="L16" i="7"/>
  <c r="L12" i="7"/>
  <c r="M11" i="7"/>
  <c r="O11" i="7" s="1"/>
  <c r="O12" i="7" s="1"/>
  <c r="O13" i="7" s="1"/>
  <c r="AD39" i="6"/>
  <c r="AE13" i="6"/>
  <c r="AE14" i="6" s="1"/>
  <c r="L37" i="7" l="1"/>
  <c r="O14" i="7"/>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N11" i="7"/>
  <c r="M37" i="7"/>
  <c r="AE15" i="6"/>
  <c r="N12" i="7"/>
  <c r="AE16" i="6" l="1"/>
  <c r="N13" i="7"/>
  <c r="AE17" i="6" l="1"/>
  <c r="N14" i="7"/>
  <c r="AE18" i="6" l="1"/>
  <c r="N15" i="7"/>
  <c r="AE19" i="6" l="1"/>
  <c r="N16" i="7"/>
  <c r="AE20" i="6" l="1"/>
  <c r="N17" i="7"/>
  <c r="AE21" i="6" l="1"/>
  <c r="N18" i="7"/>
  <c r="AE22" i="6" l="1"/>
  <c r="N19" i="7"/>
  <c r="AE23" i="6" l="1"/>
  <c r="N20" i="7"/>
  <c r="AE24" i="6" l="1"/>
  <c r="N21" i="7"/>
  <c r="AE25" i="6" l="1"/>
  <c r="N22" i="7"/>
  <c r="AE26" i="6" l="1"/>
  <c r="N23" i="7"/>
  <c r="AE27" i="6" l="1"/>
  <c r="N24" i="7"/>
  <c r="AE28" i="6" l="1"/>
  <c r="N25" i="7"/>
  <c r="AE29" i="6" l="1"/>
  <c r="N26" i="7"/>
  <c r="AE30" i="6" l="1"/>
  <c r="N27" i="7"/>
  <c r="AE31" i="6" l="1"/>
  <c r="N28" i="7"/>
  <c r="AE32" i="6" l="1"/>
  <c r="N29" i="7"/>
  <c r="AE33" i="6" l="1"/>
  <c r="N30" i="7"/>
  <c r="AE34" i="6" l="1"/>
  <c r="N31" i="7"/>
  <c r="AE35" i="6" l="1"/>
  <c r="N32" i="7"/>
  <c r="AE36" i="6" l="1"/>
  <c r="N33" i="7"/>
  <c r="AE37" i="6" l="1"/>
  <c r="N34" i="7"/>
  <c r="AE38" i="6" l="1"/>
  <c r="N36" i="7" s="1"/>
  <c r="N3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Schruben, Thomas</author>
  </authors>
  <commentList>
    <comment ref="K6" authorId="0" shapeId="0" xr:uid="{63E96004-1295-4CDA-AA28-AF7402371BD2}">
      <text>
        <r>
          <rPr>
            <b/>
            <sz val="9"/>
            <color indexed="81"/>
            <rFont val="Tahoma"/>
            <family val="2"/>
          </rPr>
          <t>Schruben, Thomas:</t>
        </r>
        <r>
          <rPr>
            <sz val="9"/>
            <color indexed="81"/>
            <rFont val="Tahoma"/>
            <family val="2"/>
          </rPr>
          <t xml:space="preserve">
Potential future decline curve function.  Not built into the spreadsheet, yet.</t>
        </r>
      </text>
    </comment>
    <comment ref="C7" authorId="0" shapeId="0" xr:uid="{CFFD4086-817D-4312-BB80-66DEEDA5CF9D}">
      <text>
        <r>
          <rPr>
            <b/>
            <sz val="9"/>
            <color indexed="81"/>
            <rFont val="Tahoma"/>
            <family val="2"/>
          </rPr>
          <t>Schruben, Thomas:</t>
        </r>
        <r>
          <rPr>
            <sz val="9"/>
            <color indexed="81"/>
            <rFont val="Tahoma"/>
            <family val="2"/>
          </rPr>
          <t xml:space="preserve">
Recommend starting at peak motor fuel use for each state.  2020 was the peak motor fuel use for the US, overall</t>
        </r>
      </text>
    </comment>
    <comment ref="F7" authorId="0" shapeId="0" xr:uid="{E2557E15-1AB9-4E96-93E0-E87C7E048DC6}">
      <text>
        <r>
          <rPr>
            <b/>
            <sz val="9"/>
            <color indexed="81"/>
            <rFont val="Tahoma"/>
            <family val="2"/>
          </rPr>
          <t>Schruben, Thomas:</t>
        </r>
        <r>
          <rPr>
            <sz val="9"/>
            <color indexed="81"/>
            <rFont val="Tahoma"/>
            <family val="2"/>
          </rPr>
          <t xml:space="preserve">
Enter "YES" if using straight line decline; otherwise leave blank </t>
        </r>
      </text>
    </comment>
    <comment ref="I7" authorId="0" shapeId="0" xr:uid="{E75D2631-82E4-4545-9BF9-CD15DF2F2349}">
      <text>
        <r>
          <rPr>
            <b/>
            <sz val="9"/>
            <color indexed="81"/>
            <rFont val="Tahoma"/>
            <family val="2"/>
          </rPr>
          <t>Schruben, Thomas:</t>
        </r>
        <r>
          <rPr>
            <sz val="9"/>
            <color indexed="81"/>
            <rFont val="Tahoma"/>
            <family val="2"/>
          </rPr>
          <t xml:space="preserve">
Enter "YES" if using Logistic decline cuve; otherwise leave blank </t>
        </r>
      </text>
    </comment>
    <comment ref="C8" authorId="0" shapeId="0" xr:uid="{6FD7BD68-76E5-4C4F-99E2-E4B13B8290BF}">
      <text>
        <r>
          <rPr>
            <b/>
            <sz val="9"/>
            <color indexed="81"/>
            <rFont val="Tahoma"/>
            <family val="2"/>
          </rPr>
          <t>Schruben, Thomas:</t>
        </r>
        <r>
          <rPr>
            <sz val="9"/>
            <color indexed="81"/>
            <rFont val="Tahoma"/>
            <family val="2"/>
          </rPr>
          <t xml:space="preserve">
If wanting to run this forecast for more than 40 years modify each tab to add more rows and copy and paste formulas to fill the new rows</t>
        </r>
      </text>
    </comment>
    <comment ref="C9" authorId="0" shapeId="0" xr:uid="{B7FC0961-9BD9-45D1-88B9-58F81B96664C}">
      <text>
        <r>
          <rPr>
            <b/>
            <sz val="9"/>
            <color indexed="81"/>
            <rFont val="Tahoma"/>
            <family val="2"/>
          </rPr>
          <t>Schruben, Thomas:</t>
        </r>
        <r>
          <rPr>
            <sz val="9"/>
            <color indexed="81"/>
            <rFont val="Tahoma"/>
            <family val="2"/>
          </rPr>
          <t xml:space="preserve">
This data should be available from the State  tax or fee calculation, which is based on fuel use in the state.  It can be estimated from the 2020 ASTSWMO State Fund Survey annual revenue/ tax/ barrel/ days.  For example: 
=78/0.0272/42/365</t>
        </r>
      </text>
    </comment>
    <comment ref="B17" authorId="0" shapeId="0" xr:uid="{B624E3CE-8F39-4110-9577-30BFD62F5097}">
      <text>
        <r>
          <rPr>
            <b/>
            <sz val="9"/>
            <color indexed="81"/>
            <rFont val="Tahoma"/>
            <family val="2"/>
          </rPr>
          <t>Schruben, Thomas:</t>
        </r>
        <r>
          <rPr>
            <sz val="9"/>
            <color indexed="81"/>
            <rFont val="Tahoma"/>
            <family val="2"/>
          </rPr>
          <t xml:space="preserve">
Initial number of USTs in "Starting Year" from State database or multiply Initial # sites by # USTs/site.  Does not include TOS or Closed sites</t>
        </r>
      </text>
    </comment>
    <comment ref="B18" authorId="0" shapeId="0" xr:uid="{66BF92BE-1CF2-4BA5-8AC1-15B8C30C13B7}">
      <text>
        <r>
          <rPr>
            <b/>
            <sz val="9"/>
            <color indexed="81"/>
            <rFont val="Tahoma"/>
            <family val="2"/>
          </rPr>
          <t>Schruben, Thomas:</t>
        </r>
        <r>
          <rPr>
            <sz val="9"/>
            <color indexed="81"/>
            <rFont val="Tahoma"/>
            <family val="2"/>
          </rPr>
          <t xml:space="preserve">
Use data from State database OR average number of USTs / site for active sites - no TOS or Closed sites - from STARS or USTFinder - 193000 sites w/ 540,423 active USTs.</t>
        </r>
      </text>
    </comment>
    <comment ref="B19" authorId="0" shapeId="0" xr:uid="{9F6C6EDC-CBA5-42EE-90AF-7344F345FBAA}">
      <text>
        <r>
          <rPr>
            <b/>
            <sz val="9"/>
            <color indexed="81"/>
            <rFont val="Tahoma"/>
            <family val="2"/>
          </rPr>
          <t>Schruben, Thomas:</t>
        </r>
        <r>
          <rPr>
            <sz val="9"/>
            <color indexed="81"/>
            <rFont val="Tahoma"/>
            <family val="2"/>
          </rPr>
          <t xml:space="preserve">
Use actual data from the state database or Calculate as Initial # USTs / # USTs per site.  Active sites, only.  Do not include TOS or Closed sites.</t>
        </r>
      </text>
    </comment>
    <comment ref="B20" authorId="0" shapeId="0" xr:uid="{44AED30A-F672-48E2-B63F-F9D65DCCECAF}">
      <text>
        <r>
          <rPr>
            <b/>
            <sz val="9"/>
            <color indexed="81"/>
            <rFont val="Tahoma"/>
            <family val="2"/>
          </rPr>
          <t>Schruben, Thomas:</t>
        </r>
        <r>
          <rPr>
            <sz val="9"/>
            <color indexed="81"/>
            <rFont val="Tahoma"/>
            <family val="2"/>
          </rPr>
          <t xml:space="preserve">
factor to acount for smaller USTs being replaced by larger USTs over time.  Check this assumption by looking at the state database for trends in UST capacity over last several years - capacity of new UST installations and removed USTs </t>
        </r>
      </text>
    </comment>
    <comment ref="B21" authorId="0" shapeId="0" xr:uid="{1A721305-40FD-490A-BF6B-2DA3B71FD8CE}">
      <text>
        <r>
          <rPr>
            <b/>
            <sz val="9"/>
            <color indexed="81"/>
            <rFont val="Tahoma"/>
            <family val="2"/>
          </rPr>
          <t>Schruben, Thomas:</t>
        </r>
        <r>
          <rPr>
            <sz val="9"/>
            <color indexed="81"/>
            <rFont val="Tahoma"/>
            <family val="2"/>
          </rPr>
          <t xml:space="preserve">
factor to account for newer sites displacing older sites.  Make assumption or analyze state database to identify the number of old UST facilities closed and replaced by new facilities at a new location</t>
        </r>
      </text>
    </comment>
    <comment ref="B22" authorId="0" shapeId="0" xr:uid="{D667E871-D9F3-44C8-9143-0310CFBE7CF8}">
      <text>
        <r>
          <rPr>
            <b/>
            <sz val="9"/>
            <color indexed="81"/>
            <rFont val="Tahoma"/>
            <family val="2"/>
          </rPr>
          <t>Schruben, Thomas:</t>
        </r>
        <r>
          <rPr>
            <sz val="9"/>
            <color indexed="81"/>
            <rFont val="Tahoma"/>
            <family val="2"/>
          </rPr>
          <t xml:space="preserve">
Accounts for Temorarily Out of Service USTs.  Model assumes they will not reopen, and will eventually be closed.</t>
        </r>
      </text>
    </comment>
    <comment ref="B23" authorId="0" shapeId="0" xr:uid="{D96DB20B-2E91-4626-BB4C-74D62BB3EA61}">
      <text>
        <r>
          <rPr>
            <b/>
            <sz val="9"/>
            <color indexed="81"/>
            <rFont val="Tahoma"/>
            <family val="2"/>
          </rPr>
          <t>Schruben, Thomas:</t>
        </r>
        <r>
          <rPr>
            <sz val="9"/>
            <color indexed="81"/>
            <rFont val="Tahoma"/>
            <family val="2"/>
          </rPr>
          <t xml:space="preserve">
Period over which the Initial # TOS sites will be closed</t>
        </r>
      </text>
    </comment>
    <comment ref="B26" authorId="0" shapeId="0" xr:uid="{564D9019-31FD-4071-B246-A3ADE3A4A43A}">
      <text>
        <r>
          <rPr>
            <b/>
            <sz val="9"/>
            <color indexed="81"/>
            <rFont val="Tahoma"/>
            <family val="2"/>
          </rPr>
          <t>Schruben, Thomas:</t>
        </r>
        <r>
          <rPr>
            <sz val="9"/>
            <color indexed="81"/>
            <rFont val="Tahoma"/>
            <family val="2"/>
          </rPr>
          <t xml:space="preserve">
Unless better data available, use CA release discovery data
23.6% for SW USTs &amp; 7.8% for DW USTs
</t>
        </r>
      </text>
    </comment>
    <comment ref="B27" authorId="0" shapeId="0" xr:uid="{37009D69-BF2A-44E5-99B7-E2E0F1982717}">
      <text>
        <r>
          <rPr>
            <b/>
            <sz val="9"/>
            <color indexed="81"/>
            <rFont val="Tahoma"/>
            <family val="2"/>
          </rPr>
          <t>Schruben, Thomas:</t>
        </r>
        <r>
          <rPr>
            <sz val="9"/>
            <color indexed="81"/>
            <rFont val="Tahoma"/>
            <family val="2"/>
          </rPr>
          <t xml:space="preserve">
Unless better data available, assume trend to CA release discovery data for DW USTs - 7.8%
</t>
        </r>
      </text>
    </comment>
    <comment ref="B28" authorId="0" shapeId="0" xr:uid="{EED3CFBC-CD1B-4961-89DE-93E54185832E}">
      <text>
        <r>
          <rPr>
            <b/>
            <sz val="9"/>
            <color indexed="81"/>
            <rFont val="Tahoma"/>
            <family val="2"/>
          </rPr>
          <t>Schruben, Thomas:</t>
        </r>
        <r>
          <rPr>
            <sz val="9"/>
            <color indexed="81"/>
            <rFont val="Tahoma"/>
            <family val="2"/>
          </rPr>
          <t xml:space="preserve">
Get Initial # Backlog release sites from State database, % currently in ongoing cleanup, and % in MNA.  The remaining sites are assumed to be stalled early in the cleanup process and will get full cleanup costs. Each of these three categories get different cleanup cost treatment.</t>
        </r>
      </text>
    </comment>
    <comment ref="E28" authorId="0" shapeId="0" xr:uid="{55DB7551-91D6-4989-91C8-428985D0C485}">
      <text>
        <r>
          <rPr>
            <b/>
            <sz val="9"/>
            <color indexed="81"/>
            <rFont val="Tahoma"/>
            <family val="2"/>
          </rPr>
          <t>Schruben, Thomas:</t>
        </r>
        <r>
          <rPr>
            <sz val="9"/>
            <color indexed="81"/>
            <rFont val="Tahoma"/>
            <family val="2"/>
          </rPr>
          <t xml:space="preserve">
This fraction only applies to MNA sites that are expected to be closed.  Make this fraction smaller if not planning to close MNA sites, include costs in annual corrective action costs, and lengthen the years to complete cleanup.</t>
        </r>
      </text>
    </comment>
    <comment ref="B29" authorId="0" shapeId="0" xr:uid="{3B9CC10E-4DC8-4CAB-B25B-A241C55186FB}">
      <text>
        <r>
          <rPr>
            <b/>
            <sz val="9"/>
            <color indexed="81"/>
            <rFont val="Tahoma"/>
            <family val="2"/>
          </rPr>
          <t>Schruben, Thomas:</t>
        </r>
        <r>
          <rPr>
            <sz val="9"/>
            <color indexed="81"/>
            <rFont val="Tahoma"/>
            <family val="2"/>
          </rPr>
          <t xml:space="preserve">
Assume a period for working the backlog of active (non MNA) corrective actions down </t>
        </r>
      </text>
    </comment>
    <comment ref="B30" authorId="0" shapeId="0" xr:uid="{D0357BF0-855E-4D96-BAFC-3011D4F220CB}">
      <text>
        <r>
          <rPr>
            <b/>
            <sz val="9"/>
            <color indexed="81"/>
            <rFont val="Tahoma"/>
            <family val="2"/>
          </rPr>
          <t>Schruben, Thomas:</t>
        </r>
        <r>
          <rPr>
            <sz val="9"/>
            <color indexed="81"/>
            <rFont val="Tahoma"/>
            <family val="2"/>
          </rPr>
          <t xml:space="preserve">
Assume a period for working down the backlog of MNA corrective actions by closing MNA sites.  Make time period longer if not aggresively closing MNA sites</t>
        </r>
      </text>
    </comment>
    <comment ref="B31" authorId="0" shapeId="0" xr:uid="{E859152B-6F25-43ED-BE7F-343D59B7DEA8}">
      <text>
        <r>
          <rPr>
            <b/>
            <sz val="9"/>
            <color indexed="81"/>
            <rFont val="Tahoma"/>
            <family val="2"/>
          </rPr>
          <t xml:space="preserve">Schruben, Thomas
</t>
        </r>
        <r>
          <rPr>
            <sz val="9"/>
            <color indexed="81"/>
            <rFont val="Tahoma"/>
            <family val="2"/>
          </rPr>
          <t>The fraction of active UST sites where a release is discovered while repairing or replacing the USTs.  Get data from State database history or assume a value</t>
        </r>
      </text>
    </comment>
    <comment ref="B32" authorId="0" shapeId="0" xr:uid="{AF707988-53D4-4C12-B1C3-74EC5D6C2892}">
      <text>
        <r>
          <rPr>
            <b/>
            <sz val="9"/>
            <color indexed="81"/>
            <rFont val="Tahoma"/>
            <family val="2"/>
          </rPr>
          <t>Schruben, Thomas:</t>
        </r>
        <r>
          <rPr>
            <sz val="9"/>
            <color indexed="81"/>
            <rFont val="Tahoma"/>
            <family val="2"/>
          </rPr>
          <t xml:space="preserve">
% of sites that initiate corrective but end up abandoned.  Abandoned sites are included in Corrective Action Costs.  Modify formula in column B of Corrective Action Costs if Abandoned Sites should be excluded from Corrective Action costs</t>
        </r>
      </text>
    </comment>
    <comment ref="C35" authorId="0" shapeId="0" xr:uid="{2AFED130-CFD1-4F17-9D4B-FE7F6F5F136E}">
      <text>
        <r>
          <rPr>
            <b/>
            <sz val="9"/>
            <color indexed="81"/>
            <rFont val="Tahoma"/>
            <family val="2"/>
          </rPr>
          <t>Schruben, Thomas:</t>
        </r>
        <r>
          <rPr>
            <sz val="9"/>
            <color indexed="81"/>
            <rFont val="Tahoma"/>
            <family val="2"/>
          </rPr>
          <t xml:space="preserve">
This national average cost from ASTSWMO State Fund Survey maybe too low because the backlog sites are costing more, but the newly discovered sites will probably cost less.</t>
        </r>
      </text>
    </comment>
    <comment ref="D35" authorId="0" shapeId="0" xr:uid="{8EBEFDA2-9681-4ABF-B2B6-264304C3E91A}">
      <text>
        <r>
          <rPr>
            <b/>
            <sz val="9"/>
            <color indexed="81"/>
            <rFont val="Tahoma"/>
            <family val="2"/>
          </rPr>
          <t>Schruben, Thomas:</t>
        </r>
        <r>
          <rPr>
            <sz val="9"/>
            <color indexed="81"/>
            <rFont val="Tahoma"/>
            <family val="2"/>
          </rPr>
          <t xml:space="preserve">
Assume a fraction of the National Average Corrective Action Costs</t>
        </r>
      </text>
    </comment>
    <comment ref="E35" authorId="0" shapeId="0" xr:uid="{400490FB-14D7-49CA-902C-BC89974BA339}">
      <text>
        <r>
          <rPr>
            <b/>
            <sz val="9"/>
            <color indexed="81"/>
            <rFont val="Tahoma"/>
            <family val="2"/>
          </rPr>
          <t>Schruben, Thomas:</t>
        </r>
        <r>
          <rPr>
            <sz val="9"/>
            <color indexed="81"/>
            <rFont val="Tahoma"/>
            <family val="2"/>
          </rPr>
          <t xml:space="preserve">
Use average cost to complete a corrective action based on State Fund data, or use multiplied of national average cost per site from ASTSWMO survey.  Suggest bracketing this number to account for increasing and decreasing corrective action costs over time. </t>
        </r>
      </text>
    </comment>
    <comment ref="B36" authorId="0" shapeId="0" xr:uid="{2CC351DC-6D24-45BF-8CD1-3EB41AA82859}">
      <text>
        <r>
          <rPr>
            <b/>
            <sz val="9"/>
            <color indexed="81"/>
            <rFont val="Tahoma"/>
            <family val="2"/>
          </rPr>
          <t>Schruben, Thomas:</t>
        </r>
        <r>
          <rPr>
            <sz val="9"/>
            <color indexed="81"/>
            <rFont val="Tahoma"/>
            <family val="2"/>
          </rPr>
          <t xml:space="preserve">
Data from state database or assume a value</t>
        </r>
      </text>
    </comment>
    <comment ref="B37" authorId="0" shapeId="0" xr:uid="{5C6C96DE-DF06-4AF0-89B0-376202C0E3E9}">
      <text>
        <r>
          <rPr>
            <b/>
            <sz val="9"/>
            <color indexed="81"/>
            <rFont val="Tahoma"/>
            <family val="2"/>
          </rPr>
          <t>Schruben, Thomas:</t>
        </r>
        <r>
          <rPr>
            <sz val="9"/>
            <color indexed="81"/>
            <rFont val="Tahoma"/>
            <family val="2"/>
          </rPr>
          <t xml:space="preserve">
Median time to complete cleanup from State database or assume a time period</t>
        </r>
      </text>
    </comment>
    <comment ref="B38" authorId="0" shapeId="0" xr:uid="{94FC3833-FDCE-4D4D-BB6E-5BB1CCC1E606}">
      <text>
        <r>
          <rPr>
            <b/>
            <sz val="9"/>
            <color indexed="81"/>
            <rFont val="Tahoma"/>
            <family val="2"/>
          </rPr>
          <t>Schruben, Thomas:</t>
        </r>
        <r>
          <rPr>
            <sz val="9"/>
            <color indexed="81"/>
            <rFont val="Tahoma"/>
            <family val="2"/>
          </rPr>
          <t xml:space="preserve">
Average annual cost per site for MNA from State database or assume a cost</t>
        </r>
      </text>
    </comment>
    <comment ref="C41" authorId="0" shapeId="0" xr:uid="{0222A577-8D6D-4D10-AF33-E6D2B9FE7E15}">
      <text>
        <r>
          <rPr>
            <b/>
            <sz val="9"/>
            <color indexed="81"/>
            <rFont val="Tahoma"/>
            <family val="2"/>
          </rPr>
          <t xml:space="preserve">Schruben, Thomas: 
</t>
        </r>
        <r>
          <rPr>
            <sz val="9"/>
            <color indexed="81"/>
            <rFont val="Tahoma"/>
            <family val="2"/>
          </rPr>
          <t xml:space="preserve">Amount in surplus at the Starting Year.  Value from State database 
</t>
        </r>
      </text>
    </comment>
    <comment ref="C42" authorId="0" shapeId="0" xr:uid="{284A6F93-13C1-487E-8F5E-530504BBACAE}">
      <text>
        <r>
          <rPr>
            <b/>
            <sz val="9"/>
            <color indexed="81"/>
            <rFont val="Tahoma"/>
            <family val="2"/>
          </rPr>
          <t>Schruben, Thomas:</t>
        </r>
        <r>
          <rPr>
            <sz val="9"/>
            <color indexed="81"/>
            <rFont val="Tahoma"/>
            <family val="2"/>
          </rPr>
          <t xml:space="preserve">
State Fund Tax or Fee from State regulations.  ($0.0272 Rate shown in 2020 ASTSWMO Survey)  Modify column C of "Funding &amp; Surplus" tab to change the fee over future years </t>
        </r>
      </text>
    </comment>
    <comment ref="C43" authorId="0" shapeId="0" xr:uid="{C69133F0-894A-4332-B79B-DB2A53652D8B}">
      <text>
        <r>
          <rPr>
            <b/>
            <sz val="9"/>
            <color indexed="81"/>
            <rFont val="Tahoma"/>
            <family val="2"/>
          </rPr>
          <t>Schruben, Thomas:</t>
        </r>
        <r>
          <rPr>
            <sz val="9"/>
            <color indexed="81"/>
            <rFont val="Tahoma"/>
            <family val="2"/>
          </rPr>
          <t xml:space="preserve">
State Fund per tank Fee from State regulations.    Modify column E of "Funding &amp; Surplus" tab to change the per tank fee over future years</t>
        </r>
      </text>
    </comment>
    <comment ref="C44" authorId="0" shapeId="0" xr:uid="{4A651C16-4AAD-401E-8318-D4DCF739BB88}">
      <text>
        <r>
          <rPr>
            <b/>
            <sz val="9"/>
            <color indexed="81"/>
            <rFont val="Tahoma"/>
            <family val="2"/>
          </rPr>
          <t>Schruben, Thomas:</t>
        </r>
        <r>
          <rPr>
            <sz val="9"/>
            <color indexed="81"/>
            <rFont val="Tahoma"/>
            <family val="2"/>
          </rPr>
          <t xml:space="preserve">
For example State Fund balance cap</t>
        </r>
      </text>
    </comment>
    <comment ref="C45" authorId="0" shapeId="0" xr:uid="{15C2E081-BC1A-42CF-917A-9D273C786FBD}">
      <text>
        <r>
          <rPr>
            <b/>
            <sz val="9"/>
            <color indexed="81"/>
            <rFont val="Tahoma"/>
            <family val="2"/>
          </rPr>
          <t>Schruben, Thomas:</t>
        </r>
        <r>
          <rPr>
            <sz val="9"/>
            <color indexed="81"/>
            <rFont val="Tahoma"/>
            <family val="2"/>
          </rPr>
          <t xml:space="preserve">
Identify Other Expenses such as fund staff or funding for other departments.  Expressed as an amount to be deducted from the Net Income to yield the amount of funding that is available to spend on corrective action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Schruben, Thomas</author>
  </authors>
  <commentList>
    <comment ref="D10" authorId="0" shapeId="0" xr:uid="{86583A01-4BB6-4434-9012-9CEF9317B3C8}">
      <text>
        <r>
          <rPr>
            <b/>
            <sz val="9"/>
            <color indexed="81"/>
            <rFont val="Tahoma"/>
            <family val="2"/>
          </rPr>
          <t>Schruben, Thomas:</t>
        </r>
        <r>
          <rPr>
            <sz val="9"/>
            <color indexed="81"/>
            <rFont val="Tahoma"/>
            <family val="2"/>
          </rPr>
          <t xml:space="preserve">
Activwe sites, do not include TOS or Closed</t>
        </r>
      </text>
    </comment>
    <comment ref="E10" authorId="0" shapeId="0" xr:uid="{27F7A7CA-D4CA-44AB-8E26-7E7402B2CA24}">
      <text>
        <r>
          <rPr>
            <b/>
            <sz val="9"/>
            <color indexed="81"/>
            <rFont val="Tahoma"/>
            <family val="2"/>
          </rPr>
          <t>Schruben, Thomas:</t>
        </r>
        <r>
          <rPr>
            <sz val="9"/>
            <color indexed="81"/>
            <rFont val="Tahoma"/>
            <family val="2"/>
          </rPr>
          <t xml:space="preserve">
# of sites nneded to support annual fuel used. See datasheet for factors that increase in per site capacity over time</t>
        </r>
      </text>
    </comment>
    <comment ref="F10" authorId="0" shapeId="0" xr:uid="{2FE28404-393E-47B0-A2B3-9DCFBA463B06}">
      <text>
        <r>
          <rPr>
            <b/>
            <sz val="9"/>
            <color indexed="81"/>
            <rFont val="Tahoma"/>
            <family val="2"/>
          </rPr>
          <t>Schruben, Thomas:</t>
        </r>
        <r>
          <rPr>
            <sz val="9"/>
            <color indexed="81"/>
            <rFont val="Tahoma"/>
            <family val="2"/>
          </rPr>
          <t xml:space="preserve">
Assumes that the tank population will decrease as fuel use decreases.  This assumption should be checked over time.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Schruben, Thomas</author>
  </authors>
  <commentList>
    <comment ref="I9" authorId="0" shapeId="0" xr:uid="{A5A66D56-F336-460B-B918-BD65748AB2E1}">
      <text>
        <r>
          <rPr>
            <b/>
            <sz val="9"/>
            <color indexed="81"/>
            <rFont val="Tahoma"/>
            <family val="2"/>
          </rPr>
          <t>Schruben, Thomas:</t>
        </r>
        <r>
          <rPr>
            <sz val="9"/>
            <color indexed="81"/>
            <rFont val="Tahoma"/>
            <family val="2"/>
          </rPr>
          <t xml:space="preserve">
Fraction of Total Sites to Corrective Action  that are abandoned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Schruben, Thomas</author>
  </authors>
  <commentList>
    <comment ref="B11" authorId="0" shapeId="0" xr:uid="{A9CF8342-0D97-44B9-B60D-F8F232615FD9}">
      <text>
        <r>
          <rPr>
            <b/>
            <sz val="9"/>
            <color indexed="81"/>
            <rFont val="Tahoma"/>
            <family val="2"/>
          </rPr>
          <t>Schruben, Thomas:</t>
        </r>
        <r>
          <rPr>
            <sz val="9"/>
            <color indexed="81"/>
            <rFont val="Tahoma"/>
            <family val="2"/>
          </rPr>
          <t xml:space="preserve">
Assumes corrective action costs are spent on both owned and abandoned sites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Schruben, Thomas</author>
  </authors>
  <commentList>
    <comment ref="I10" authorId="0" shapeId="0" xr:uid="{5FA28052-68C4-4D2F-B6D7-091446ED8AEC}">
      <text>
        <r>
          <rPr>
            <b/>
            <sz val="9"/>
            <color indexed="81"/>
            <rFont val="Tahoma"/>
            <family val="2"/>
          </rPr>
          <t>Schruben, Thomas:</t>
        </r>
        <r>
          <rPr>
            <sz val="9"/>
            <color indexed="81"/>
            <rFont val="Tahoma"/>
            <family val="2"/>
          </rPr>
          <t xml:space="preserve">
Annual Fund cap of $30 million</t>
        </r>
      </text>
    </comment>
    <comment ref="M10" authorId="0" shapeId="0" xr:uid="{AF5B7B9B-43EC-44A7-9731-C8A73FB751A1}">
      <text>
        <r>
          <rPr>
            <b/>
            <sz val="9"/>
            <color indexed="81"/>
            <rFont val="Tahoma"/>
            <family val="2"/>
          </rPr>
          <t>Schruben, Thomas:</t>
        </r>
        <r>
          <rPr>
            <sz val="9"/>
            <color indexed="81"/>
            <rFont val="Tahoma"/>
            <family val="2"/>
          </rPr>
          <t xml:space="preserve">
Annual Revenue - Cleanup expenses</t>
        </r>
      </text>
    </comment>
  </commentList>
</comments>
</file>

<file path=xl/sharedStrings.xml><?xml version="1.0" encoding="utf-8"?>
<sst xmlns="http://schemas.openxmlformats.org/spreadsheetml/2006/main" count="141" uniqueCount="118">
  <si>
    <t>Motor Fuel Transition</t>
  </si>
  <si>
    <t>Cumulative surplus or (shortfall)</t>
  </si>
  <si>
    <t>Year</t>
  </si>
  <si>
    <t>Storage tank capacity needed</t>
  </si>
  <si>
    <t>Total</t>
  </si>
  <si>
    <t>Phase in years</t>
  </si>
  <si>
    <t>active USTs</t>
  </si>
  <si>
    <t>facilities</t>
  </si>
  <si>
    <t>Facilities/gpd</t>
  </si>
  <si>
    <t>avg</t>
  </si>
  <si>
    <t>USTs/ Fac</t>
  </si>
  <si>
    <t>Years to complete cleanup</t>
  </si>
  <si>
    <t>Corrective action costs ($ millions)</t>
  </si>
  <si>
    <t>Cumulative CA Costs</t>
  </si>
  <si>
    <t>IEA data</t>
  </si>
  <si>
    <t>k</t>
  </si>
  <si>
    <t>$ spent in first X years</t>
  </si>
  <si>
    <t>Motor Fuel Use (mb/d)</t>
  </si>
  <si>
    <t>Tab 1: Fuel Use Decline, Number of Tanks, &amp; Number of Sites</t>
  </si>
  <si>
    <t>Fuel Use Decline Scenarios</t>
  </si>
  <si>
    <t>Logistic Decline</t>
  </si>
  <si>
    <t>Yes/No</t>
  </si>
  <si>
    <t># Years</t>
  </si>
  <si>
    <r>
      <rPr>
        <sz val="11"/>
        <color theme="1"/>
        <rFont val="Calibri"/>
        <family val="2"/>
      </rPr>
      <t>x</t>
    </r>
    <r>
      <rPr>
        <vertAlign val="subscript"/>
        <sz val="11"/>
        <color theme="1"/>
        <rFont val="Calibri"/>
        <family val="2"/>
      </rPr>
      <t>0</t>
    </r>
  </si>
  <si>
    <t>Number of USTs</t>
  </si>
  <si>
    <t>Initial Fuel Use (mb/d)</t>
  </si>
  <si>
    <t>Initial # TOS sites</t>
  </si>
  <si>
    <t># TOS sites closed X%/year for Y years</t>
  </si>
  <si>
    <t>Initial fraction of sites where new release discovered at closure</t>
  </si>
  <si>
    <t>Final fraction of sites where new release discovered at closure - X% and Y years</t>
  </si>
  <si>
    <t>Initial Surplus in State Fund ($ millions)</t>
  </si>
  <si>
    <t>Reductions due to Fund Cap, or Legislative or Executive action ($millions)</t>
  </si>
  <si>
    <t># UST Sites</t>
  </si>
  <si>
    <t># USTs</t>
  </si>
  <si>
    <t>Costs by Year ($ millions)</t>
  </si>
  <si>
    <t>Initial Surplus in State Fund</t>
  </si>
  <si>
    <t>tax or fee on the quantity of fuel ($/gal)</t>
  </si>
  <si>
    <t>Other Expenses eg transfers out, staff, 3rd pty claims ($millions)</t>
  </si>
  <si>
    <t>$30m annual cap</t>
  </si>
  <si>
    <t>End fuel use (mb/d)</t>
  </si>
  <si>
    <t>YES</t>
  </si>
  <si>
    <t>Period CA Costs</t>
  </si>
  <si>
    <t>Tab 2: Number of Releases and Abandoned Sites</t>
  </si>
  <si>
    <t xml:space="preserve">Tab 3: Corrective Action Costs </t>
  </si>
  <si>
    <t>Tab 4: Funding &amp; Surplus</t>
  </si>
  <si>
    <t xml:space="preserve">Annual fee on each tank in service </t>
  </si>
  <si>
    <t>TBD</t>
  </si>
  <si>
    <t>Data Entry</t>
  </si>
  <si>
    <t>General Data</t>
  </si>
  <si>
    <t xml:space="preserve">Fuel use(x) = max-(max/(1+exp(-k(x-xo))  </t>
  </si>
  <si>
    <t>National Data Perspective</t>
  </si>
  <si>
    <t>Backlog to CA</t>
  </si>
  <si>
    <t>Discovery at Closure</t>
  </si>
  <si>
    <t xml:space="preserve">Net Income for UST Corrective Action 
</t>
  </si>
  <si>
    <t xml:space="preserve">Other Expenses </t>
  </si>
  <si>
    <r>
      <t xml:space="preserve">Reductions 
</t>
    </r>
    <r>
      <rPr>
        <sz val="12"/>
        <color theme="1"/>
        <rFont val="Calibri"/>
        <family val="2"/>
      </rPr>
      <t>due to Fund Cap, or Legislative or Executive action</t>
    </r>
  </si>
  <si>
    <t xml:space="preserve">State fund revenue, surplus and shortfall </t>
  </si>
  <si>
    <t>Net Income</t>
  </si>
  <si>
    <t>Reductions to Income and Expenses ($ millions)</t>
  </si>
  <si>
    <t>Revenue ($ millions)</t>
  </si>
  <si>
    <t xml:space="preserve">Periodic </t>
  </si>
  <si>
    <t>Cumulative</t>
  </si>
  <si>
    <t># years over which backlog MNA site cleanups are closed</t>
  </si>
  <si>
    <t>Newly Initiated or On-going Corrective Action Projects</t>
  </si>
  <si>
    <t>MNA Projects</t>
  </si>
  <si>
    <t xml:space="preserve">Corrective Action Cost Spread Over Time </t>
  </si>
  <si>
    <t>Sites w/ releases confirmed at UST closure</t>
  </si>
  <si>
    <t>Annual MNA cost</t>
  </si>
  <si>
    <t>Annual MNA Costs per Site</t>
  </si>
  <si>
    <t>Total Costs</t>
  </si>
  <si>
    <t>Period MNA Costs</t>
  </si>
  <si>
    <t>Total New and On-Going CA Costs</t>
  </si>
  <si>
    <r>
      <t>x</t>
    </r>
    <r>
      <rPr>
        <vertAlign val="subscript"/>
        <sz val="11"/>
        <color theme="1"/>
        <rFont val="Calibri"/>
        <family val="2"/>
      </rPr>
      <t>0</t>
    </r>
    <r>
      <rPr>
        <sz val="11"/>
        <color theme="1"/>
        <rFont val="Calibri"/>
        <family val="2"/>
        <scheme val="minor"/>
      </rPr>
      <t xml:space="preserve"> is the number of time periods to the inflection point.</t>
    </r>
  </si>
  <si>
    <t>Where:</t>
  </si>
  <si>
    <r>
      <t xml:space="preserve">Other Decline Function - </t>
    </r>
    <r>
      <rPr>
        <sz val="11"/>
        <color theme="1"/>
        <rFont val="Calibri"/>
        <family val="2"/>
      </rPr>
      <t>to be added</t>
    </r>
  </si>
  <si>
    <t>Yes/No (blank)</t>
  </si>
  <si>
    <t>Straight Line Decline</t>
  </si>
  <si>
    <t>Starting Year</t>
  </si>
  <si>
    <t>Avg capacity of sites increases X% over Y years</t>
  </si>
  <si>
    <t># sites closed and replaced by new sites X%/year</t>
  </si>
  <si>
    <t>manual adjust columns H and I on "Funding &amp; Surplus" tab</t>
  </si>
  <si>
    <t># USTs/site</t>
  </si>
  <si>
    <t>Initial # Backlog release sites - #, % currenty in ongoing cleanup, and % in MNA that will be closed</t>
  </si>
  <si>
    <t xml:space="preserve">k is &gt;0 and controls the slope of the decline curve; and </t>
  </si>
  <si>
    <t>max is the peak motor fuel use;</t>
  </si>
  <si>
    <t># years over which backlog site cleanups are initiated</t>
  </si>
  <si>
    <t>% of Total Sites to Corrective Action that become abandoned</t>
  </si>
  <si>
    <t>Initial # Active Sites</t>
  </si>
  <si>
    <t xml:space="preserve">Initial # Active Sites  </t>
  </si>
  <si>
    <t xml:space="preserve">Initial # Acive USTs </t>
  </si>
  <si>
    <t># Active Sites/Fuel Used (Sites/mb/d)</t>
  </si>
  <si>
    <t># Sites Retired from Less Need</t>
  </si>
  <si>
    <t># TOS Sites Cosed</t>
  </si>
  <si>
    <t>Initial # TOS Sites</t>
  </si>
  <si>
    <t>Fraction of Initial TOS Sites Closed Each Year</t>
  </si>
  <si>
    <t># USTs/ Site</t>
  </si>
  <si>
    <t># Sites Closed and Replaced w/ New Sites</t>
  </si>
  <si>
    <t>Cumulative # UST Sites Closed</t>
  </si>
  <si>
    <t># Active USTs Needed</t>
  </si>
  <si>
    <t># Active UST Sites Needed</t>
  </si>
  <si>
    <t xml:space="preserve">Total # Sites Closed </t>
  </si>
  <si>
    <t>Total # Sites to Corrective Action</t>
  </si>
  <si>
    <r>
      <t># Releases Discovery w/</t>
    </r>
    <r>
      <rPr>
        <b/>
        <sz val="14"/>
        <color theme="1"/>
        <rFont val="Calibri"/>
        <family val="2"/>
      </rPr>
      <t xml:space="preserve"> UST Repair or Replace</t>
    </r>
  </si>
  <si>
    <t>Fraction of Sites Where New Release Discovered at Closure</t>
  </si>
  <si>
    <r>
      <t>Abandoned Sites that Need Corrective Action</t>
    </r>
    <r>
      <rPr>
        <sz val="12"/>
        <color theme="1"/>
        <rFont val="Calibri"/>
        <family val="2"/>
      </rPr>
      <t xml:space="preserve"> </t>
    </r>
  </si>
  <si>
    <t>% sites w/ release discovery w/ USTs repaired or replaced - %/year</t>
  </si>
  <si>
    <t>Average Cost to Complete the Corrective Action</t>
  </si>
  <si>
    <r>
      <t xml:space="preserve">Average Cost to Complete the Corrective Action; </t>
    </r>
    <r>
      <rPr>
        <u/>
        <sz val="11"/>
        <color theme="1"/>
        <rFont val="Calibri"/>
        <family val="2"/>
      </rPr>
      <t>%</t>
    </r>
    <r>
      <rPr>
        <sz val="11"/>
        <color theme="1"/>
        <rFont val="Calibri"/>
        <family val="2"/>
        <scheme val="minor"/>
      </rPr>
      <t xml:space="preserve"> of </t>
    </r>
    <r>
      <rPr>
        <u/>
        <sz val="11"/>
        <color theme="1"/>
        <rFont val="Calibri"/>
        <family val="2"/>
        <scheme val="minor"/>
      </rPr>
      <t>National Average</t>
    </r>
  </si>
  <si>
    <t xml:space="preserve">Corrective Action Costs for Each Period </t>
  </si>
  <si>
    <t># Sites in MNA That Will Close</t>
  </si>
  <si>
    <t>Period surplus or (shortfall)</t>
  </si>
  <si>
    <t>Tax or Fee on Fuel 
($/gal)</t>
  </si>
  <si>
    <t xml:space="preserve">Total Gross Income </t>
  </si>
  <si>
    <t># TOS Sites Remaining</t>
  </si>
  <si>
    <t xml:space="preserve">Revenue from Fee on USTs </t>
  </si>
  <si>
    <t>Revenue from Tax or Fee on Fuel</t>
  </si>
  <si>
    <t>Fee on Each UST 
($/UST)</t>
  </si>
  <si>
    <t>Temporarily Out of Service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</si>
</sst>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43" formatCode="_(* #,##0.00_);_(* \(#,##0.00\);_(* &quot;-&quot;??_);_(@_)"/>
    <numFmt numFmtId="164" formatCode="0.0"/>
    <numFmt numFmtId="165" formatCode="_(* #,##0_);_(* \(#,##0\);_(* &quot;-&quot;??_);_(@_)"/>
    <numFmt numFmtId="166" formatCode="_(* #,##0_);_(* \(#,##0\);_(* &quot;-&quot;?_);_(@_)"/>
    <numFmt numFmtId="167" formatCode="_(&quot;$&quot;* #,##0_);_(&quot;$&quot;* \(#,##0\);_(&quot;$&quot;* &quot;-&quot;??_);_(@_)"/>
    <numFmt numFmtId="168" formatCode="0.0%"/>
    <numFmt numFmtId="169" formatCode="_(* #,##0.0_);_(* \(#,##0.0\);_(* &quot;-&quot;??_);_(@_)"/>
    <numFmt numFmtId="170" formatCode="_(* #,##0.0_);_(* \(#,##0.0\);_(* &quot;-&quot;?_);_(@_)"/>
    <numFmt numFmtId="171" formatCode="0.00000"/>
    <numFmt numFmtId="172" formatCode="&quot;$&quot;#,##0"/>
    <numFmt numFmtId="173" formatCode="&quot;$&quot;#,##0.000"/>
    <numFmt numFmtId="174" formatCode="&quot;$&quot;#,##0.0000"/>
    <numFmt numFmtId="175" formatCode="&quot;$&quot;#,##0.0_);\(&quot;$&quot;#,##0.0\)"/>
    <numFmt numFmtId="176" formatCode="&quot;$&quot;#,##0.0"/>
    <numFmt numFmtId="177" formatCode="&quot;$&quot;#,##0.00000_);\(&quot;$&quot;#,##0.00000\)"/>
  </numFmts>
  <fonts count="24" x14ac:knownFonts="1">
    <font>
      <sz val="11"/>
      <color theme="1"/>
      <name val="Calibri"/>
      <family val="2"/>
      <scheme val="minor"/>
    </font>
    <font>
      <b/>
      <sz val="11"/>
      <color theme="1"/>
      <name val="Calibri"/>
      <family val="2"/>
      <scheme val="minor"/>
    </font>
    <font>
      <sz val="12"/>
      <color theme="1"/>
      <name val="Arial"/>
      <family val="2"/>
    </font>
    <font>
      <sz val="9"/>
      <color indexed="81"/>
      <name val="Tahoma"/>
      <family val="2"/>
    </font>
    <font>
      <b/>
      <sz val="9"/>
      <color indexed="81"/>
      <name val="Tahoma"/>
      <family val="2"/>
    </font>
    <font>
      <sz val="12"/>
      <color theme="1"/>
      <name val="Calibri"/>
      <family val="2"/>
      <scheme val="minor"/>
    </font>
    <font>
      <b/>
      <sz val="14"/>
      <color theme="1"/>
      <name val="Calibri"/>
      <family val="2"/>
      <scheme val="minor"/>
    </font>
    <font>
      <b/>
      <sz val="14"/>
      <color theme="1"/>
      <name val="Arial"/>
      <family val="2"/>
    </font>
    <font>
      <b/>
      <sz val="12"/>
      <color theme="1"/>
      <name val="Calibri"/>
      <family val="2"/>
      <scheme val="minor"/>
    </font>
    <font>
      <b/>
      <sz val="12"/>
      <color theme="1"/>
      <name val="Arial"/>
      <family val="2"/>
    </font>
    <font>
      <b/>
      <sz val="20"/>
      <color theme="1"/>
      <name val="Calibri"/>
      <family val="2"/>
      <scheme val="minor"/>
    </font>
    <font>
      <sz val="11"/>
      <color theme="1"/>
      <name val="Calibri"/>
      <family val="2"/>
      <scheme val="minor"/>
    </font>
    <font>
      <sz val="12"/>
      <color rgb="FF222222"/>
      <name val="Calibri"/>
      <family val="2"/>
      <scheme val="minor"/>
    </font>
    <font>
      <sz val="14"/>
      <color rgb="FF000000"/>
      <name val="Calibri"/>
      <family val="2"/>
      <scheme val="minor"/>
    </font>
    <font>
      <b/>
      <sz val="12"/>
      <color rgb="FF000000"/>
      <name val="Calibri"/>
      <family val="2"/>
      <scheme val="minor"/>
    </font>
    <font>
      <vertAlign val="subscript"/>
      <sz val="11"/>
      <color theme="1"/>
      <name val="Calibri"/>
      <family val="2"/>
    </font>
    <font>
      <sz val="11"/>
      <color theme="1"/>
      <name val="Calibri"/>
      <family val="2"/>
    </font>
    <font>
      <sz val="12"/>
      <color theme="1"/>
      <name val="Calibri"/>
      <family val="2"/>
    </font>
    <font>
      <b/>
      <sz val="14"/>
      <color rgb="FF000000"/>
      <name val="Calibri"/>
      <family val="2"/>
      <scheme val="minor"/>
    </font>
    <font>
      <b/>
      <sz val="18"/>
      <color theme="1"/>
      <name val="Arial"/>
      <family val="2"/>
    </font>
    <font>
      <sz val="20"/>
      <color theme="1"/>
      <name val="Calibri"/>
      <family val="2"/>
      <scheme val="minor"/>
    </font>
    <font>
      <b/>
      <sz val="14"/>
      <color theme="1"/>
      <name val="Calibri"/>
      <family val="2"/>
    </font>
    <font>
      <u/>
      <sz val="11"/>
      <color theme="1"/>
      <name val="Calibri"/>
      <family val="2"/>
    </font>
    <font>
      <u/>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32">
    <xf numFmtId="0" fontId="0" fillId="0" borderId="0" xfId="0"/>
    <xf numFmtId="0" fontId="0" fillId="0" borderId="0" xfId="0" applyBorder="1"/>
    <xf numFmtId="0" fontId="5" fillId="0" borderId="0" xfId="0" applyFont="1" applyAlignment="1">
      <alignment horizontal="center" wrapText="1"/>
    </xf>
    <xf numFmtId="0" fontId="5" fillId="0" borderId="0" xfId="0" applyFont="1"/>
    <xf numFmtId="0" fontId="6" fillId="0" borderId="0" xfId="0" applyFont="1"/>
    <xf numFmtId="0" fontId="5" fillId="0" borderId="0" xfId="0" applyFont="1" applyBorder="1" applyAlignment="1">
      <alignment horizontal="center" wrapText="1"/>
    </xf>
    <xf numFmtId="0" fontId="1" fillId="0" borderId="0" xfId="0" applyFont="1" applyBorder="1"/>
    <xf numFmtId="0" fontId="10" fillId="0" borderId="0" xfId="0" applyFont="1" applyAlignment="1">
      <alignment horizontal="left"/>
    </xf>
    <xf numFmtId="0" fontId="1" fillId="0" borderId="0" xfId="0" applyFont="1"/>
    <xf numFmtId="0" fontId="5" fillId="0" borderId="1" xfId="0" applyFont="1" applyBorder="1" applyAlignment="1">
      <alignment horizontal="center" wrapText="1"/>
    </xf>
    <xf numFmtId="0" fontId="6" fillId="0" borderId="9" xfId="0" applyFont="1" applyBorder="1"/>
    <xf numFmtId="0" fontId="8" fillId="0" borderId="10" xfId="0" applyFont="1" applyBorder="1" applyAlignment="1">
      <alignment horizontal="center" wrapText="1"/>
    </xf>
    <xf numFmtId="0" fontId="8" fillId="0" borderId="11" xfId="0" applyFont="1" applyBorder="1" applyAlignment="1">
      <alignment horizontal="center"/>
    </xf>
    <xf numFmtId="0" fontId="5" fillId="0" borderId="0" xfId="0" applyFont="1" applyBorder="1"/>
    <xf numFmtId="0" fontId="5" fillId="0" borderId="13" xfId="0" applyFont="1" applyBorder="1"/>
    <xf numFmtId="0" fontId="5" fillId="0" borderId="14" xfId="0" applyFont="1" applyBorder="1"/>
    <xf numFmtId="0" fontId="8" fillId="0" borderId="1" xfId="0" applyFont="1" applyBorder="1" applyAlignment="1">
      <alignment horizontal="right"/>
    </xf>
    <xf numFmtId="0" fontId="5" fillId="0" borderId="3" xfId="0" applyFont="1" applyBorder="1"/>
    <xf numFmtId="0" fontId="5" fillId="0" borderId="4" xfId="0" applyFont="1" applyBorder="1"/>
    <xf numFmtId="0" fontId="5" fillId="0" borderId="2" xfId="0" applyFont="1" applyBorder="1"/>
    <xf numFmtId="0" fontId="5" fillId="0" borderId="11" xfId="0" applyFont="1" applyBorder="1"/>
    <xf numFmtId="0" fontId="5" fillId="0" borderId="1" xfId="0" applyFont="1" applyBorder="1"/>
    <xf numFmtId="0" fontId="5" fillId="0" borderId="0" xfId="0" applyFont="1" applyAlignment="1">
      <alignment wrapText="1"/>
    </xf>
    <xf numFmtId="0" fontId="8" fillId="0" borderId="0" xfId="0" applyFont="1" applyAlignment="1">
      <alignment wrapText="1"/>
    </xf>
    <xf numFmtId="0" fontId="9" fillId="0" borderId="1" xfId="0" applyFont="1" applyBorder="1" applyAlignment="1">
      <alignment horizontal="center" wrapText="1"/>
    </xf>
    <xf numFmtId="165" fontId="5" fillId="0" borderId="0" xfId="0" applyNumberFormat="1" applyFont="1" applyBorder="1"/>
    <xf numFmtId="166" fontId="5" fillId="0" borderId="13" xfId="0" applyNumberFormat="1" applyFont="1" applyBorder="1"/>
    <xf numFmtId="166" fontId="5" fillId="0" borderId="0" xfId="0" applyNumberFormat="1" applyFont="1" applyBorder="1"/>
    <xf numFmtId="165" fontId="5" fillId="0" borderId="0" xfId="1" applyNumberFormat="1" applyFont="1" applyBorder="1"/>
    <xf numFmtId="167" fontId="5" fillId="2" borderId="14" xfId="2" applyNumberFormat="1" applyFont="1" applyFill="1" applyBorder="1"/>
    <xf numFmtId="167" fontId="5" fillId="0" borderId="4" xfId="0" applyNumberFormat="1" applyFont="1" applyBorder="1"/>
    <xf numFmtId="166" fontId="5" fillId="0" borderId="14" xfId="0" applyNumberFormat="1" applyFont="1" applyBorder="1"/>
    <xf numFmtId="165" fontId="5" fillId="0" borderId="2" xfId="0" applyNumberFormat="1" applyFont="1" applyBorder="1"/>
    <xf numFmtId="166" fontId="5" fillId="0" borderId="11" xfId="0" applyNumberFormat="1" applyFont="1" applyBorder="1"/>
    <xf numFmtId="165" fontId="0" fillId="0" borderId="0" xfId="0" applyNumberFormat="1"/>
    <xf numFmtId="0" fontId="0" fillId="0" borderId="0" xfId="0" applyAlignment="1">
      <alignment horizontal="center"/>
    </xf>
    <xf numFmtId="0" fontId="8" fillId="0" borderId="0" xfId="0" applyFont="1" applyBorder="1" applyAlignment="1">
      <alignment horizontal="center"/>
    </xf>
    <xf numFmtId="164" fontId="0" fillId="0" borderId="16" xfId="0" applyNumberFormat="1" applyBorder="1"/>
    <xf numFmtId="3" fontId="0" fillId="0" borderId="16" xfId="0" applyNumberFormat="1" applyBorder="1"/>
    <xf numFmtId="1" fontId="0" fillId="0" borderId="16" xfId="0" applyNumberFormat="1" applyBorder="1"/>
    <xf numFmtId="0" fontId="1" fillId="0" borderId="15" xfId="0" applyFont="1" applyBorder="1"/>
    <xf numFmtId="0" fontId="1" fillId="0" borderId="17" xfId="0" applyFont="1" applyBorder="1"/>
    <xf numFmtId="164" fontId="0" fillId="0" borderId="18" xfId="0" applyNumberFormat="1" applyBorder="1"/>
    <xf numFmtId="0" fontId="1" fillId="0" borderId="5" xfId="0" applyFont="1" applyBorder="1" applyAlignment="1">
      <alignment horizontal="right"/>
    </xf>
    <xf numFmtId="0" fontId="0" fillId="0" borderId="6" xfId="0" applyBorder="1"/>
    <xf numFmtId="1" fontId="0" fillId="0" borderId="6" xfId="0" applyNumberFormat="1" applyBorder="1"/>
    <xf numFmtId="164" fontId="0" fillId="0" borderId="7" xfId="0" applyNumberFormat="1" applyBorder="1"/>
    <xf numFmtId="0" fontId="1" fillId="0" borderId="19" xfId="0" applyFont="1" applyBorder="1"/>
    <xf numFmtId="164" fontId="0" fillId="0" borderId="20" xfId="0" applyNumberFormat="1" applyBorder="1"/>
    <xf numFmtId="3" fontId="0" fillId="0" borderId="20" xfId="0" applyNumberFormat="1" applyBorder="1"/>
    <xf numFmtId="1" fontId="0" fillId="0" borderId="20" xfId="0" applyNumberFormat="1" applyBorder="1"/>
    <xf numFmtId="164" fontId="0" fillId="0" borderId="21" xfId="0" applyNumberFormat="1" applyBorder="1"/>
    <xf numFmtId="0" fontId="1" fillId="0" borderId="22" xfId="0" applyFont="1" applyBorder="1"/>
    <xf numFmtId="164" fontId="0" fillId="0" borderId="23" xfId="0" applyNumberFormat="1" applyBorder="1"/>
    <xf numFmtId="3" fontId="0" fillId="0" borderId="23" xfId="0" applyNumberFormat="1" applyBorder="1"/>
    <xf numFmtId="1" fontId="0" fillId="0" borderId="23" xfId="0" applyNumberFormat="1" applyBorder="1"/>
    <xf numFmtId="164" fontId="0" fillId="0" borderId="24" xfId="0" applyNumberFormat="1" applyBorder="1"/>
    <xf numFmtId="0" fontId="0" fillId="0" borderId="12" xfId="0" applyBorder="1" applyAlignment="1">
      <alignment horizontal="center"/>
    </xf>
    <xf numFmtId="0" fontId="0" fillId="0" borderId="8" xfId="0" applyBorder="1" applyAlignment="1">
      <alignment horizontal="center"/>
    </xf>
    <xf numFmtId="166" fontId="5" fillId="0" borderId="3" xfId="0" applyNumberFormat="1" applyFont="1" applyBorder="1"/>
    <xf numFmtId="166" fontId="5" fillId="0" borderId="1" xfId="0" applyNumberFormat="1" applyFont="1" applyBorder="1"/>
    <xf numFmtId="168" fontId="5" fillId="0" borderId="3" xfId="0" applyNumberFormat="1" applyFont="1" applyBorder="1"/>
    <xf numFmtId="0" fontId="2" fillId="2" borderId="1" xfId="0" applyFont="1" applyFill="1" applyBorder="1" applyAlignment="1">
      <alignment horizontal="center"/>
    </xf>
    <xf numFmtId="0" fontId="8" fillId="0" borderId="5" xfId="0" applyFont="1" applyBorder="1" applyAlignment="1">
      <alignment horizontal="center" wrapText="1"/>
    </xf>
    <xf numFmtId="169" fontId="5" fillId="0" borderId="0" xfId="1" applyNumberFormat="1" applyFont="1" applyBorder="1"/>
    <xf numFmtId="0" fontId="7" fillId="0" borderId="12" xfId="0" applyFont="1" applyBorder="1" applyAlignment="1">
      <alignment horizontal="center"/>
    </xf>
    <xf numFmtId="0" fontId="7" fillId="0" borderId="15" xfId="0" applyFont="1" applyBorder="1" applyAlignment="1">
      <alignment horizontal="left"/>
    </xf>
    <xf numFmtId="0" fontId="1" fillId="0" borderId="12" xfId="0" applyFont="1" applyBorder="1"/>
    <xf numFmtId="0" fontId="1" fillId="0" borderId="25" xfId="0" applyFont="1" applyBorder="1"/>
    <xf numFmtId="0" fontId="1" fillId="0" borderId="26" xfId="0" applyFont="1" applyBorder="1"/>
    <xf numFmtId="0" fontId="1" fillId="0" borderId="27" xfId="0" applyFont="1" applyBorder="1"/>
    <xf numFmtId="0" fontId="1" fillId="0" borderId="6" xfId="0" applyFont="1" applyBorder="1" applyAlignment="1">
      <alignment horizontal="right"/>
    </xf>
    <xf numFmtId="0" fontId="0" fillId="0" borderId="0" xfId="0" applyAlignment="1">
      <alignment vertical="top"/>
    </xf>
    <xf numFmtId="0" fontId="7" fillId="0" borderId="0" xfId="0" applyFont="1" applyBorder="1" applyAlignment="1">
      <alignment horizontal="left"/>
    </xf>
    <xf numFmtId="166" fontId="5" fillId="0" borderId="4" xfId="0" applyNumberFormat="1" applyFont="1" applyBorder="1"/>
    <xf numFmtId="0" fontId="13" fillId="0" borderId="0" xfId="0" applyFont="1" applyFill="1" applyBorder="1" applyAlignment="1">
      <alignment horizontal="left" vertical="center" wrapText="1"/>
    </xf>
    <xf numFmtId="0" fontId="0" fillId="0" borderId="0" xfId="0" applyFill="1" applyBorder="1"/>
    <xf numFmtId="0" fontId="5" fillId="0" borderId="0" xfId="0" applyFont="1" applyFill="1" applyBorder="1" applyAlignment="1">
      <alignment horizontal="center"/>
    </xf>
    <xf numFmtId="0" fontId="0" fillId="0" borderId="0" xfId="0" applyFill="1" applyBorder="1" applyAlignment="1">
      <alignment horizontal="center"/>
    </xf>
    <xf numFmtId="0" fontId="9" fillId="0" borderId="2" xfId="0" applyFont="1" applyBorder="1" applyAlignment="1">
      <alignment horizontal="center" wrapText="1"/>
    </xf>
    <xf numFmtId="166" fontId="5" fillId="2" borderId="13" xfId="0" applyNumberFormat="1" applyFont="1" applyFill="1" applyBorder="1"/>
    <xf numFmtId="9" fontId="5" fillId="2" borderId="0" xfId="3" applyFont="1" applyFill="1" applyBorder="1" applyAlignment="1">
      <alignment horizontal="center"/>
    </xf>
    <xf numFmtId="9" fontId="12" fillId="0" borderId="0" xfId="3" applyNumberFormat="1" applyFont="1" applyAlignment="1">
      <alignment horizontal="center"/>
    </xf>
    <xf numFmtId="9" fontId="5" fillId="2" borderId="0" xfId="0" applyNumberFormat="1" applyFont="1" applyFill="1" applyBorder="1" applyAlignment="1">
      <alignment horizontal="center"/>
    </xf>
    <xf numFmtId="0" fontId="5" fillId="0" borderId="0" xfId="0" applyFont="1" applyBorder="1" applyAlignment="1">
      <alignment horizontal="center"/>
    </xf>
    <xf numFmtId="0" fontId="14" fillId="0" borderId="10" xfId="0" applyFont="1" applyBorder="1" applyAlignment="1">
      <alignment horizontal="center" wrapText="1"/>
    </xf>
    <xf numFmtId="0" fontId="14" fillId="0" borderId="11" xfId="0" applyFont="1" applyBorder="1" applyAlignment="1">
      <alignment horizontal="center"/>
    </xf>
    <xf numFmtId="0" fontId="14" fillId="0" borderId="1" xfId="0" applyFont="1" applyBorder="1" applyAlignment="1">
      <alignment horizontal="right"/>
    </xf>
    <xf numFmtId="169" fontId="5" fillId="2" borderId="11" xfId="1" applyNumberFormat="1" applyFont="1" applyFill="1" applyBorder="1"/>
    <xf numFmtId="0" fontId="6" fillId="0" borderId="15" xfId="0" applyFont="1" applyBorder="1"/>
    <xf numFmtId="0" fontId="8" fillId="0" borderId="14" xfId="0" applyFont="1" applyBorder="1" applyAlignment="1">
      <alignment horizontal="center"/>
    </xf>
    <xf numFmtId="0" fontId="8" fillId="0" borderId="2" xfId="0" applyFont="1" applyBorder="1" applyAlignment="1">
      <alignment horizontal="right"/>
    </xf>
    <xf numFmtId="1" fontId="12" fillId="0" borderId="11" xfId="0" applyNumberFormat="1" applyFont="1" applyBorder="1"/>
    <xf numFmtId="0" fontId="0" fillId="0" borderId="0" xfId="0" applyAlignment="1">
      <alignment vertical="center"/>
    </xf>
    <xf numFmtId="0" fontId="7" fillId="0" borderId="0" xfId="0" applyFont="1" applyBorder="1" applyAlignment="1">
      <alignment horizontal="left" vertical="center"/>
    </xf>
    <xf numFmtId="0" fontId="0" fillId="0" borderId="16" xfId="0" applyBorder="1" applyAlignment="1">
      <alignment vertical="center" wrapText="1"/>
    </xf>
    <xf numFmtId="9" fontId="0" fillId="2" borderId="16" xfId="3" applyFont="1" applyFill="1" applyBorder="1" applyAlignment="1">
      <alignment horizontal="center" vertical="center"/>
    </xf>
    <xf numFmtId="0" fontId="0" fillId="2" borderId="16" xfId="0" applyFill="1" applyBorder="1" applyAlignment="1">
      <alignment horizontal="center"/>
    </xf>
    <xf numFmtId="0" fontId="5" fillId="0" borderId="16" xfId="0" applyFont="1" applyBorder="1" applyAlignment="1">
      <alignment horizontal="left" vertical="center" wrapText="1"/>
    </xf>
    <xf numFmtId="0" fontId="5" fillId="2" borderId="16" xfId="0" applyFont="1" applyFill="1" applyBorder="1" applyAlignment="1">
      <alignment horizontal="center" vertical="center" wrapText="1"/>
    </xf>
    <xf numFmtId="168" fontId="5" fillId="2" borderId="16" xfId="0" applyNumberFormat="1" applyFont="1" applyFill="1" applyBorder="1" applyAlignment="1">
      <alignment horizontal="center" vertical="center" wrapText="1"/>
    </xf>
    <xf numFmtId="9" fontId="5" fillId="2" borderId="16" xfId="0" applyNumberFormat="1" applyFont="1" applyFill="1" applyBorder="1" applyAlignment="1">
      <alignment horizontal="center" vertical="center" wrapText="1"/>
    </xf>
    <xf numFmtId="0" fontId="0" fillId="2" borderId="16" xfId="0" applyFill="1" applyBorder="1"/>
    <xf numFmtId="0" fontId="0" fillId="0" borderId="16" xfId="0" applyBorder="1" applyAlignment="1">
      <alignment vertical="center"/>
    </xf>
    <xf numFmtId="166" fontId="5" fillId="2" borderId="16"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0" fontId="0" fillId="2" borderId="16" xfId="0" applyFill="1" applyBorder="1" applyAlignment="1">
      <alignment horizontal="center" vertical="center"/>
    </xf>
    <xf numFmtId="168" fontId="0" fillId="2" borderId="16" xfId="0" applyNumberForma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vertical="center" wrapText="1"/>
    </xf>
    <xf numFmtId="0" fontId="0" fillId="0" borderId="16" xfId="0" applyBorder="1"/>
    <xf numFmtId="0" fontId="15" fillId="0" borderId="16" xfId="0" applyFont="1" applyBorder="1"/>
    <xf numFmtId="0" fontId="9" fillId="0" borderId="0" xfId="0" applyFont="1" applyBorder="1" applyAlignment="1">
      <alignment horizontal="left"/>
    </xf>
    <xf numFmtId="0" fontId="19" fillId="0" borderId="0" xfId="0" applyFont="1" applyBorder="1" applyAlignment="1">
      <alignment horizontal="left"/>
    </xf>
    <xf numFmtId="2" fontId="5" fillId="2" borderId="16" xfId="0" applyNumberFormat="1" applyFont="1" applyFill="1" applyBorder="1" applyAlignment="1">
      <alignment horizontal="center"/>
    </xf>
    <xf numFmtId="0" fontId="0" fillId="2" borderId="16" xfId="0" applyFill="1" applyBorder="1" applyAlignment="1">
      <alignment horizontal="center" vertical="center" wrapText="1"/>
    </xf>
    <xf numFmtId="0" fontId="0" fillId="0" borderId="0" xfId="0" applyFill="1"/>
    <xf numFmtId="0" fontId="0" fillId="0" borderId="28" xfId="0" applyBorder="1" applyAlignment="1">
      <alignment vertical="center"/>
    </xf>
    <xf numFmtId="165" fontId="5" fillId="2" borderId="28" xfId="1" applyNumberFormat="1" applyFont="1" applyFill="1" applyBorder="1" applyAlignment="1">
      <alignment horizontal="center" vertical="center"/>
    </xf>
    <xf numFmtId="0" fontId="0" fillId="0" borderId="29" xfId="0" applyBorder="1" applyAlignment="1">
      <alignment vertical="center" wrapText="1"/>
    </xf>
    <xf numFmtId="168" fontId="5" fillId="2" borderId="29" xfId="0" applyNumberFormat="1" applyFont="1" applyFill="1" applyBorder="1" applyAlignment="1">
      <alignment horizontal="center" vertical="center" wrapText="1"/>
    </xf>
    <xf numFmtId="0" fontId="0" fillId="0" borderId="16" xfId="0" applyFill="1" applyBorder="1" applyAlignment="1">
      <alignment vertical="center" wrapText="1"/>
    </xf>
    <xf numFmtId="0" fontId="20" fillId="0" borderId="0" xfId="0" applyFont="1" applyFill="1" applyBorder="1"/>
    <xf numFmtId="0" fontId="20" fillId="0" borderId="0" xfId="0" applyFont="1"/>
    <xf numFmtId="0" fontId="8" fillId="0" borderId="6" xfId="0" applyFont="1" applyBorder="1" applyAlignment="1">
      <alignment horizontal="center" wrapText="1"/>
    </xf>
    <xf numFmtId="0" fontId="6" fillId="0" borderId="1" xfId="0" applyFont="1" applyBorder="1" applyAlignment="1">
      <alignment horizontal="center" wrapText="1"/>
    </xf>
    <xf numFmtId="172" fontId="5" fillId="0" borderId="13" xfId="0" applyNumberFormat="1" applyFont="1" applyBorder="1"/>
    <xf numFmtId="172" fontId="5" fillId="0" borderId="2" xfId="0" applyNumberFormat="1" applyFont="1" applyBorder="1"/>
    <xf numFmtId="172" fontId="5" fillId="0" borderId="4" xfId="0" applyNumberFormat="1" applyFont="1" applyBorder="1"/>
    <xf numFmtId="5" fontId="5" fillId="2" borderId="13" xfId="2" applyNumberFormat="1" applyFont="1" applyFill="1" applyBorder="1"/>
    <xf numFmtId="5" fontId="5" fillId="0" borderId="13" xfId="2" applyNumberFormat="1" applyFont="1" applyBorder="1"/>
    <xf numFmtId="0" fontId="7" fillId="0" borderId="2" xfId="0" applyFont="1" applyBorder="1" applyAlignment="1">
      <alignment horizontal="left"/>
    </xf>
    <xf numFmtId="0" fontId="18" fillId="0" borderId="11" xfId="0" applyFont="1" applyBorder="1"/>
    <xf numFmtId="0" fontId="7" fillId="0" borderId="0" xfId="0" applyFont="1" applyBorder="1" applyAlignment="1">
      <alignment horizontal="center"/>
    </xf>
    <xf numFmtId="0" fontId="6" fillId="0" borderId="0" xfId="0" applyFont="1" applyBorder="1" applyAlignment="1">
      <alignment horizontal="center"/>
    </xf>
    <xf numFmtId="170" fontId="5" fillId="0" borderId="11" xfId="0" applyNumberFormat="1" applyFont="1" applyBorder="1"/>
    <xf numFmtId="170" fontId="5" fillId="0" borderId="14" xfId="0" applyNumberFormat="1" applyFont="1" applyBorder="1"/>
    <xf numFmtId="173" fontId="5" fillId="2" borderId="16" xfId="2" applyNumberFormat="1" applyFont="1" applyFill="1" applyBorder="1" applyAlignment="1">
      <alignment horizontal="center" vertical="center"/>
    </xf>
    <xf numFmtId="174" fontId="5" fillId="2" borderId="16" xfId="2" applyNumberFormat="1" applyFont="1" applyFill="1" applyBorder="1" applyAlignment="1">
      <alignment horizontal="center" vertical="center"/>
    </xf>
    <xf numFmtId="172" fontId="5" fillId="2" borderId="16" xfId="2" applyNumberFormat="1" applyFont="1" applyFill="1" applyBorder="1" applyAlignment="1">
      <alignment horizontal="center" vertical="center"/>
    </xf>
    <xf numFmtId="5" fontId="5" fillId="3" borderId="16" xfId="2" applyNumberFormat="1" applyFont="1" applyFill="1" applyBorder="1" applyAlignment="1">
      <alignment horizontal="center" vertical="center"/>
    </xf>
    <xf numFmtId="168" fontId="5" fillId="2" borderId="16" xfId="3" applyNumberFormat="1" applyFont="1" applyFill="1" applyBorder="1" applyAlignment="1">
      <alignment horizontal="center" vertical="center"/>
    </xf>
    <xf numFmtId="168" fontId="0" fillId="2" borderId="16" xfId="3" applyNumberFormat="1" applyFont="1" applyFill="1" applyBorder="1" applyAlignment="1">
      <alignment horizontal="center" vertical="center"/>
    </xf>
    <xf numFmtId="0" fontId="0" fillId="2" borderId="29" xfId="0" applyFill="1" applyBorder="1" applyAlignment="1">
      <alignment horizontal="center" vertical="center"/>
    </xf>
    <xf numFmtId="172" fontId="0" fillId="2" borderId="16" xfId="0" applyNumberFormat="1" applyFill="1" applyBorder="1" applyAlignment="1">
      <alignment horizontal="center" vertical="center"/>
    </xf>
    <xf numFmtId="0" fontId="6" fillId="0" borderId="11" xfId="0" applyFont="1" applyBorder="1"/>
    <xf numFmtId="169" fontId="5" fillId="0" borderId="13" xfId="1" applyNumberFormat="1" applyFont="1" applyBorder="1"/>
    <xf numFmtId="0" fontId="6" fillId="0" borderId="12" xfId="0" applyFont="1" applyBorder="1"/>
    <xf numFmtId="1" fontId="8" fillId="0" borderId="14" xfId="0" applyNumberFormat="1" applyFont="1" applyBorder="1" applyAlignment="1">
      <alignment horizontal="center"/>
    </xf>
    <xf numFmtId="5" fontId="5" fillId="2" borderId="0" xfId="1" applyNumberFormat="1" applyFont="1" applyFill="1" applyBorder="1"/>
    <xf numFmtId="175" fontId="5" fillId="0" borderId="13" xfId="1" applyNumberFormat="1" applyFont="1" applyBorder="1"/>
    <xf numFmtId="176" fontId="5" fillId="0" borderId="14" xfId="0" applyNumberFormat="1" applyFont="1" applyBorder="1"/>
    <xf numFmtId="176" fontId="5" fillId="0" borderId="11" xfId="0" applyNumberFormat="1" applyFont="1" applyBorder="1"/>
    <xf numFmtId="172" fontId="5" fillId="0" borderId="1" xfId="0" applyNumberFormat="1" applyFont="1" applyBorder="1"/>
    <xf numFmtId="9" fontId="5" fillId="0" borderId="0" xfId="3" applyFont="1"/>
    <xf numFmtId="10" fontId="5" fillId="0" borderId="0" xfId="3" applyNumberFormat="1" applyFont="1"/>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4" xfId="0" applyFont="1" applyBorder="1" applyAlignment="1">
      <alignment horizontal="center" wrapText="1"/>
    </xf>
    <xf numFmtId="0" fontId="8" fillId="0" borderId="7" xfId="0" applyFont="1" applyBorder="1" applyAlignment="1">
      <alignment horizontal="center" wrapText="1"/>
    </xf>
    <xf numFmtId="171" fontId="12" fillId="0" borderId="11" xfId="0" applyNumberFormat="1" applyFont="1" applyBorder="1" applyAlignment="1">
      <alignment horizontal="center"/>
    </xf>
    <xf numFmtId="165" fontId="5" fillId="2" borderId="0" xfId="1" applyNumberFormat="1" applyFont="1" applyFill="1" applyAlignment="1">
      <alignment horizontal="center"/>
    </xf>
    <xf numFmtId="165" fontId="5" fillId="0" borderId="0" xfId="0" applyNumberFormat="1" applyFont="1" applyBorder="1" applyAlignment="1">
      <alignment horizontal="center"/>
    </xf>
    <xf numFmtId="166" fontId="5" fillId="0" borderId="13" xfId="0" applyNumberFormat="1" applyFont="1" applyBorder="1" applyAlignment="1">
      <alignment horizontal="center"/>
    </xf>
    <xf numFmtId="166" fontId="5" fillId="0" borderId="0" xfId="0" applyNumberFormat="1" applyFont="1" applyBorder="1" applyAlignment="1">
      <alignment horizontal="center"/>
    </xf>
    <xf numFmtId="165" fontId="5" fillId="0" borderId="0" xfId="0" applyNumberFormat="1" applyFont="1" applyFill="1" applyBorder="1" applyAlignment="1">
      <alignment horizontal="center"/>
    </xf>
    <xf numFmtId="9" fontId="5" fillId="0" borderId="0" xfId="3" applyFont="1" applyBorder="1" applyAlignment="1">
      <alignment horizontal="center"/>
    </xf>
    <xf numFmtId="170" fontId="5" fillId="0" borderId="0" xfId="0" applyNumberFormat="1" applyFont="1" applyBorder="1" applyAlignment="1">
      <alignment horizontal="center"/>
    </xf>
    <xf numFmtId="164" fontId="5" fillId="2" borderId="14" xfId="0" applyNumberFormat="1" applyFont="1" applyFill="1" applyBorder="1" applyAlignment="1">
      <alignment horizontal="center"/>
    </xf>
    <xf numFmtId="166" fontId="5" fillId="2" borderId="13" xfId="0" applyNumberFormat="1" applyFont="1" applyFill="1" applyBorder="1" applyAlignment="1">
      <alignment horizontal="center"/>
    </xf>
    <xf numFmtId="0" fontId="5" fillId="2" borderId="14" xfId="0" applyFont="1" applyFill="1" applyBorder="1" applyAlignment="1">
      <alignment horizontal="center"/>
    </xf>
    <xf numFmtId="168" fontId="5" fillId="2" borderId="0" xfId="3" applyNumberFormat="1" applyFont="1" applyFill="1" applyBorder="1" applyAlignment="1">
      <alignment horizontal="center"/>
    </xf>
    <xf numFmtId="0" fontId="5" fillId="0" borderId="13" xfId="0" applyFont="1" applyBorder="1" applyAlignment="1">
      <alignment horizontal="center"/>
    </xf>
    <xf numFmtId="166" fontId="5" fillId="0" borderId="11" xfId="0" applyNumberFormat="1" applyFont="1" applyBorder="1" applyAlignment="1">
      <alignment horizontal="center"/>
    </xf>
    <xf numFmtId="0" fontId="5" fillId="0" borderId="14" xfId="0" applyFont="1" applyBorder="1" applyAlignment="1">
      <alignment horizontal="center"/>
    </xf>
    <xf numFmtId="168" fontId="5" fillId="0" borderId="0" xfId="3" applyNumberFormat="1" applyFont="1" applyFill="1" applyBorder="1" applyAlignment="1">
      <alignment horizontal="center"/>
    </xf>
    <xf numFmtId="168" fontId="5" fillId="0" borderId="0" xfId="3" applyNumberFormat="1" applyFont="1" applyBorder="1" applyAlignment="1">
      <alignment horizontal="center"/>
    </xf>
    <xf numFmtId="165" fontId="5" fillId="2" borderId="11" xfId="1" applyNumberFormat="1" applyFont="1" applyFill="1" applyBorder="1" applyAlignment="1">
      <alignment horizontal="center"/>
    </xf>
    <xf numFmtId="165" fontId="5" fillId="0" borderId="0" xfId="1" applyNumberFormat="1" applyFont="1" applyBorder="1" applyAlignment="1">
      <alignment horizontal="center"/>
    </xf>
    <xf numFmtId="165" fontId="5" fillId="0" borderId="11" xfId="1" applyNumberFormat="1" applyFont="1" applyBorder="1" applyAlignment="1">
      <alignment horizontal="center"/>
    </xf>
    <xf numFmtId="165" fontId="5" fillId="0" borderId="13" xfId="0" applyNumberFormat="1" applyFont="1" applyBorder="1" applyAlignment="1">
      <alignment horizontal="center"/>
    </xf>
    <xf numFmtId="165" fontId="5" fillId="3" borderId="11" xfId="1" applyNumberFormat="1" applyFont="1" applyFill="1" applyBorder="1" applyAlignment="1">
      <alignment horizontal="center"/>
    </xf>
    <xf numFmtId="0" fontId="5" fillId="0" borderId="11" xfId="0" applyFont="1" applyBorder="1" applyAlignment="1">
      <alignment horizontal="center"/>
    </xf>
    <xf numFmtId="165" fontId="5" fillId="0" borderId="1" xfId="0" applyNumberFormat="1" applyFont="1" applyBorder="1" applyAlignment="1">
      <alignment horizontal="center"/>
    </xf>
    <xf numFmtId="165" fontId="5" fillId="0" borderId="3" xfId="0" applyNumberFormat="1" applyFont="1" applyBorder="1" applyAlignment="1">
      <alignment horizontal="center"/>
    </xf>
    <xf numFmtId="0" fontId="5" fillId="0" borderId="3" xfId="0" applyFont="1" applyBorder="1" applyAlignment="1">
      <alignment horizontal="center"/>
    </xf>
    <xf numFmtId="1" fontId="5" fillId="0" borderId="3" xfId="0" applyNumberFormat="1" applyFont="1" applyBorder="1" applyAlignment="1">
      <alignment horizontal="center"/>
    </xf>
    <xf numFmtId="165" fontId="5" fillId="0" borderId="4" xfId="0" applyNumberFormat="1" applyFont="1" applyBorder="1" applyAlignment="1">
      <alignment horizontal="center"/>
    </xf>
    <xf numFmtId="0" fontId="8" fillId="0" borderId="1"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wrapText="1"/>
    </xf>
    <xf numFmtId="171" fontId="5" fillId="2" borderId="11" xfId="0" applyNumberFormat="1" applyFont="1" applyFill="1" applyBorder="1" applyAlignment="1">
      <alignment horizontal="center"/>
    </xf>
    <xf numFmtId="166" fontId="5" fillId="2" borderId="0" xfId="0" applyNumberFormat="1" applyFont="1" applyFill="1" applyBorder="1" applyAlignment="1">
      <alignment horizontal="center"/>
    </xf>
    <xf numFmtId="0" fontId="6" fillId="0" borderId="6" xfId="0" applyFont="1" applyBorder="1" applyAlignment="1">
      <alignment horizontal="center" wrapText="1"/>
    </xf>
    <xf numFmtId="165" fontId="5" fillId="2" borderId="11" xfId="0" applyNumberFormat="1" applyFont="1" applyFill="1" applyBorder="1" applyAlignment="1">
      <alignment horizontal="center"/>
    </xf>
    <xf numFmtId="165" fontId="5" fillId="3" borderId="11" xfId="0" applyNumberFormat="1" applyFont="1" applyFill="1" applyBorder="1" applyAlignment="1">
      <alignment horizontal="center"/>
    </xf>
    <xf numFmtId="0" fontId="6" fillId="0" borderId="4" xfId="0" applyFont="1" applyBorder="1" applyAlignment="1">
      <alignment horizontal="center" wrapText="1"/>
    </xf>
    <xf numFmtId="5" fontId="5" fillId="2" borderId="14" xfId="2" applyNumberFormat="1" applyFont="1" applyFill="1" applyBorder="1"/>
    <xf numFmtId="5" fontId="5" fillId="0" borderId="0" xfId="0" applyNumberFormat="1" applyFont="1" applyBorder="1"/>
    <xf numFmtId="177" fontId="5" fillId="2" borderId="14" xfId="2" applyNumberFormat="1" applyFont="1" applyFill="1" applyBorder="1"/>
    <xf numFmtId="177" fontId="5" fillId="0" borderId="14" xfId="0" applyNumberFormat="1" applyFont="1" applyBorder="1"/>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8" fillId="0" borderId="9" xfId="0" applyFont="1" applyBorder="1" applyAlignment="1">
      <alignment horizontal="center" wrapText="1"/>
    </xf>
    <xf numFmtId="0" fontId="8" fillId="0" borderId="10" xfId="0" applyFont="1" applyBorder="1" applyAlignment="1">
      <alignment horizontal="center" wrapText="1"/>
    </xf>
    <xf numFmtId="0" fontId="6" fillId="0" borderId="3" xfId="0" applyFont="1" applyBorder="1" applyAlignment="1">
      <alignment horizontal="center" wrapText="1"/>
    </xf>
    <xf numFmtId="165" fontId="5" fillId="0" borderId="2" xfId="0" applyNumberFormat="1" applyFont="1" applyBorder="1" applyAlignment="1"/>
    <xf numFmtId="0" fontId="5" fillId="0" borderId="4" xfId="0" applyFont="1" applyBorder="1" applyAlignment="1"/>
    <xf numFmtId="0" fontId="6" fillId="0" borderId="15" xfId="0" applyFont="1" applyBorder="1" applyAlignment="1">
      <alignment horizontal="center"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7" xfId="0" applyFont="1" applyBorder="1" applyAlignment="1">
      <alignment horizontal="center" wrapText="1"/>
    </xf>
    <xf numFmtId="0" fontId="8" fillId="0" borderId="11" xfId="0" applyFont="1" applyBorder="1" applyAlignment="1">
      <alignment horizontal="center" wrapText="1"/>
    </xf>
    <xf numFmtId="0" fontId="8" fillId="0" borderId="8" xfId="0" applyFont="1" applyBorder="1" applyAlignment="1">
      <alignment horizontal="center" wrapText="1"/>
    </xf>
    <xf numFmtId="0" fontId="8" fillId="0" borderId="7" xfId="0" applyFont="1" applyBorder="1" applyAlignment="1">
      <alignment horizontal="center" wrapText="1"/>
    </xf>
    <xf numFmtId="0" fontId="9" fillId="0" borderId="15" xfId="0" applyFont="1" applyBorder="1" applyAlignment="1">
      <alignment horizontal="center"/>
    </xf>
    <xf numFmtId="0" fontId="9" fillId="0" borderId="12" xfId="0" applyFont="1" applyBorder="1" applyAlignment="1">
      <alignment horizontal="center"/>
    </xf>
    <xf numFmtId="0" fontId="9" fillId="0" borderId="8" xfId="0" applyFont="1" applyBorder="1" applyAlignment="1">
      <alignment horizontal="center"/>
    </xf>
    <xf numFmtId="0" fontId="8" fillId="0" borderId="15" xfId="0" applyFont="1" applyBorder="1" applyAlignment="1">
      <alignment horizontal="center" wrapText="1"/>
    </xf>
    <xf numFmtId="0" fontId="8" fillId="0" borderId="5" xfId="0" applyFont="1" applyBorder="1" applyAlignment="1">
      <alignment horizontal="center" wrapText="1"/>
    </xf>
    <xf numFmtId="0" fontId="7" fillId="0" borderId="15" xfId="0" applyFont="1" applyBorder="1" applyAlignment="1">
      <alignment horizontal="center"/>
    </xf>
    <xf numFmtId="0" fontId="7" fillId="0" borderId="1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8" fillId="0" borderId="12" xfId="0" applyFont="1" applyBorder="1" applyAlignment="1">
      <alignment horizontal="center" wrapText="1"/>
    </xf>
    <xf numFmtId="0" fontId="8" fillId="0" borderId="6" xfId="0" applyFont="1" applyBorder="1" applyAlignment="1">
      <alignment horizontal="center" wrapText="1"/>
    </xf>
    <xf numFmtId="0" fontId="6" fillId="0" borderId="2" xfId="0"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Annual UST Sites Retired, TOS Closed,</a:t>
            </a:r>
            <a:r>
              <a:rPr lang="en-US" baseline="0"/>
              <a:t> Total Sites Closed</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3"/>
          <c:order val="2"/>
          <c:tx>
            <c:strRef>
              <c:f>'Fuel Use, Tanks, &amp; Sites'!$G$10</c:f>
              <c:strCache>
                <c:ptCount val="1"/>
                <c:pt idx="0">
                  <c:v># Sites Retired from Less Need</c:v>
                </c:pt>
              </c:strCache>
            </c:strRef>
          </c:tx>
          <c:spPr>
            <a:ln w="28575" cap="rnd">
              <a:solidFill>
                <a:schemeClr val="accent4"/>
              </a:solidFill>
              <a:round/>
            </a:ln>
            <a:effectLst/>
          </c:spPr>
          <c:marker>
            <c:symbol val="none"/>
          </c:marker>
          <c:cat>
            <c:numRef>
              <c:f>'Fuel Use, Tanks, &amp; Sites'!$A$11:$A$36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f>'Fuel Use, Tanks, &amp; Sites'!$G$11:$G$36</c:f>
              <c:numCache>
                <c:formatCode>_(* #,##0_);_(* \(#,##0\);_(* "-"?_);_(@_)</c:formatCode>
                <c:ptCount val="26"/>
                <c:pt idx="0">
                  <c:v>82.637267939063804</c:v>
                </c:pt>
                <c:pt idx="1">
                  <c:v>64.015720932592558</c:v>
                </c:pt>
                <c:pt idx="2">
                  <c:v>77.155015608288977</c:v>
                </c:pt>
                <c:pt idx="3">
                  <c:v>96.673606574585847</c:v>
                </c:pt>
                <c:pt idx="4">
                  <c:v>124.664419146613</c:v>
                </c:pt>
                <c:pt idx="5">
                  <c:v>162.64716897898143</c:v>
                </c:pt>
                <c:pt idx="6">
                  <c:v>209.91706333876573</c:v>
                </c:pt>
                <c:pt idx="7">
                  <c:v>261.1985348949388</c:v>
                </c:pt>
                <c:pt idx="8">
                  <c:v>305.26824289598903</c:v>
                </c:pt>
                <c:pt idx="9">
                  <c:v>327.6673949994813</c:v>
                </c:pt>
                <c:pt idx="10">
                  <c:v>318.48046284583813</c:v>
                </c:pt>
                <c:pt idx="11">
                  <c:v>279.56545139136153</c:v>
                </c:pt>
                <c:pt idx="12">
                  <c:v>223.5301134025043</c:v>
                </c:pt>
                <c:pt idx="13">
                  <c:v>165.3974296643915</c:v>
                </c:pt>
                <c:pt idx="14">
                  <c:v>115.3344455722312</c:v>
                </c:pt>
                <c:pt idx="15">
                  <c:v>77.066285188414838</c:v>
                </c:pt>
                <c:pt idx="16">
                  <c:v>50.00739917457949</c:v>
                </c:pt>
                <c:pt idx="17">
                  <c:v>31.820647605203526</c:v>
                </c:pt>
                <c:pt idx="18">
                  <c:v>19.990374918111492</c:v>
                </c:pt>
                <c:pt idx="19">
                  <c:v>12.45441156801547</c:v>
                </c:pt>
                <c:pt idx="20">
                  <c:v>20.094056929973792</c:v>
                </c:pt>
              </c:numCache>
            </c:numRef>
          </c:val>
          <c:smooth val="0"/>
          <c:extLst xmlns:c15="http://schemas.microsoft.com/office/drawing/2012/chart">
            <c:ext xmlns:c16="http://schemas.microsoft.com/office/drawing/2014/chart" uri="{C3380CC4-5D6E-409C-BE32-E72D297353CC}">
              <c16:uniqueId val="{00000000-1EC1-456C-B943-F45A1B5934F5}"/>
            </c:ext>
          </c:extLst>
        </c:ser>
        <c:ser>
          <c:idx val="8"/>
          <c:order val="7"/>
          <c:tx>
            <c:strRef>
              <c:f>'Fuel Use, Tanks, &amp; Sites'!$N$10</c:f>
              <c:strCache>
                <c:ptCount val="1"/>
                <c:pt idx="0">
                  <c:v># TOS Sites Cosed</c:v>
                </c:pt>
              </c:strCache>
            </c:strRef>
          </c:tx>
          <c:spPr>
            <a:ln w="28575" cap="rnd">
              <a:solidFill>
                <a:schemeClr val="accent3">
                  <a:lumMod val="60000"/>
                </a:schemeClr>
              </a:solidFill>
              <a:round/>
            </a:ln>
            <a:effectLst/>
          </c:spPr>
          <c:marker>
            <c:symbol val="none"/>
          </c:marker>
          <c:val>
            <c:numRef>
              <c:f>'Fuel Use, Tanks, &amp; Sites'!$N$11:$N$36</c:f>
              <c:numCache>
                <c:formatCode>General</c:formatCode>
                <c:ptCount val="26"/>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smooth val="0"/>
          <c:extLst xmlns:c15="http://schemas.microsoft.com/office/drawing/2012/chart">
            <c:ext xmlns:c16="http://schemas.microsoft.com/office/drawing/2014/chart" uri="{C3380CC4-5D6E-409C-BE32-E72D297353CC}">
              <c16:uniqueId val="{00000001-1EC1-456C-B943-F45A1B5934F5}"/>
            </c:ext>
          </c:extLst>
        </c:ser>
        <c:dLbls>
          <c:showLegendKey val="0"/>
          <c:showVal val="0"/>
          <c:showCatName val="0"/>
          <c:showSerName val="0"/>
          <c:showPercent val="0"/>
          <c:showBubbleSize val="0"/>
        </c:dLbls>
        <c:marker val="1"/>
        <c:smooth val="0"/>
        <c:axId val="1948054655"/>
        <c:axId val="1948055071"/>
        <c:extLst>
          <c:ext xmlns:c15="http://schemas.microsoft.com/office/drawing/2012/chart" uri="{02D57815-91ED-43cb-92C2-25804820EDAC}">
            <c15:filteredLineSeries>
              <c15:ser>
                <c:idx val="1"/>
                <c:order val="0"/>
                <c:tx>
                  <c:strRef>
                    <c:extLst>
                      <c:ext uri="{02D57815-91ED-43cb-92C2-25804820EDAC}">
                        <c15:formulaRef>
                          <c15:sqref>'Fuel Use, Tanks, &amp; Sites'!$E$10</c15:sqref>
                        </c15:formulaRef>
                      </c:ext>
                    </c:extLst>
                    <c:strCache>
                      <c:ptCount val="1"/>
                      <c:pt idx="0">
                        <c:v># Active Sites/Fuel Used (Sites/mb/d)</c:v>
                      </c:pt>
                    </c:strCache>
                  </c:strRef>
                </c:tx>
                <c:spPr>
                  <a:ln w="28575" cap="rnd">
                    <a:solidFill>
                      <a:schemeClr val="accent2"/>
                    </a:solidFill>
                    <a:round/>
                  </a:ln>
                  <a:effectLst/>
                </c:spPr>
                <c:marker>
                  <c:symbol val="none"/>
                </c:marker>
                <c:cat>
                  <c:numRef>
                    <c:extLst>
                      <c:ext uri="{02D57815-91ED-43cb-92C2-25804820EDAC}">
                        <c15:formulaRef>
                          <c15:sqref>'Fuel Use, Tanks, &amp; Sites'!$A$11:$A$36</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extLst>
                      <c:ext uri="{02D57815-91ED-43cb-92C2-25804820EDAC}">
                        <c15:formulaRef>
                          <c15:sqref>'Fuel Use, Tanks, &amp; Sites'!$E$11:$E$36</c15:sqref>
                        </c15:formulaRef>
                      </c:ext>
                    </c:extLst>
                    <c:numCache>
                      <c:formatCode>_(* #,##0_);_(* \(#,##0\);_(* "-"??_);_(@_)</c:formatCode>
                      <c:ptCount val="26"/>
                      <c:pt idx="0">
                        <c:v>15972.135747339795</c:v>
                      </c:pt>
                      <c:pt idx="1">
                        <c:v>15761.976066453744</c:v>
                      </c:pt>
                      <c:pt idx="2">
                        <c:v>15551.816385567694</c:v>
                      </c:pt>
                      <c:pt idx="3">
                        <c:v>15341.656704681644</c:v>
                      </c:pt>
                      <c:pt idx="4">
                        <c:v>15131.497023795593</c:v>
                      </c:pt>
                      <c:pt idx="5">
                        <c:v>14921.337342909543</c:v>
                      </c:pt>
                      <c:pt idx="6">
                        <c:v>14711.177662023492</c:v>
                      </c:pt>
                      <c:pt idx="7">
                        <c:v>14501.017981137442</c:v>
                      </c:pt>
                      <c:pt idx="8">
                        <c:v>14290.858300251391</c:v>
                      </c:pt>
                      <c:pt idx="9">
                        <c:v>14080.698619365341</c:v>
                      </c:pt>
                      <c:pt idx="10">
                        <c:v>13870.538938479291</c:v>
                      </c:pt>
                      <c:pt idx="11">
                        <c:v>13660.37925759324</c:v>
                      </c:pt>
                      <c:pt idx="12">
                        <c:v>13450.21957670719</c:v>
                      </c:pt>
                      <c:pt idx="13">
                        <c:v>13240.059895821139</c:v>
                      </c:pt>
                      <c:pt idx="14">
                        <c:v>13029.900214935089</c:v>
                      </c:pt>
                      <c:pt idx="15">
                        <c:v>12819.740534049039</c:v>
                      </c:pt>
                      <c:pt idx="16">
                        <c:v>12609.580853162988</c:v>
                      </c:pt>
                      <c:pt idx="17">
                        <c:v>12399.421172276938</c:v>
                      </c:pt>
                      <c:pt idx="18">
                        <c:v>12189.261491390887</c:v>
                      </c:pt>
                      <c:pt idx="19">
                        <c:v>11979.101810504837</c:v>
                      </c:pt>
                      <c:pt idx="20">
                        <c:v>11768.942129618787</c:v>
                      </c:pt>
                    </c:numCache>
                  </c:numRef>
                </c:val>
                <c:smooth val="0"/>
                <c:extLst>
                  <c:ext xmlns:c16="http://schemas.microsoft.com/office/drawing/2014/chart" uri="{C3380CC4-5D6E-409C-BE32-E72D297353CC}">
                    <c16:uniqueId val="{00000003-1EC1-456C-B943-F45A1B5934F5}"/>
                  </c:ext>
                </c:extLst>
              </c15:ser>
            </c15:filteredLineSeries>
            <c15:filteredLineSeries>
              <c15:ser>
                <c:idx val="2"/>
                <c:order val="1"/>
                <c:tx>
                  <c:strRef>
                    <c:extLst xmlns:c15="http://schemas.microsoft.com/office/drawing/2012/chart">
                      <c:ext xmlns:c15="http://schemas.microsoft.com/office/drawing/2012/chart" uri="{02D57815-91ED-43cb-92C2-25804820EDAC}">
                        <c15:formulaRef>
                          <c15:sqref>'Fuel Use, Tanks, &amp; Sites'!$F$10</c15:sqref>
                        </c15:formulaRef>
                      </c:ext>
                    </c:extLst>
                    <c:strCache>
                      <c:ptCount val="1"/>
                      <c:pt idx="0">
                        <c:v># Active UST Sites Needed</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'Fuel Use, Tanks, &amp; Sites'!$A$11:$A$36</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extLst xmlns:c15="http://schemas.microsoft.com/office/drawing/2012/chart">
                      <c:ext xmlns:c15="http://schemas.microsoft.com/office/drawing/2012/chart" uri="{02D57815-91ED-43cb-92C2-25804820EDAC}">
                        <c15:formulaRef>
                          <c15:sqref>'Fuel Use, Tanks, &amp; Sites'!$F$11:$F$36</c15:sqref>
                        </c15:formulaRef>
                      </c:ext>
                    </c:extLst>
                    <c:numCache>
                      <c:formatCode>_(* #,##0_);_(* \(#,##0\);_(* "-"?_);_(@_)</c:formatCode>
                      <c:ptCount val="26"/>
                      <c:pt idx="0">
                        <c:v>3025.5855135699258</c:v>
                      </c:pt>
                      <c:pt idx="1">
                        <c:v>2942.9482456308619</c:v>
                      </c:pt>
                      <c:pt idx="2">
                        <c:v>2878.9325246982694</c:v>
                      </c:pt>
                      <c:pt idx="3">
                        <c:v>2801.7775090899804</c:v>
                      </c:pt>
                      <c:pt idx="4">
                        <c:v>2705.1039025153946</c:v>
                      </c:pt>
                      <c:pt idx="5">
                        <c:v>2580.4394833687816</c:v>
                      </c:pt>
                      <c:pt idx="6">
                        <c:v>2417.7923143898001</c:v>
                      </c:pt>
                      <c:pt idx="7">
                        <c:v>2207.8752510510344</c:v>
                      </c:pt>
                      <c:pt idx="8">
                        <c:v>1946.6767161560956</c:v>
                      </c:pt>
                      <c:pt idx="9">
                        <c:v>1641.4084732601066</c:v>
                      </c:pt>
                      <c:pt idx="10">
                        <c:v>1313.7410782606253</c:v>
                      </c:pt>
                      <c:pt idx="11">
                        <c:v>995.26061541478714</c:v>
                      </c:pt>
                      <c:pt idx="12">
                        <c:v>715.6951640234256</c:v>
                      </c:pt>
                      <c:pt idx="13">
                        <c:v>492.16505062092131</c:v>
                      </c:pt>
                      <c:pt idx="14">
                        <c:v>326.76762095652981</c:v>
                      </c:pt>
                      <c:pt idx="15">
                        <c:v>211.43317538429861</c:v>
                      </c:pt>
                      <c:pt idx="16">
                        <c:v>134.36689019588377</c:v>
                      </c:pt>
                      <c:pt idx="17">
                        <c:v>84.359491021304279</c:v>
                      </c:pt>
                      <c:pt idx="18">
                        <c:v>52.538843416100754</c:v>
                      </c:pt>
                      <c:pt idx="19">
                        <c:v>32.548468497989262</c:v>
                      </c:pt>
                      <c:pt idx="20">
                        <c:v>20.094056929973792</c:v>
                      </c:pt>
                    </c:numCache>
                  </c:numRef>
                </c:val>
                <c:smooth val="0"/>
                <c:extLst xmlns:c15="http://schemas.microsoft.com/office/drawing/2012/chart">
                  <c:ext xmlns:c16="http://schemas.microsoft.com/office/drawing/2014/chart" uri="{C3380CC4-5D6E-409C-BE32-E72D297353CC}">
                    <c16:uniqueId val="{00000004-1EC1-456C-B943-F45A1B5934F5}"/>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'Data Entry'!$B$18</c15:sqref>
                        </c15:formulaRef>
                      </c:ext>
                    </c:extLst>
                    <c:strCache>
                      <c:ptCount val="1"/>
                      <c:pt idx="0">
                        <c:v># USTs/site</c:v>
                      </c:pt>
                    </c:strCache>
                  </c:strRef>
                </c:tx>
                <c:spPr>
                  <a:ln w="28575" cap="rnd">
                    <a:solidFill>
                      <a:schemeClr val="accent5"/>
                    </a:solid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Sites'!$J$12:$J$36</c15:sqref>
                        </c15:formulaRef>
                      </c:ext>
                    </c:extLst>
                    <c:numCache>
                      <c:formatCode>General</c:formatCode>
                      <c:ptCount val="25"/>
                    </c:numCache>
                  </c:numRef>
                </c:val>
                <c:smooth val="0"/>
                <c:extLst xmlns:c15="http://schemas.microsoft.com/office/drawing/2012/chart">
                  <c:ext xmlns:c16="http://schemas.microsoft.com/office/drawing/2014/chart" uri="{C3380CC4-5D6E-409C-BE32-E72D297353CC}">
                    <c16:uniqueId val="{00000005-1EC1-456C-B943-F45A1B5934F5}"/>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'Fuel Use, Tanks, &amp; Sites'!$K$10</c15:sqref>
                        </c15:formulaRef>
                      </c:ext>
                    </c:extLst>
                    <c:strCache>
                      <c:ptCount val="1"/>
                      <c:pt idx="0">
                        <c:v># Active USTs Needed</c:v>
                      </c:pt>
                    </c:strCache>
                  </c:strRef>
                </c:tx>
                <c:spPr>
                  <a:ln w="25400" cap="rnd">
                    <a:no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Sites'!$K$11:$K$36</c15:sqref>
                        </c15:formulaRef>
                      </c:ext>
                    </c:extLst>
                    <c:numCache>
                      <c:formatCode>_(* #,##0_);_(* \(#,##0\);_(* "-"?_);_(@_)</c:formatCode>
                      <c:ptCount val="26"/>
                      <c:pt idx="0">
                        <c:v>8472</c:v>
                      </c:pt>
                      <c:pt idx="1">
                        <c:v>8240.6058018060485</c:v>
                      </c:pt>
                      <c:pt idx="2">
                        <c:v>8061.3541543783049</c:v>
                      </c:pt>
                      <c:pt idx="3">
                        <c:v>7845.3109160359299</c:v>
                      </c:pt>
                      <c:pt idx="4">
                        <c:v>7574.6132969382234</c:v>
                      </c:pt>
                      <c:pt idx="5">
                        <c:v>7225.5380669461501</c:v>
                      </c:pt>
                      <c:pt idx="6">
                        <c:v>6770.1066109817566</c:v>
                      </c:pt>
                      <c:pt idx="7">
                        <c:v>6182.3138176101202</c:v>
                      </c:pt>
                      <c:pt idx="8">
                        <c:v>5450.9267926177499</c:v>
                      </c:pt>
                      <c:pt idx="9">
                        <c:v>4596.1393333919514</c:v>
                      </c:pt>
                      <c:pt idx="10">
                        <c:v>3678.6315789473674</c:v>
                      </c:pt>
                      <c:pt idx="11">
                        <c:v>2786.8483293487334</c:v>
                      </c:pt>
                      <c:pt idx="12">
                        <c:v>2004.0317493628588</c:v>
                      </c:pt>
                      <c:pt idx="13">
                        <c:v>1378.120793532177</c:v>
                      </c:pt>
                      <c:pt idx="14">
                        <c:v>914.98827989736117</c:v>
                      </c:pt>
                      <c:pt idx="15">
                        <c:v>592.03808777569327</c:v>
                      </c:pt>
                      <c:pt idx="16">
                        <c:v>376.24330518305749</c:v>
                      </c:pt>
                      <c:pt idx="17">
                        <c:v>236.2166280632452</c:v>
                      </c:pt>
                      <c:pt idx="18">
                        <c:v>147.11502267077418</c:v>
                      </c:pt>
                      <c:pt idx="19">
                        <c:v>91.139590627403379</c:v>
                      </c:pt>
                      <c:pt idx="20">
                        <c:v>56.265754032472678</c:v>
                      </c:pt>
                    </c:numCache>
                  </c:numRef>
                </c:val>
                <c:smooth val="0"/>
                <c:extLst xmlns:c15="http://schemas.microsoft.com/office/drawing/2012/chart">
                  <c:ext xmlns:c16="http://schemas.microsoft.com/office/drawing/2014/chart" uri="{C3380CC4-5D6E-409C-BE32-E72D297353CC}">
                    <c16:uniqueId val="{00000006-1EC1-456C-B943-F45A1B5934F5}"/>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'Fuel Use, Tanks, &amp; Sites'!$L$10</c15:sqref>
                        </c15:formulaRef>
                      </c:ext>
                    </c:extLst>
                    <c:strCache>
                      <c:ptCount val="1"/>
                      <c:pt idx="0">
                        <c:v>Initial # TOS Sites</c:v>
                      </c:pt>
                    </c:strCache>
                  </c:strRef>
                </c:tx>
                <c:spPr>
                  <a:ln w="28575" cap="rnd">
                    <a:solidFill>
                      <a:schemeClr val="accent1">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Sites'!$L$11:$L$36</c15:sqref>
                        </c15:formulaRef>
                      </c:ext>
                    </c:extLst>
                    <c:numCache>
                      <c:formatCode>General</c:formatCode>
                      <c:ptCount val="26"/>
                      <c:pt idx="0">
                        <c:v>200</c:v>
                      </c:pt>
                    </c:numCache>
                  </c:numRef>
                </c:val>
                <c:smooth val="0"/>
                <c:extLst xmlns:c15="http://schemas.microsoft.com/office/drawing/2012/chart">
                  <c:ext xmlns:c16="http://schemas.microsoft.com/office/drawing/2014/chart" uri="{C3380CC4-5D6E-409C-BE32-E72D297353CC}">
                    <c16:uniqueId val="{00000007-1EC1-456C-B943-F45A1B5934F5}"/>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'Fuel Use, Tanks, &amp; Sites'!$M$10</c15:sqref>
                        </c15:formulaRef>
                      </c:ext>
                    </c:extLst>
                    <c:strCache>
                      <c:ptCount val="1"/>
                      <c:pt idx="0">
                        <c:v>Fraction of Initial TOS Sites Closed Each Year</c:v>
                      </c:pt>
                    </c:strCache>
                  </c:strRef>
                </c:tx>
                <c:spPr>
                  <a:ln w="28575" cap="rnd">
                    <a:solidFill>
                      <a:schemeClr val="accent2">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Sites'!$M$11:$M$36</c15:sqref>
                        </c15:formulaRef>
                      </c:ext>
                    </c:extLst>
                    <c:numCache>
                      <c:formatCode>0.0%</c:formatCode>
                      <c:ptCount val="2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numCache>
                  </c:numRef>
                </c:val>
                <c:smooth val="0"/>
                <c:extLst xmlns:c15="http://schemas.microsoft.com/office/drawing/2012/chart">
                  <c:ext xmlns:c16="http://schemas.microsoft.com/office/drawing/2014/chart" uri="{C3380CC4-5D6E-409C-BE32-E72D297353CC}">
                    <c16:uniqueId val="{00000008-1EC1-456C-B943-F45A1B5934F5}"/>
                  </c:ext>
                </c:extLst>
              </c15:ser>
            </c15:filteredLineSeries>
          </c:ext>
        </c:extLst>
      </c:lineChart>
      <c:lineChart>
        <c:grouping val="standard"/>
        <c:varyColors val="0"/>
        <c:ser>
          <c:idx val="0"/>
          <c:order val="8"/>
          <c:tx>
            <c:strRef>
              <c:f>'Releases &amp; Abandons'!$D$10</c:f>
              <c:strCache>
                <c:ptCount val="1"/>
                <c:pt idx="0">
                  <c:v>Total # Sites Closed </c:v>
                </c:pt>
              </c:strCache>
            </c:strRef>
          </c:tx>
          <c:spPr>
            <a:ln w="28575" cap="rnd">
              <a:solidFill>
                <a:schemeClr val="accent1"/>
              </a:solidFill>
              <a:round/>
            </a:ln>
            <a:effectLst/>
          </c:spPr>
          <c:marker>
            <c:symbol val="none"/>
          </c:marker>
          <c:val>
            <c:numRef>
              <c:f>'Releases &amp; Abandons'!$D$11:$D$36</c:f>
              <c:numCache>
                <c:formatCode>_(* #,##0_);_(* \(#,##0\);_(* "-"??_);_(@_)</c:formatCode>
                <c:ptCount val="26"/>
                <c:pt idx="0">
                  <c:v>122.89312307476305</c:v>
                </c:pt>
                <c:pt idx="1">
                  <c:v>103.44520338890118</c:v>
                </c:pt>
                <c:pt idx="2">
                  <c:v>115.94434085527168</c:v>
                </c:pt>
                <c:pt idx="3">
                  <c:v>134.69138166548566</c:v>
                </c:pt>
                <c:pt idx="4">
                  <c:v>161.71545817176695</c:v>
                </c:pt>
                <c:pt idx="5">
                  <c:v>198.45156381266924</c:v>
                </c:pt>
                <c:pt idx="6">
                  <c:v>244.09498648266373</c:v>
                </c:pt>
                <c:pt idx="7">
                  <c:v>293.27728740544916</c:v>
                </c:pt>
                <c:pt idx="8">
                  <c:v>334.73501005754997</c:v>
                </c:pt>
                <c:pt idx="9">
                  <c:v>354.08147973208236</c:v>
                </c:pt>
                <c:pt idx="10">
                  <c:v>341.61787362844439</c:v>
                </c:pt>
                <c:pt idx="11">
                  <c:v>299.51805754550941</c:v>
                </c:pt>
                <c:pt idx="12">
                  <c:v>240.68706504273854</c:v>
                </c:pt>
                <c:pt idx="13">
                  <c:v>180.3190801706007</c:v>
                </c:pt>
                <c:pt idx="14">
                  <c:v>128.60212178179651</c:v>
                </c:pt>
                <c:pt idx="15">
                  <c:v>89.180616942257828</c:v>
                </c:pt>
                <c:pt idx="16">
                  <c:v>61.351068076538326</c:v>
                </c:pt>
                <c:pt idx="17">
                  <c:v>42.664242515416568</c:v>
                </c:pt>
                <c:pt idx="18">
                  <c:v>30.515763352272501</c:v>
                </c:pt>
                <c:pt idx="19">
                  <c:v>22.779896252995364</c:v>
                </c:pt>
                <c:pt idx="20">
                  <c:v>20.294997499273531</c:v>
                </c:pt>
              </c:numCache>
            </c:numRef>
          </c:val>
          <c:smooth val="0"/>
          <c:extLst xmlns:c15="http://schemas.microsoft.com/office/drawing/2012/chart">
            <c:ext xmlns:c16="http://schemas.microsoft.com/office/drawing/2014/chart" uri="{C3380CC4-5D6E-409C-BE32-E72D297353CC}">
              <c16:uniqueId val="{00000002-1EC1-456C-B943-F45A1B5934F5}"/>
            </c:ext>
          </c:extLst>
        </c:ser>
        <c:dLbls>
          <c:showLegendKey val="0"/>
          <c:showVal val="0"/>
          <c:showCatName val="0"/>
          <c:showSerName val="0"/>
          <c:showPercent val="0"/>
          <c:showBubbleSize val="0"/>
        </c:dLbls>
        <c:marker val="1"/>
        <c:smooth val="0"/>
        <c:axId val="1960312143"/>
        <c:axId val="1960318383"/>
        <c:extLst/>
      </c:lineChart>
      <c:catAx>
        <c:axId val="194805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055071"/>
        <c:crosses val="autoZero"/>
        <c:auto val="1"/>
        <c:lblAlgn val="ctr"/>
        <c:lblOffset val="100"/>
        <c:noMultiLvlLbl val="0"/>
      </c:catAx>
      <c:valAx>
        <c:axId val="194805507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054655"/>
        <c:crosses val="autoZero"/>
        <c:crossBetween val="between"/>
      </c:valAx>
      <c:valAx>
        <c:axId val="1960318383"/>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312143"/>
        <c:crosses val="max"/>
        <c:crossBetween val="between"/>
      </c:valAx>
      <c:catAx>
        <c:axId val="1960312143"/>
        <c:scaling>
          <c:orientation val="minMax"/>
        </c:scaling>
        <c:delete val="1"/>
        <c:axPos val="b"/>
        <c:majorTickMark val="out"/>
        <c:minorTickMark val="none"/>
        <c:tickLblPos val="nextTo"/>
        <c:crossAx val="196031838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baseline="0"/>
              <a:t>Fund Revenue, ($millions)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3"/>
          <c:order val="3"/>
          <c:tx>
            <c:strRef>
              <c:f>'Funding &amp; Surplus'!$D$10</c:f>
              <c:strCache>
                <c:ptCount val="1"/>
                <c:pt idx="0">
                  <c:v>Revenue from Tax or Fee on Fuel</c:v>
                </c:pt>
              </c:strCache>
            </c:strRef>
          </c:tx>
          <c:spPr>
            <a:ln w="28575" cap="rnd">
              <a:solidFill>
                <a:schemeClr val="accent4"/>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Surplus'!$D$11:$D$31</c:f>
              <c:numCache>
                <c:formatCode>_(* #,##0_);_(* \(#,##0\);_(* "-"?_);_(@_)</c:formatCode>
                <c:ptCount val="21"/>
                <c:pt idx="0">
                  <c:v>157.97468354430382</c:v>
                </c:pt>
                <c:pt idx="1">
                  <c:v>155.70874901680594</c:v>
                </c:pt>
                <c:pt idx="2">
                  <c:v>154.38013652638239</c:v>
                </c:pt>
                <c:pt idx="3">
                  <c:v>152.30088915674855</c:v>
                </c:pt>
                <c:pt idx="4">
                  <c:v>149.08814416464395</c:v>
                </c:pt>
                <c:pt idx="5">
                  <c:v>144.22049569551157</c:v>
                </c:pt>
                <c:pt idx="6">
                  <c:v>137.06059314170918</c:v>
                </c:pt>
                <c:pt idx="7">
                  <c:v>126.97467058930476</c:v>
                </c:pt>
                <c:pt idx="8">
                  <c:v>113.59954081717053</c:v>
                </c:pt>
                <c:pt idx="9">
                  <c:v>97.215054174201939</c:v>
                </c:pt>
                <c:pt idx="10">
                  <c:v>78.987341772151908</c:v>
                </c:pt>
                <c:pt idx="11">
                  <c:v>60.759629370101862</c:v>
                </c:pt>
                <c:pt idx="12">
                  <c:v>44.37514272713328</c:v>
                </c:pt>
                <c:pt idx="13">
                  <c:v>31.000012954999043</c:v>
                </c:pt>
                <c:pt idx="14">
                  <c:v>20.914090402594649</c:v>
                </c:pt>
                <c:pt idx="15">
                  <c:v>13.754187848792236</c:v>
                </c:pt>
                <c:pt idx="16">
                  <c:v>8.8865393796598422</c:v>
                </c:pt>
                <c:pt idx="17">
                  <c:v>5.673794387555259</c:v>
                </c:pt>
                <c:pt idx="18">
                  <c:v>3.5945470179214642</c:v>
                </c:pt>
                <c:pt idx="19">
                  <c:v>2.2659345274978691</c:v>
                </c:pt>
                <c:pt idx="20">
                  <c:v>1.4238730023739441</c:v>
                </c:pt>
              </c:numCache>
            </c:numRef>
          </c:val>
          <c:smooth val="0"/>
          <c:extLst xmlns:c15="http://schemas.microsoft.com/office/drawing/2012/chart">
            <c:ext xmlns:c16="http://schemas.microsoft.com/office/drawing/2014/chart" uri="{C3380CC4-5D6E-409C-BE32-E72D297353CC}">
              <c16:uniqueId val="{00000005-28B9-4E35-AE07-681755F7D66C}"/>
            </c:ext>
          </c:extLst>
        </c:ser>
        <c:ser>
          <c:idx val="5"/>
          <c:order val="5"/>
          <c:tx>
            <c:strRef>
              <c:f>'Funding &amp; Surplus'!$F$10</c:f>
              <c:strCache>
                <c:ptCount val="1"/>
                <c:pt idx="0">
                  <c:v>Revenue from Fee on USTs </c:v>
                </c:pt>
              </c:strCache>
            </c:strRef>
          </c:tx>
          <c:spPr>
            <a:ln w="28575" cap="rnd">
              <a:solidFill>
                <a:schemeClr val="accent6"/>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Surplus'!$F$11:$F$31</c:f>
              <c:numCache>
                <c:formatCode>_(* #,##0.0_);_(* \(#,##0.0\);_(* "-"?_);_(@_)</c:formatCode>
                <c:ptCount val="21"/>
                <c:pt idx="0">
                  <c:v>4.3310000000000004</c:v>
                </c:pt>
                <c:pt idx="1">
                  <c:v>4.2103029009030237</c:v>
                </c:pt>
                <c:pt idx="2">
                  <c:v>4.1156770771891527</c:v>
                </c:pt>
                <c:pt idx="3">
                  <c:v>4.0026554580179647</c:v>
                </c:pt>
                <c:pt idx="4">
                  <c:v>3.862306648469112</c:v>
                </c:pt>
                <c:pt idx="5">
                  <c:v>3.6827690334730749</c:v>
                </c:pt>
                <c:pt idx="6">
                  <c:v>3.4500533054908784</c:v>
                </c:pt>
                <c:pt idx="7">
                  <c:v>3.1511569088050604</c:v>
                </c:pt>
                <c:pt idx="8">
                  <c:v>2.7804633963088752</c:v>
                </c:pt>
                <c:pt idx="9">
                  <c:v>2.3480696666959755</c:v>
                </c:pt>
                <c:pt idx="10">
                  <c:v>1.8843157894736837</c:v>
                </c:pt>
                <c:pt idx="11">
                  <c:v>1.4334241646743666</c:v>
                </c:pt>
                <c:pt idx="12">
                  <c:v>1.0370158746814295</c:v>
                </c:pt>
                <c:pt idx="13">
                  <c:v>0.71906039676608857</c:v>
                </c:pt>
                <c:pt idx="14">
                  <c:v>0.48249413994868057</c:v>
                </c:pt>
                <c:pt idx="15">
                  <c:v>0.31601904388784663</c:v>
                </c:pt>
                <c:pt idx="16">
                  <c:v>0.20312165259152876</c:v>
                </c:pt>
                <c:pt idx="17">
                  <c:v>0.12810831403162259</c:v>
                </c:pt>
                <c:pt idx="18">
                  <c:v>7.855751133538709E-2</c:v>
                </c:pt>
                <c:pt idx="19">
                  <c:v>4.5569795313701686E-2</c:v>
                </c:pt>
                <c:pt idx="20">
                  <c:v>2.8132877016236339E-2</c:v>
                </c:pt>
              </c:numCache>
            </c:numRef>
          </c:val>
          <c:smooth val="0"/>
          <c:extLst xmlns:c15="http://schemas.microsoft.com/office/drawing/2012/chart">
            <c:ext xmlns:c16="http://schemas.microsoft.com/office/drawing/2014/chart" uri="{C3380CC4-5D6E-409C-BE32-E72D297353CC}">
              <c16:uniqueId val="{00000007-28B9-4E35-AE07-681755F7D66C}"/>
            </c:ext>
          </c:extLst>
        </c:ser>
        <c:ser>
          <c:idx val="6"/>
          <c:order val="6"/>
          <c:tx>
            <c:strRef>
              <c:f>'Funding &amp; Surplus'!$G$10</c:f>
              <c:strCache>
                <c:ptCount val="1"/>
                <c:pt idx="0">
                  <c:v>Total Gross Income </c:v>
                </c:pt>
              </c:strCache>
            </c:strRef>
          </c:tx>
          <c:spPr>
            <a:ln w="28575" cap="rnd">
              <a:solidFill>
                <a:schemeClr val="accent1">
                  <a:lumMod val="60000"/>
                </a:schemeClr>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Surplus'!$G$11:$G$31</c:f>
              <c:numCache>
                <c:formatCode>_(* #,##0_);_(* \(#,##0\);_(* "-"?_);_(@_)</c:formatCode>
                <c:ptCount val="21"/>
                <c:pt idx="0">
                  <c:v>162.3056835443038</c:v>
                </c:pt>
                <c:pt idx="1">
                  <c:v>159.91905191770897</c:v>
                </c:pt>
                <c:pt idx="2">
                  <c:v>158.49581360357155</c:v>
                </c:pt>
                <c:pt idx="3">
                  <c:v>156.30354461476651</c:v>
                </c:pt>
                <c:pt idx="4">
                  <c:v>152.95045081311306</c:v>
                </c:pt>
                <c:pt idx="5">
                  <c:v>147.90326472898465</c:v>
                </c:pt>
                <c:pt idx="6">
                  <c:v>140.51064644720006</c:v>
                </c:pt>
                <c:pt idx="7">
                  <c:v>130.12582749810983</c:v>
                </c:pt>
                <c:pt idx="8">
                  <c:v>116.38000421347941</c:v>
                </c:pt>
                <c:pt idx="9">
                  <c:v>99.563123840897916</c:v>
                </c:pt>
                <c:pt idx="10">
                  <c:v>80.871657561625597</c:v>
                </c:pt>
                <c:pt idx="11">
                  <c:v>62.193053534776226</c:v>
                </c:pt>
                <c:pt idx="12">
                  <c:v>45.41215860181471</c:v>
                </c:pt>
                <c:pt idx="13">
                  <c:v>31.719073351765132</c:v>
                </c:pt>
                <c:pt idx="14">
                  <c:v>21.39658454254333</c:v>
                </c:pt>
                <c:pt idx="15">
                  <c:v>14.070206892680083</c:v>
                </c:pt>
                <c:pt idx="16">
                  <c:v>9.0896610322513709</c:v>
                </c:pt>
                <c:pt idx="17">
                  <c:v>5.8019027015868812</c:v>
                </c:pt>
                <c:pt idx="18">
                  <c:v>3.6731045292568512</c:v>
                </c:pt>
                <c:pt idx="19">
                  <c:v>2.3115043228115706</c:v>
                </c:pt>
                <c:pt idx="20">
                  <c:v>1.4520058793901804</c:v>
                </c:pt>
              </c:numCache>
            </c:numRef>
          </c:val>
          <c:smooth val="0"/>
          <c:extLst>
            <c:ext xmlns:c16="http://schemas.microsoft.com/office/drawing/2014/chart" uri="{C3380CC4-5D6E-409C-BE32-E72D297353CC}">
              <c16:uniqueId val="{00000000-97E8-4F52-B55A-C2EB0F6BE6DD}"/>
            </c:ext>
          </c:extLst>
        </c:ser>
        <c:dLbls>
          <c:showLegendKey val="0"/>
          <c:showVal val="0"/>
          <c:showCatName val="0"/>
          <c:showSerName val="0"/>
          <c:showPercent val="0"/>
          <c:showBubbleSize val="0"/>
        </c:dLbls>
        <c:smooth val="0"/>
        <c:axId val="252873584"/>
        <c:axId val="252859024"/>
        <c:extLst>
          <c:ext xmlns:c15="http://schemas.microsoft.com/office/drawing/2012/chart" uri="{02D57815-91ED-43cb-92C2-25804820EDAC}">
            <c15:filteredLineSeries>
              <c15:ser>
                <c:idx val="0"/>
                <c:order val="0"/>
                <c:tx>
                  <c:strRef>
                    <c:extLst>
                      <c:ext uri="{02D57815-91ED-43cb-92C2-25804820EDAC}">
                        <c15:formulaRef>
                          <c15:sqref>'Funding &amp; Surplus'!$A$10</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extLst>
                      <c:ex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val>
                <c:smooth val="0"/>
                <c:extLst>
                  <c:ext xmlns:c16="http://schemas.microsoft.com/office/drawing/2014/chart" uri="{C3380CC4-5D6E-409C-BE32-E72D297353CC}">
                    <c16:uniqueId val="{00000003-28B9-4E35-AE07-681755F7D66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'Funding &amp; Surplus'!$B$10</c15:sqref>
                        </c15:formulaRef>
                      </c:ext>
                    </c:extLst>
                    <c:strCache>
                      <c:ptCount val="1"/>
                      <c:pt idx="0">
                        <c:v>Initial Surplus in State Fund</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extLst xmlns:c15="http://schemas.microsoft.com/office/drawing/2012/chart">
                      <c:ext xmlns:c15="http://schemas.microsoft.com/office/drawing/2012/chart" uri="{02D57815-91ED-43cb-92C2-25804820EDAC}">
                        <c15:formulaRef>
                          <c15:sqref>'Funding &amp; Surplus'!$B$11:$B$31</c15:sqref>
                        </c15:formulaRef>
                      </c:ext>
                    </c:extLst>
                    <c:numCache>
                      <c:formatCode>General</c:formatCode>
                      <c:ptCount val="21"/>
                      <c:pt idx="0" formatCode="_(* #,##0.0_);_(* \(#,##0.0\);_(* &quot;-&quot;??_);_(@_)">
                        <c:v>0.1</c:v>
                      </c:pt>
                    </c:numCache>
                  </c:numRef>
                </c:val>
                <c:smooth val="0"/>
                <c:extLst xmlns:c15="http://schemas.microsoft.com/office/drawing/2012/chart">
                  <c:ext xmlns:c16="http://schemas.microsoft.com/office/drawing/2014/chart" uri="{C3380CC4-5D6E-409C-BE32-E72D297353CC}">
                    <c16:uniqueId val="{00000000-28B9-4E35-AE07-681755F7D66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'Funding &amp; Surplus'!$C$10</c15:sqref>
                        </c15:formulaRef>
                      </c:ext>
                    </c:extLst>
                    <c:strCache>
                      <c:ptCount val="1"/>
                      <c:pt idx="0">
                        <c:v>Tax or Fee on Fuel 
($/gal)</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extLst xmlns:c15="http://schemas.microsoft.com/office/drawing/2012/chart">
                      <c:ext xmlns:c15="http://schemas.microsoft.com/office/drawing/2012/chart" uri="{02D57815-91ED-43cb-92C2-25804820EDAC}">
                        <c15:formulaRef>
                          <c15:sqref>'Funding &amp; Surplus'!$C$11:$C$31</c15:sqref>
                        </c15:formulaRef>
                      </c:ext>
                    </c:extLst>
                    <c:numCache>
                      <c:formatCode>"$"#,##0.00000_);\("$"#,##0.00000\)</c:formatCode>
                      <c:ptCount val="21"/>
                      <c:pt idx="0">
                        <c:v>2.7199999999999998E-2</c:v>
                      </c:pt>
                      <c:pt idx="1">
                        <c:v>2.7199999999999998E-2</c:v>
                      </c:pt>
                      <c:pt idx="2">
                        <c:v>2.7199999999999998E-2</c:v>
                      </c:pt>
                      <c:pt idx="3">
                        <c:v>2.7199999999999998E-2</c:v>
                      </c:pt>
                      <c:pt idx="4">
                        <c:v>2.7199999999999998E-2</c:v>
                      </c:pt>
                      <c:pt idx="5">
                        <c:v>2.7199999999999998E-2</c:v>
                      </c:pt>
                      <c:pt idx="6">
                        <c:v>2.7199999999999998E-2</c:v>
                      </c:pt>
                      <c:pt idx="7">
                        <c:v>2.7199999999999998E-2</c:v>
                      </c:pt>
                      <c:pt idx="8">
                        <c:v>2.7199999999999998E-2</c:v>
                      </c:pt>
                      <c:pt idx="9">
                        <c:v>2.7199999999999998E-2</c:v>
                      </c:pt>
                      <c:pt idx="10">
                        <c:v>2.7199999999999998E-2</c:v>
                      </c:pt>
                      <c:pt idx="11">
                        <c:v>2.7199999999999998E-2</c:v>
                      </c:pt>
                      <c:pt idx="12">
                        <c:v>2.7199999999999998E-2</c:v>
                      </c:pt>
                      <c:pt idx="13">
                        <c:v>2.7199999999999998E-2</c:v>
                      </c:pt>
                      <c:pt idx="14">
                        <c:v>2.7199999999999998E-2</c:v>
                      </c:pt>
                      <c:pt idx="15">
                        <c:v>2.7199999999999998E-2</c:v>
                      </c:pt>
                      <c:pt idx="16">
                        <c:v>2.7199999999999998E-2</c:v>
                      </c:pt>
                      <c:pt idx="17">
                        <c:v>2.7199999999999998E-2</c:v>
                      </c:pt>
                      <c:pt idx="18">
                        <c:v>2.7199999999999998E-2</c:v>
                      </c:pt>
                      <c:pt idx="19">
                        <c:v>2.7199999999999998E-2</c:v>
                      </c:pt>
                      <c:pt idx="20">
                        <c:v>2.7199999999999998E-2</c:v>
                      </c:pt>
                    </c:numCache>
                  </c:numRef>
                </c:val>
                <c:smooth val="0"/>
                <c:extLst xmlns:c15="http://schemas.microsoft.com/office/drawing/2012/chart">
                  <c:ext xmlns:c16="http://schemas.microsoft.com/office/drawing/2014/chart" uri="{C3380CC4-5D6E-409C-BE32-E72D297353CC}">
                    <c16:uniqueId val="{00000004-28B9-4E35-AE07-681755F7D66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'Funding &amp; Surplus'!$E$10</c15:sqref>
                        </c15:formulaRef>
                      </c:ext>
                    </c:extLst>
                    <c:strCache>
                      <c:ptCount val="1"/>
                      <c:pt idx="0">
                        <c:v>Fee on Each UST 
($/UST)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extLst xmlns:c15="http://schemas.microsoft.com/office/drawing/2012/chart">
                      <c:ext xmlns:c15="http://schemas.microsoft.com/office/drawing/2012/chart" uri="{02D57815-91ED-43cb-92C2-25804820EDAC}">
                        <c15:formulaRef>
                          <c15:sqref>'Funding &amp; Surplus'!$E$11:$E$31</c15:sqref>
                        </c15:formulaRef>
                      </c:ext>
                    </c:extLst>
                    <c:numCache>
                      <c:formatCode>"$"#,##0_);\("$"#,##0\)</c:formatCode>
                      <c:ptCount val="21"/>
                      <c:pt idx="0">
                        <c:v>250</c:v>
                      </c:pt>
                      <c:pt idx="1">
                        <c:v>250</c:v>
                      </c:pt>
                      <c:pt idx="2">
                        <c:v>250</c:v>
                      </c:pt>
                      <c:pt idx="3">
                        <c:v>250</c:v>
                      </c:pt>
                      <c:pt idx="4">
                        <c:v>250</c:v>
                      </c:pt>
                      <c:pt idx="5">
                        <c:v>250</c:v>
                      </c:pt>
                      <c:pt idx="6">
                        <c:v>250</c:v>
                      </c:pt>
                      <c:pt idx="7">
                        <c:v>250</c:v>
                      </c:pt>
                      <c:pt idx="8">
                        <c:v>250</c:v>
                      </c:pt>
                      <c:pt idx="9">
                        <c:v>250</c:v>
                      </c:pt>
                      <c:pt idx="10">
                        <c:v>250</c:v>
                      </c:pt>
                      <c:pt idx="11">
                        <c:v>250</c:v>
                      </c:pt>
                      <c:pt idx="12">
                        <c:v>250</c:v>
                      </c:pt>
                      <c:pt idx="13">
                        <c:v>250</c:v>
                      </c:pt>
                      <c:pt idx="14">
                        <c:v>250</c:v>
                      </c:pt>
                      <c:pt idx="15">
                        <c:v>250</c:v>
                      </c:pt>
                      <c:pt idx="16">
                        <c:v>250</c:v>
                      </c:pt>
                      <c:pt idx="17">
                        <c:v>250</c:v>
                      </c:pt>
                      <c:pt idx="18">
                        <c:v>250</c:v>
                      </c:pt>
                      <c:pt idx="19">
                        <c:v>250</c:v>
                      </c:pt>
                      <c:pt idx="20">
                        <c:v>250</c:v>
                      </c:pt>
                    </c:numCache>
                  </c:numRef>
                </c:val>
                <c:smooth val="0"/>
                <c:extLst xmlns:c15="http://schemas.microsoft.com/office/drawing/2012/chart">
                  <c:ext xmlns:c16="http://schemas.microsoft.com/office/drawing/2014/chart" uri="{C3380CC4-5D6E-409C-BE32-E72D297353CC}">
                    <c16:uniqueId val="{00000006-28B9-4E35-AE07-681755F7D66C}"/>
                  </c:ext>
                </c:extLst>
              </c15:ser>
            </c15:filteredLineSeries>
          </c:ext>
        </c:extLst>
      </c:lineChart>
      <c:catAx>
        <c:axId val="252873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At val="0"/>
        <c:auto val="1"/>
        <c:lblAlgn val="ctr"/>
        <c:lblOffset val="100"/>
        <c:noMultiLvlLbl val="0"/>
      </c:catAx>
      <c:valAx>
        <c:axId val="252859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_\(@_)" sourceLinked="0"/>
        <c:majorTickMark val="out"/>
        <c:minorTickMark val="none"/>
        <c:tickLblPos val="nextTo"/>
        <c:spPr>
          <a:noFill/>
          <a:ln>
            <a:solidFill>
              <a:srgbClr val="4472C4"/>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baseline="0"/>
              <a:t>Gross and Net Fund Revenue, $ for UST CA, ($millions)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'Funding &amp; Surplus'!$G$10</c:f>
              <c:strCache>
                <c:ptCount val="1"/>
                <c:pt idx="0">
                  <c:v>Total Gross Income </c:v>
                </c:pt>
              </c:strCache>
            </c:strRef>
          </c:tx>
          <c:spPr>
            <a:ln w="28575" cap="rnd">
              <a:solidFill>
                <a:schemeClr val="accent1"/>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Surplus'!$G$11:$G$31</c:f>
              <c:numCache>
                <c:formatCode>_(* #,##0_);_(* \(#,##0\);_(* "-"?_);_(@_)</c:formatCode>
                <c:ptCount val="21"/>
                <c:pt idx="0">
                  <c:v>162.3056835443038</c:v>
                </c:pt>
                <c:pt idx="1">
                  <c:v>159.91905191770897</c:v>
                </c:pt>
                <c:pt idx="2">
                  <c:v>158.49581360357155</c:v>
                </c:pt>
                <c:pt idx="3">
                  <c:v>156.30354461476651</c:v>
                </c:pt>
                <c:pt idx="4">
                  <c:v>152.95045081311306</c:v>
                </c:pt>
                <c:pt idx="5">
                  <c:v>147.90326472898465</c:v>
                </c:pt>
                <c:pt idx="6">
                  <c:v>140.51064644720006</c:v>
                </c:pt>
                <c:pt idx="7">
                  <c:v>130.12582749810983</c:v>
                </c:pt>
                <c:pt idx="8">
                  <c:v>116.38000421347941</c:v>
                </c:pt>
                <c:pt idx="9">
                  <c:v>99.563123840897916</c:v>
                </c:pt>
                <c:pt idx="10">
                  <c:v>80.871657561625597</c:v>
                </c:pt>
                <c:pt idx="11">
                  <c:v>62.193053534776226</c:v>
                </c:pt>
                <c:pt idx="12">
                  <c:v>45.41215860181471</c:v>
                </c:pt>
                <c:pt idx="13">
                  <c:v>31.719073351765132</c:v>
                </c:pt>
                <c:pt idx="14">
                  <c:v>21.39658454254333</c:v>
                </c:pt>
                <c:pt idx="15">
                  <c:v>14.070206892680083</c:v>
                </c:pt>
                <c:pt idx="16">
                  <c:v>9.0896610322513709</c:v>
                </c:pt>
                <c:pt idx="17">
                  <c:v>5.8019027015868812</c:v>
                </c:pt>
                <c:pt idx="18">
                  <c:v>3.6731045292568512</c:v>
                </c:pt>
                <c:pt idx="19">
                  <c:v>2.3115043228115706</c:v>
                </c:pt>
                <c:pt idx="20">
                  <c:v>1.4520058793901804</c:v>
                </c:pt>
              </c:numCache>
            </c:numRef>
          </c:val>
          <c:smooth val="0"/>
          <c:extLst xmlns:c15="http://schemas.microsoft.com/office/drawing/2012/chart">
            <c:ext xmlns:c16="http://schemas.microsoft.com/office/drawing/2014/chart" uri="{C3380CC4-5D6E-409C-BE32-E72D297353CC}">
              <c16:uniqueId val="{00000003-313D-47C3-B84C-171FA49D3455}"/>
            </c:ext>
          </c:extLst>
        </c:ser>
        <c:ser>
          <c:idx val="2"/>
          <c:order val="2"/>
          <c:tx>
            <c:strRef>
              <c:f>'Funding &amp; Surplus'!$I$10</c:f>
              <c:strCache>
                <c:ptCount val="1"/>
                <c:pt idx="0">
                  <c:v>Net Income</c:v>
                </c:pt>
              </c:strCache>
            </c:strRef>
          </c:tx>
          <c:spPr>
            <a:ln w="28575" cap="rnd">
              <a:solidFill>
                <a:schemeClr val="accent3"/>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Surplus'!$I$11:$I$31</c:f>
              <c:numCache>
                <c:formatCode>_(* #,##0_);_(* \(#,##0\);_(* "-"?_);_(@_)</c:formatCode>
                <c:ptCount val="21"/>
                <c:pt idx="0">
                  <c:v>60</c:v>
                </c:pt>
                <c:pt idx="1">
                  <c:v>60</c:v>
                </c:pt>
                <c:pt idx="2">
                  <c:v>60</c:v>
                </c:pt>
                <c:pt idx="3">
                  <c:v>60</c:v>
                </c:pt>
                <c:pt idx="4">
                  <c:v>60</c:v>
                </c:pt>
                <c:pt idx="5">
                  <c:v>60</c:v>
                </c:pt>
                <c:pt idx="6">
                  <c:v>60</c:v>
                </c:pt>
                <c:pt idx="7">
                  <c:v>60</c:v>
                </c:pt>
                <c:pt idx="8">
                  <c:v>60</c:v>
                </c:pt>
                <c:pt idx="9">
                  <c:v>60</c:v>
                </c:pt>
                <c:pt idx="10">
                  <c:v>60</c:v>
                </c:pt>
                <c:pt idx="11">
                  <c:v>60</c:v>
                </c:pt>
                <c:pt idx="12">
                  <c:v>45.41215860181471</c:v>
                </c:pt>
                <c:pt idx="13">
                  <c:v>31.719073351765132</c:v>
                </c:pt>
                <c:pt idx="14">
                  <c:v>21.39658454254333</c:v>
                </c:pt>
                <c:pt idx="15">
                  <c:v>14.070206892680083</c:v>
                </c:pt>
                <c:pt idx="16">
                  <c:v>9.0896610322513709</c:v>
                </c:pt>
                <c:pt idx="17">
                  <c:v>5.8019027015868812</c:v>
                </c:pt>
                <c:pt idx="18">
                  <c:v>3.6731045292568512</c:v>
                </c:pt>
                <c:pt idx="19">
                  <c:v>2.3115043228115706</c:v>
                </c:pt>
                <c:pt idx="20">
                  <c:v>1.4520058793901804</c:v>
                </c:pt>
              </c:numCache>
            </c:numRef>
          </c:val>
          <c:smooth val="0"/>
          <c:extLst xmlns:c15="http://schemas.microsoft.com/office/drawing/2012/chart">
            <c:ext xmlns:c16="http://schemas.microsoft.com/office/drawing/2014/chart" uri="{C3380CC4-5D6E-409C-BE32-E72D297353CC}">
              <c16:uniqueId val="{00000005-313D-47C3-B84C-171FA49D3455}"/>
            </c:ext>
          </c:extLst>
        </c:ser>
        <c:ser>
          <c:idx val="3"/>
          <c:order val="3"/>
          <c:tx>
            <c:strRef>
              <c:f>'Funding &amp; Surplus'!$J$10</c:f>
              <c:strCache>
                <c:ptCount val="1"/>
                <c:pt idx="0">
                  <c:v>Other Expenses </c:v>
                </c:pt>
              </c:strCache>
            </c:strRef>
          </c:tx>
          <c:spPr>
            <a:ln w="28575" cap="rnd">
              <a:solidFill>
                <a:schemeClr val="accent4"/>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Surplus'!$J$11:$J$31</c:f>
              <c:numCache>
                <c:formatCode>_(* #,##0_);_(* \(#,##0\);_(* "-"?_);_(@_)</c:formatCode>
                <c:ptCount val="21"/>
                <c:pt idx="0">
                  <c:v>38</c:v>
                </c:pt>
                <c:pt idx="1">
                  <c:v>38</c:v>
                </c:pt>
                <c:pt idx="2">
                  <c:v>38</c:v>
                </c:pt>
                <c:pt idx="3">
                  <c:v>38</c:v>
                </c:pt>
                <c:pt idx="4">
                  <c:v>38</c:v>
                </c:pt>
                <c:pt idx="5">
                  <c:v>38</c:v>
                </c:pt>
                <c:pt idx="6">
                  <c:v>38</c:v>
                </c:pt>
                <c:pt idx="7">
                  <c:v>38</c:v>
                </c:pt>
                <c:pt idx="8">
                  <c:v>38</c:v>
                </c:pt>
                <c:pt idx="9">
                  <c:v>38</c:v>
                </c:pt>
                <c:pt idx="10">
                  <c:v>38</c:v>
                </c:pt>
                <c:pt idx="11">
                  <c:v>38</c:v>
                </c:pt>
                <c:pt idx="12">
                  <c:v>28.761033781149315</c:v>
                </c:pt>
                <c:pt idx="13">
                  <c:v>20.088746456117917</c:v>
                </c:pt>
                <c:pt idx="14">
                  <c:v>13.551170210277443</c:v>
                </c:pt>
                <c:pt idx="15">
                  <c:v>8.9111310320307187</c:v>
                </c:pt>
                <c:pt idx="16">
                  <c:v>5.7567853204258679</c:v>
                </c:pt>
                <c:pt idx="17">
                  <c:v>3.6745383776716918</c:v>
                </c:pt>
                <c:pt idx="18">
                  <c:v>2.3262995351960059</c:v>
                </c:pt>
                <c:pt idx="19">
                  <c:v>1.4639527377806614</c:v>
                </c:pt>
                <c:pt idx="20">
                  <c:v>0.91960372361378095</c:v>
                </c:pt>
              </c:numCache>
            </c:numRef>
          </c:val>
          <c:smooth val="0"/>
          <c:extLst xmlns:c15="http://schemas.microsoft.com/office/drawing/2012/chart">
            <c:ext xmlns:c16="http://schemas.microsoft.com/office/drawing/2014/chart" uri="{C3380CC4-5D6E-409C-BE32-E72D297353CC}">
              <c16:uniqueId val="{00000000-313D-47C3-B84C-171FA49D3455}"/>
            </c:ext>
          </c:extLst>
        </c:ser>
        <c:ser>
          <c:idx val="4"/>
          <c:order val="4"/>
          <c:tx>
            <c:strRef>
              <c:f>'Funding &amp; Surplus'!$K$10</c:f>
              <c:strCache>
                <c:ptCount val="1"/>
                <c:pt idx="0">
                  <c:v>Net Income for UST Corrective Action 
</c:v>
                </c:pt>
              </c:strCache>
            </c:strRef>
          </c:tx>
          <c:spPr>
            <a:ln w="28575" cap="rnd">
              <a:solidFill>
                <a:schemeClr val="accent5"/>
              </a:solidFill>
              <a:round/>
            </a:ln>
            <a:effectLst/>
          </c:spPr>
          <c:marker>
            <c:symbol val="none"/>
          </c:marker>
          <c:cat>
            <c:numRef>
              <c:f>'Funding &amp; Surplus'!$A$11:$A$31</c:f>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f>'Funding &amp; Surplus'!$K$11:$K$31</c:f>
              <c:numCache>
                <c:formatCode>_(* #,##0_);_(* \(#,##0\);_(* "-"?_);_(@_)</c:formatCode>
                <c:ptCount val="21"/>
                <c:pt idx="0">
                  <c:v>22</c:v>
                </c:pt>
                <c:pt idx="1">
                  <c:v>22</c:v>
                </c:pt>
                <c:pt idx="2">
                  <c:v>22</c:v>
                </c:pt>
                <c:pt idx="3">
                  <c:v>22</c:v>
                </c:pt>
                <c:pt idx="4">
                  <c:v>22</c:v>
                </c:pt>
                <c:pt idx="5">
                  <c:v>22</c:v>
                </c:pt>
                <c:pt idx="6">
                  <c:v>22</c:v>
                </c:pt>
                <c:pt idx="7">
                  <c:v>22</c:v>
                </c:pt>
                <c:pt idx="8">
                  <c:v>22</c:v>
                </c:pt>
                <c:pt idx="9">
                  <c:v>22</c:v>
                </c:pt>
                <c:pt idx="10">
                  <c:v>22</c:v>
                </c:pt>
                <c:pt idx="11">
                  <c:v>22</c:v>
                </c:pt>
                <c:pt idx="12">
                  <c:v>16.651124820665395</c:v>
                </c:pt>
                <c:pt idx="13">
                  <c:v>11.630326895647215</c:v>
                </c:pt>
                <c:pt idx="14">
                  <c:v>7.8454143322658876</c:v>
                </c:pt>
                <c:pt idx="15">
                  <c:v>5.1590758606493647</c:v>
                </c:pt>
                <c:pt idx="16">
                  <c:v>3.332875711825503</c:v>
                </c:pt>
                <c:pt idx="17">
                  <c:v>2.1273643239151894</c:v>
                </c:pt>
                <c:pt idx="18">
                  <c:v>1.3468049940608453</c:v>
                </c:pt>
                <c:pt idx="19">
                  <c:v>0.84755158503090922</c:v>
                </c:pt>
                <c:pt idx="20">
                  <c:v>0.53240215577639949</c:v>
                </c:pt>
              </c:numCache>
            </c:numRef>
          </c:val>
          <c:smooth val="0"/>
          <c:extLst xmlns:c15="http://schemas.microsoft.com/office/drawing/2012/chart">
            <c:ext xmlns:c16="http://schemas.microsoft.com/office/drawing/2014/chart" uri="{C3380CC4-5D6E-409C-BE32-E72D297353CC}">
              <c16:uniqueId val="{00000006-313D-47C3-B84C-171FA49D3455}"/>
            </c:ext>
          </c:extLst>
        </c:ser>
        <c:dLbls>
          <c:showLegendKey val="0"/>
          <c:showVal val="0"/>
          <c:showCatName val="0"/>
          <c:showSerName val="0"/>
          <c:showPercent val="0"/>
          <c:showBubbleSize val="0"/>
        </c:dLbls>
        <c:smooth val="0"/>
        <c:axId val="252873584"/>
        <c:axId val="252859024"/>
        <c:extLst>
          <c:ext xmlns:c15="http://schemas.microsoft.com/office/drawing/2012/chart" uri="{02D57815-91ED-43cb-92C2-25804820EDAC}">
            <c15:filteredLineSeries>
              <c15:ser>
                <c:idx val="1"/>
                <c:order val="1"/>
                <c:tx>
                  <c:strRef>
                    <c:extLst>
                      <c:ext uri="{02D57815-91ED-43cb-92C2-25804820EDAC}">
                        <c15:formulaRef>
                          <c15:sqref>'Funding &amp; Surplus'!#REF!</c15:sqref>
                        </c15:formulaRef>
                      </c:ext>
                    </c:extLst>
                    <c:strCache>
                      <c:ptCount val="1"/>
                      <c:pt idx="0">
                        <c:v>#REF!</c:v>
                      </c:pt>
                    </c:strCache>
                  </c:strRef>
                </c:tx>
                <c:spPr>
                  <a:ln w="28575" cap="rnd">
                    <a:solidFill>
                      <a:schemeClr val="accent2"/>
                    </a:solidFill>
                    <a:round/>
                  </a:ln>
                  <a:effectLst/>
                </c:spPr>
                <c:marker>
                  <c:symbol val="none"/>
                </c:marker>
                <c:cat>
                  <c:numRef>
                    <c:extLst>
                      <c:ext uri="{02D57815-91ED-43cb-92C2-25804820EDAC}">
                        <c15:formulaRef>
                          <c15:sqref>'Funding &amp; Surplus'!$A$11:$A$31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cat>
                <c:val>
                  <c:numRef>
                    <c:extLst>
                      <c:ext uri="{02D57815-91ED-43cb-92C2-25804820EDAC}">
                        <c15:formulaRef>
                          <c15:sqref>'Funding &amp; Surplus'!$H$11:$H$31</c15:sqref>
                        </c15:formulaRef>
                      </c:ext>
                    </c:extLst>
                    <c:numCache>
                      <c:formatCode>_(* #,##0_);_(*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4-313D-47C3-B84C-171FA49D3455}"/>
                  </c:ext>
                </c:extLst>
              </c15:ser>
            </c15:filteredLineSeries>
          </c:ext>
        </c:extLst>
      </c:lineChart>
      <c:catAx>
        <c:axId val="252873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At val="0"/>
        <c:auto val="1"/>
        <c:lblAlgn val="ctr"/>
        <c:lblOffset val="100"/>
        <c:noMultiLvlLbl val="0"/>
      </c:catAx>
      <c:valAx>
        <c:axId val="252859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_\(@_)" sourceLinked="0"/>
        <c:majorTickMark val="out"/>
        <c:minorTickMark val="none"/>
        <c:tickLblPos val="nextTo"/>
        <c:spPr>
          <a:noFill/>
          <a:ln>
            <a:solidFill>
              <a:srgbClr val="4472C4"/>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Cumulative Corrective Action</a:t>
            </a:r>
            <a:r>
              <a:rPr lang="en-US" baseline="0"/>
              <a:t> Costs and Fund Revenue </a:t>
            </a:r>
            <a:r>
              <a:rPr lang="en-US" sz="1400" b="0" i="0" u="none" strike="noStrike" baseline="0">
                <a:effectLst/>
              </a:rPr>
              <a:t>($millions)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1"/>
          <c:tx>
            <c:strRef>
              <c:f>'Funding &amp; Surplus'!$N$10</c:f>
              <c:strCache>
                <c:ptCount val="1"/>
                <c:pt idx="0">
                  <c:v>Cumulative CA Costs</c:v>
                </c:pt>
              </c:strCache>
            </c:strRef>
          </c:tx>
          <c:spPr>
            <a:ln w="28575" cap="rnd">
              <a:solidFill>
                <a:schemeClr val="accent2"/>
              </a:solidFill>
              <a:round/>
            </a:ln>
            <a:effectLst/>
          </c:spPr>
          <c:marker>
            <c:symbol val="none"/>
          </c:marker>
          <c:cat>
            <c:numRef>
              <c:f>'Funding &amp; Surplus'!$A$11:$A$36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f>'Funding &amp; Surplus'!$N$11:$N$36</c:f>
              <c:numCache>
                <c:formatCode>_(* #,##0_);_(* \(#,##0\);_(* "-"?_);_(@_)</c:formatCode>
                <c:ptCount val="26"/>
                <c:pt idx="0">
                  <c:v>17.979726835497576</c:v>
                </c:pt>
                <c:pt idx="1">
                  <c:v>34.317599825644919</c:v>
                </c:pt>
                <c:pt idx="2">
                  <c:v>52.237452974610548</c:v>
                </c:pt>
                <c:pt idx="3">
                  <c:v>71.825975605042686</c:v>
                </c:pt>
                <c:pt idx="4">
                  <c:v>93.195848788128941</c:v>
                </c:pt>
                <c:pt idx="5">
                  <c:v>116.46539158172585</c:v>
                </c:pt>
                <c:pt idx="6">
                  <c:v>138.95205770453447</c:v>
                </c:pt>
                <c:pt idx="7">
                  <c:v>161.39422688377709</c:v>
                </c:pt>
                <c:pt idx="8">
                  <c:v>183.50277957988288</c:v>
                </c:pt>
                <c:pt idx="9">
                  <c:v>204.72308066072779</c:v>
                </c:pt>
                <c:pt idx="10">
                  <c:v>224.34303191975346</c:v>
                </c:pt>
                <c:pt idx="11">
                  <c:v>242.1241215687125</c:v>
                </c:pt>
                <c:pt idx="12">
                  <c:v>257.63570538958055</c:v>
                </c:pt>
                <c:pt idx="13">
                  <c:v>270.7198451628426</c:v>
                </c:pt>
                <c:pt idx="14">
                  <c:v>281.44448349524623</c:v>
                </c:pt>
                <c:pt idx="15">
                  <c:v>290.04151567116065</c:v>
                </c:pt>
                <c:pt idx="16">
                  <c:v>295.66432453319652</c:v>
                </c:pt>
                <c:pt idx="17">
                  <c:v>299.65581937445285</c:v>
                </c:pt>
                <c:pt idx="18">
                  <c:v>302.39477239518578</c:v>
                </c:pt>
                <c:pt idx="19">
                  <c:v>304.19927369007769</c:v>
                </c:pt>
                <c:pt idx="20">
                  <c:v>305.30185200315259</c:v>
                </c:pt>
                <c:pt idx="21">
                  <c:v>305.75295064361779</c:v>
                </c:pt>
                <c:pt idx="22">
                  <c:v>306.02554411663135</c:v>
                </c:pt>
                <c:pt idx="23">
                  <c:v>306.18375592407671</c:v>
                </c:pt>
                <c:pt idx="24">
                  <c:v>306.26740693384954</c:v>
                </c:pt>
                <c:pt idx="25">
                  <c:v>306.30100180538153</c:v>
                </c:pt>
              </c:numCache>
            </c:numRef>
          </c:val>
          <c:smooth val="0"/>
          <c:extLst>
            <c:ext xmlns:c16="http://schemas.microsoft.com/office/drawing/2014/chart" uri="{C3380CC4-5D6E-409C-BE32-E72D297353CC}">
              <c16:uniqueId val="{00000000-4048-48DD-AB1C-B49C45DF0CFA}"/>
            </c:ext>
          </c:extLst>
        </c:ser>
        <c:dLbls>
          <c:showLegendKey val="0"/>
          <c:showVal val="0"/>
          <c:showCatName val="0"/>
          <c:showSerName val="0"/>
          <c:showPercent val="0"/>
          <c:showBubbleSize val="0"/>
        </c:dLbls>
        <c:marker val="1"/>
        <c:smooth val="0"/>
        <c:axId val="252873584"/>
        <c:axId val="252859024"/>
        <c:extLst/>
      </c:lineChart>
      <c:lineChart>
        <c:grouping val="standard"/>
        <c:varyColors val="0"/>
        <c:ser>
          <c:idx val="1"/>
          <c:order val="0"/>
          <c:tx>
            <c:strRef>
              <c:f>'Funding &amp; Surplus'!$O$10</c:f>
              <c:strCache>
                <c:ptCount val="1"/>
                <c:pt idx="0">
                  <c:v>Cumulative surplus or (shortfall)</c:v>
                </c:pt>
              </c:strCache>
            </c:strRef>
          </c:tx>
          <c:spPr>
            <a:ln w="28575" cap="rnd">
              <a:solidFill>
                <a:schemeClr val="accent1"/>
              </a:solidFill>
              <a:round/>
            </a:ln>
            <a:effectLst/>
          </c:spPr>
          <c:marker>
            <c:symbol val="none"/>
          </c:marker>
          <c:val>
            <c:numRef>
              <c:f>'Funding &amp; Surplus'!$O$11:$O$36</c:f>
              <c:numCache>
                <c:formatCode>_(* #,##0_);_(* \(#,##0\);_(* "-"?_);_(@_)</c:formatCode>
                <c:ptCount val="26"/>
                <c:pt idx="0">
                  <c:v>4.1202731645024233</c:v>
                </c:pt>
                <c:pt idx="1">
                  <c:v>9.7824001743550806</c:v>
                </c:pt>
                <c:pt idx="2">
                  <c:v>13.862547025389452</c:v>
                </c:pt>
                <c:pt idx="3">
                  <c:v>16.274024394957316</c:v>
                </c:pt>
                <c:pt idx="4">
                  <c:v>16.904151211871056</c:v>
                </c:pt>
                <c:pt idx="5">
                  <c:v>15.634608418274144</c:v>
                </c:pt>
                <c:pt idx="6">
                  <c:v>15.147942295465544</c:v>
                </c:pt>
                <c:pt idx="7">
                  <c:v>14.705773116222908</c:v>
                </c:pt>
                <c:pt idx="8">
                  <c:v>14.597220420117115</c:v>
                </c:pt>
                <c:pt idx="9">
                  <c:v>15.376919339272217</c:v>
                </c:pt>
                <c:pt idx="10">
                  <c:v>17.756968080246537</c:v>
                </c:pt>
                <c:pt idx="11">
                  <c:v>21.975878431287505</c:v>
                </c:pt>
                <c:pt idx="12">
                  <c:v>23.115419431084842</c:v>
                </c:pt>
                <c:pt idx="13">
                  <c:v>21.66160655347003</c:v>
                </c:pt>
                <c:pt idx="14">
                  <c:v>18.782382553332312</c:v>
                </c:pt>
                <c:pt idx="15">
                  <c:v>15.34442623806725</c:v>
                </c:pt>
                <c:pt idx="16">
                  <c:v>13.05449308785686</c:v>
                </c:pt>
                <c:pt idx="17">
                  <c:v>11.190362570515745</c:v>
                </c:pt>
                <c:pt idx="18">
                  <c:v>9.7982145438436383</c:v>
                </c:pt>
                <c:pt idx="19">
                  <c:v>8.8412648339826205</c:v>
                </c:pt>
                <c:pt idx="20">
                  <c:v>8.2710886766841352</c:v>
                </c:pt>
                <c:pt idx="21">
                  <c:v>7.8199900362189085</c:v>
                </c:pt>
                <c:pt idx="22">
                  <c:v>7.547396563205341</c:v>
                </c:pt>
                <c:pt idx="23">
                  <c:v>7.3891847557599961</c:v>
                </c:pt>
                <c:pt idx="24">
                  <c:v>7.3055337459871819</c:v>
                </c:pt>
                <c:pt idx="25">
                  <c:v>7.2719388744552038</c:v>
                </c:pt>
              </c:numCache>
            </c:numRef>
          </c:val>
          <c:smooth val="0"/>
          <c:extLst>
            <c:ext xmlns:c16="http://schemas.microsoft.com/office/drawing/2014/chart" uri="{C3380CC4-5D6E-409C-BE32-E72D297353CC}">
              <c16:uniqueId val="{00000003-4048-48DD-AB1C-B49C45DF0CFA}"/>
            </c:ext>
          </c:extLst>
        </c:ser>
        <c:dLbls>
          <c:showLegendKey val="0"/>
          <c:showVal val="0"/>
          <c:showCatName val="0"/>
          <c:showSerName val="0"/>
          <c:showPercent val="0"/>
          <c:showBubbleSize val="0"/>
        </c:dLbls>
        <c:marker val="1"/>
        <c:smooth val="0"/>
        <c:axId val="999074320"/>
        <c:axId val="991326464"/>
      </c:lineChart>
      <c:catAx>
        <c:axId val="2528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 val="autoZero"/>
        <c:auto val="1"/>
        <c:lblAlgn val="ctr"/>
        <c:lblOffset val="100"/>
        <c:noMultiLvlLbl val="0"/>
      </c:catAx>
      <c:valAx>
        <c:axId val="25285902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valAx>
        <c:axId val="991326464"/>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074320"/>
        <c:crosses val="max"/>
        <c:crossBetween val="between"/>
      </c:valAx>
      <c:catAx>
        <c:axId val="999074320"/>
        <c:scaling>
          <c:orientation val="minMax"/>
        </c:scaling>
        <c:delete val="1"/>
        <c:axPos val="b"/>
        <c:majorTickMark val="out"/>
        <c:minorTickMark val="none"/>
        <c:tickLblPos val="nextTo"/>
        <c:crossAx val="9913264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Fuel Use and Active UST</a:t>
            </a:r>
            <a:r>
              <a:rPr lang="en-US" baseline="0"/>
              <a:t> Sites</a:t>
            </a:r>
          </a:p>
        </c:rich>
      </c:tx>
      <c:layout>
        <c:manualLayout>
          <c:xMode val="edge"/>
          <c:yMode val="edge"/>
          <c:x val="0.27398452204452012"/>
          <c:y val="5.00252812086852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'Fuel Use, Tanks, &amp; Sites'!$B$10</c:f>
              <c:strCache>
                <c:ptCount val="1"/>
              </c:strCache>
              <c:extLst xmlns:c15="http://schemas.microsoft.com/office/drawing/2012/chart"/>
            </c:strRef>
          </c:tx>
          <c:spPr>
            <a:ln w="28575" cap="rnd">
              <a:solidFill>
                <a:schemeClr val="accent2"/>
              </a:solidFill>
              <a:round/>
            </a:ln>
            <a:effectLst/>
          </c:spPr>
          <c:marker>
            <c:symbol val="none"/>
          </c:marker>
          <c:cat>
            <c:numRef>
              <c:f>'Fuel Use, Tanks, &amp; Sites'!$A$11:$A$36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extLst xmlns:c15="http://schemas.microsoft.com/office/drawing/2012/chart"/>
            </c:numRef>
          </c:cat>
          <c:val>
            <c:numRef>
              <c:f>'Fuel Use, Tanks, &amp; Sites'!$B$11:$B$36</c:f>
              <c:extLst xmlns:c15="http://schemas.microsoft.com/office/drawing/2012/chart"/>
            </c:numRef>
          </c:val>
          <c:smooth val="0"/>
          <c:extLst xmlns:c15="http://schemas.microsoft.com/office/drawing/2012/chart">
            <c:ext xmlns:c16="http://schemas.microsoft.com/office/drawing/2014/chart" uri="{C3380CC4-5D6E-409C-BE32-E72D297353CC}">
              <c16:uniqueId val="{00000003-C9EB-4400-9343-1563A2CC9C74}"/>
            </c:ext>
          </c:extLst>
        </c:ser>
        <c:ser>
          <c:idx val="2"/>
          <c:order val="2"/>
          <c:tx>
            <c:strRef>
              <c:f>'Fuel Use, Tanks, &amp; Sites'!$C$10</c:f>
              <c:strCache>
                <c:ptCount val="1"/>
                <c:pt idx="0">
                  <c:v>Motor Fuel Use (mb/d)</c:v>
                </c:pt>
              </c:strCache>
            </c:strRef>
          </c:tx>
          <c:spPr>
            <a:ln w="28575" cap="rnd">
              <a:solidFill>
                <a:schemeClr val="accent3"/>
              </a:solidFill>
              <a:round/>
            </a:ln>
            <a:effectLst/>
          </c:spPr>
          <c:marker>
            <c:symbol val="none"/>
          </c:marker>
          <c:cat>
            <c:numRef>
              <c:f>'Fuel Use, Tanks, &amp; Sites'!$A$11:$A$36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f>'Fuel Use, Tanks, &amp; Sites'!$C$11:$C$36</c:f>
              <c:numCache>
                <c:formatCode>0.00000</c:formatCode>
                <c:ptCount val="26"/>
                <c:pt idx="0">
                  <c:v>0.18942898817234544</c:v>
                </c:pt>
                <c:pt idx="1">
                  <c:v>0.18671188391754676</c:v>
                </c:pt>
                <c:pt idx="2">
                  <c:v>0.18511873168525572</c:v>
                </c:pt>
                <c:pt idx="3">
                  <c:v>0.18262548582742</c:v>
                </c:pt>
                <c:pt idx="4">
                  <c:v>0.17877305188385417</c:v>
                </c:pt>
                <c:pt idx="5">
                  <c:v>0.17293620699454115</c:v>
                </c:pt>
                <c:pt idx="6">
                  <c:v>0.16435069781199541</c:v>
                </c:pt>
                <c:pt idx="7">
                  <c:v>0.15225656943002089</c:v>
                </c:pt>
                <c:pt idx="8">
                  <c:v>0.13621832049946583</c:v>
                </c:pt>
                <c:pt idx="9">
                  <c:v>0.11657152231087875</c:v>
                </c:pt>
                <c:pt idx="10">
                  <c:v>9.4714494086172718E-2</c:v>
                </c:pt>
                <c:pt idx="11">
                  <c:v>7.2857465861466686E-2</c:v>
                </c:pt>
                <c:pt idx="12">
                  <c:v>5.3210667672879602E-2</c:v>
                </c:pt>
                <c:pt idx="13">
                  <c:v>3.7172418742324548E-2</c:v>
                </c:pt>
                <c:pt idx="14">
                  <c:v>2.5078290360350058E-2</c:v>
                </c:pt>
                <c:pt idx="15">
                  <c:v>1.6492781177804283E-2</c:v>
                </c:pt>
                <c:pt idx="16">
                  <c:v>1.0655936288491236E-2</c:v>
                </c:pt>
                <c:pt idx="17">
                  <c:v>6.8035023449254384E-3</c:v>
                </c:pt>
                <c:pt idx="18">
                  <c:v>4.310256487089742E-3</c:v>
                </c:pt>
                <c:pt idx="19">
                  <c:v>2.7171042547986801E-3</c:v>
                </c:pt>
                <c:pt idx="20">
                  <c:v>1.7073800439041387E-3</c:v>
                </c:pt>
              </c:numCache>
            </c:numRef>
          </c:val>
          <c:smooth val="0"/>
          <c:extLst>
            <c:ext xmlns:c16="http://schemas.microsoft.com/office/drawing/2014/chart" uri="{C3380CC4-5D6E-409C-BE32-E72D297353CC}">
              <c16:uniqueId val="{00000000-C9EB-4400-9343-1563A2CC9C74}"/>
            </c:ext>
          </c:extLst>
        </c:ser>
        <c:dLbls>
          <c:showLegendKey val="0"/>
          <c:showVal val="0"/>
          <c:showCatName val="0"/>
          <c:showSerName val="0"/>
          <c:showPercent val="0"/>
          <c:showBubbleSize val="0"/>
        </c:dLbls>
        <c:marker val="1"/>
        <c:smooth val="0"/>
        <c:axId val="1968524399"/>
        <c:axId val="1968524815"/>
        <c:extLst>
          <c:ext xmlns:c15="http://schemas.microsoft.com/office/drawing/2012/chart" uri="{02D57815-91ED-43cb-92C2-25804820EDAC}">
            <c15:filteredLineSeries>
              <c15:ser>
                <c:idx val="0"/>
                <c:order val="0"/>
                <c:tx>
                  <c:strRef>
                    <c:extLst>
                      <c:ext uri="{02D57815-91ED-43cb-92C2-25804820EDAC}">
                        <c15:formulaRef>
                          <c15:sqref>'Fuel Use, Tanks, &amp; Sites'!$A$10</c15:sqref>
                        </c15:formulaRef>
                      </c:ext>
                    </c:extLst>
                    <c:strCache>
                      <c:ptCount val="1"/>
                      <c:pt idx="0">
                        <c:v>Year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'Fuel Use, Tanks, &amp; Sites'!$A$11:$A$36</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extLst>
                      <c:ext uri="{02D57815-91ED-43cb-92C2-25804820EDAC}">
                        <c15:formulaRef>
                          <c15:sqref>'Fuel Use, Tanks, &amp; Sites'!$A$11:$A$36</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val>
                <c:smooth val="0"/>
                <c:extLst>
                  <c:ext xmlns:c16="http://schemas.microsoft.com/office/drawing/2014/chart" uri="{C3380CC4-5D6E-409C-BE32-E72D297353CC}">
                    <c16:uniqueId val="{00000002-C9EB-4400-9343-1563A2CC9C7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'Fuel Use, Tanks, &amp; Sites'!$D$10</c15:sqref>
                        </c15:formulaRef>
                      </c:ext>
                    </c:extLst>
                    <c:strCache>
                      <c:ptCount val="1"/>
                      <c:pt idx="0">
                        <c:v>Initial # Active Sites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'Fuel Use, Tanks, &amp; Sites'!$A$11:$A$36</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extLst xmlns:c15="http://schemas.microsoft.com/office/drawing/2012/chart">
                      <c:ext xmlns:c15="http://schemas.microsoft.com/office/drawing/2012/chart" uri="{02D57815-91ED-43cb-92C2-25804820EDAC}">
                        <c15:formulaRef>
                          <c15:sqref>'Fuel Use, Tanks, &amp; Sites'!$D$11:$D$36</c15:sqref>
                        </c15:formulaRef>
                      </c:ext>
                    </c:extLst>
                    <c:numCache>
                      <c:formatCode>General</c:formatCode>
                      <c:ptCount val="26"/>
                      <c:pt idx="0" formatCode="_(* #,##0_);_(* \(#,##0\);_(* &quot;-&quot;??_);_(@_)">
                        <c:v>3025.5855135699258</c:v>
                      </c:pt>
                    </c:numCache>
                  </c:numRef>
                </c:val>
                <c:smooth val="0"/>
                <c:extLst xmlns:c15="http://schemas.microsoft.com/office/drawing/2012/chart">
                  <c:ext xmlns:c16="http://schemas.microsoft.com/office/drawing/2014/chart" uri="{C3380CC4-5D6E-409C-BE32-E72D297353CC}">
                    <c16:uniqueId val="{00000004-C9EB-4400-9343-1563A2CC9C74}"/>
                  </c:ext>
                </c:extLst>
              </c15:ser>
            </c15:filteredLineSeries>
          </c:ext>
        </c:extLst>
      </c:lineChart>
      <c:lineChart>
        <c:grouping val="standard"/>
        <c:varyColors val="0"/>
        <c:ser>
          <c:idx val="5"/>
          <c:order val="5"/>
          <c:tx>
            <c:strRef>
              <c:f>'Fuel Use, Tanks, &amp; Sites'!$F$10</c:f>
              <c:strCache>
                <c:ptCount val="1"/>
                <c:pt idx="0">
                  <c:v># Active UST Sites Needed</c:v>
                </c:pt>
              </c:strCache>
            </c:strRef>
          </c:tx>
          <c:spPr>
            <a:ln w="28575" cap="rnd">
              <a:solidFill>
                <a:schemeClr val="accent6"/>
              </a:solidFill>
              <a:round/>
            </a:ln>
            <a:effectLst/>
          </c:spPr>
          <c:marker>
            <c:symbol val="none"/>
          </c:marker>
          <c:val>
            <c:numRef>
              <c:f>'Fuel Use, Tanks, &amp; Sites'!$F$11:$F$36</c:f>
              <c:numCache>
                <c:formatCode>_(* #,##0_);_(* \(#,##0\);_(* "-"?_);_(@_)</c:formatCode>
                <c:ptCount val="26"/>
                <c:pt idx="0">
                  <c:v>3025.5855135699258</c:v>
                </c:pt>
                <c:pt idx="1">
                  <c:v>2942.9482456308619</c:v>
                </c:pt>
                <c:pt idx="2">
                  <c:v>2878.9325246982694</c:v>
                </c:pt>
                <c:pt idx="3">
                  <c:v>2801.7775090899804</c:v>
                </c:pt>
                <c:pt idx="4">
                  <c:v>2705.1039025153946</c:v>
                </c:pt>
                <c:pt idx="5">
                  <c:v>2580.4394833687816</c:v>
                </c:pt>
                <c:pt idx="6">
                  <c:v>2417.7923143898001</c:v>
                </c:pt>
                <c:pt idx="7">
                  <c:v>2207.8752510510344</c:v>
                </c:pt>
                <c:pt idx="8">
                  <c:v>1946.6767161560956</c:v>
                </c:pt>
                <c:pt idx="9">
                  <c:v>1641.4084732601066</c:v>
                </c:pt>
                <c:pt idx="10">
                  <c:v>1313.7410782606253</c:v>
                </c:pt>
                <c:pt idx="11">
                  <c:v>995.26061541478714</c:v>
                </c:pt>
                <c:pt idx="12">
                  <c:v>715.6951640234256</c:v>
                </c:pt>
                <c:pt idx="13">
                  <c:v>492.16505062092131</c:v>
                </c:pt>
                <c:pt idx="14">
                  <c:v>326.76762095652981</c:v>
                </c:pt>
                <c:pt idx="15">
                  <c:v>211.43317538429861</c:v>
                </c:pt>
                <c:pt idx="16">
                  <c:v>134.36689019588377</c:v>
                </c:pt>
                <c:pt idx="17">
                  <c:v>84.359491021304279</c:v>
                </c:pt>
                <c:pt idx="18">
                  <c:v>52.538843416100754</c:v>
                </c:pt>
                <c:pt idx="19">
                  <c:v>32.548468497989262</c:v>
                </c:pt>
                <c:pt idx="20">
                  <c:v>20.094056929973792</c:v>
                </c:pt>
              </c:numCache>
            </c:numRef>
          </c:val>
          <c:smooth val="0"/>
          <c:extLst>
            <c:ext xmlns:c16="http://schemas.microsoft.com/office/drawing/2014/chart" uri="{C3380CC4-5D6E-409C-BE32-E72D297353CC}">
              <c16:uniqueId val="{00000001-C9EB-4400-9343-1563A2CC9C74}"/>
            </c:ext>
          </c:extLst>
        </c:ser>
        <c:dLbls>
          <c:showLegendKey val="0"/>
          <c:showVal val="0"/>
          <c:showCatName val="0"/>
          <c:showSerName val="0"/>
          <c:showPercent val="0"/>
          <c:showBubbleSize val="0"/>
        </c:dLbls>
        <c:marker val="1"/>
        <c:smooth val="0"/>
        <c:axId val="1968525231"/>
        <c:axId val="1968531887"/>
        <c:extLst>
          <c:ext xmlns:c15="http://schemas.microsoft.com/office/drawing/2012/chart" uri="{02D57815-91ED-43cb-92C2-25804820EDAC}">
            <c15:filteredLineSeries>
              <c15:ser>
                <c:idx val="4"/>
                <c:order val="4"/>
                <c:tx>
                  <c:strRef>
                    <c:extLst>
                      <c:ext uri="{02D57815-91ED-43cb-92C2-25804820EDAC}">
                        <c15:formulaRef>
                          <c15:sqref>'Fuel Use, Tanks, &amp; Sites'!$E$10</c15:sqref>
                        </c15:formulaRef>
                      </c:ext>
                    </c:extLst>
                    <c:strCache>
                      <c:ptCount val="1"/>
                      <c:pt idx="0">
                        <c:v># Active Sites/Fuel Used (Sites/mb/d)</c:v>
                      </c:pt>
                    </c:strCache>
                  </c:strRef>
                </c:tx>
                <c:spPr>
                  <a:ln w="28575" cap="rnd">
                    <a:solidFill>
                      <a:schemeClr val="accent5"/>
                    </a:solidFill>
                    <a:round/>
                  </a:ln>
                  <a:effectLst/>
                </c:spPr>
                <c:marker>
                  <c:symbol val="none"/>
                </c:marker>
                <c:val>
                  <c:numRef>
                    <c:extLst>
                      <c:ext uri="{02D57815-91ED-43cb-92C2-25804820EDAC}">
                        <c15:formulaRef>
                          <c15:sqref>'Fuel Use, Tanks, &amp; Sites'!$E$11:$E$36</c15:sqref>
                        </c15:formulaRef>
                      </c:ext>
                    </c:extLst>
                    <c:numCache>
                      <c:formatCode>_(* #,##0_);_(* \(#,##0\);_(* "-"??_);_(@_)</c:formatCode>
                      <c:ptCount val="26"/>
                      <c:pt idx="0">
                        <c:v>15972.135747339795</c:v>
                      </c:pt>
                      <c:pt idx="1">
                        <c:v>15761.976066453744</c:v>
                      </c:pt>
                      <c:pt idx="2">
                        <c:v>15551.816385567694</c:v>
                      </c:pt>
                      <c:pt idx="3">
                        <c:v>15341.656704681644</c:v>
                      </c:pt>
                      <c:pt idx="4">
                        <c:v>15131.497023795593</c:v>
                      </c:pt>
                      <c:pt idx="5">
                        <c:v>14921.337342909543</c:v>
                      </c:pt>
                      <c:pt idx="6">
                        <c:v>14711.177662023492</c:v>
                      </c:pt>
                      <c:pt idx="7">
                        <c:v>14501.017981137442</c:v>
                      </c:pt>
                      <c:pt idx="8">
                        <c:v>14290.858300251391</c:v>
                      </c:pt>
                      <c:pt idx="9">
                        <c:v>14080.698619365341</c:v>
                      </c:pt>
                      <c:pt idx="10">
                        <c:v>13870.538938479291</c:v>
                      </c:pt>
                      <c:pt idx="11">
                        <c:v>13660.37925759324</c:v>
                      </c:pt>
                      <c:pt idx="12">
                        <c:v>13450.21957670719</c:v>
                      </c:pt>
                      <c:pt idx="13">
                        <c:v>13240.059895821139</c:v>
                      </c:pt>
                      <c:pt idx="14">
                        <c:v>13029.900214935089</c:v>
                      </c:pt>
                      <c:pt idx="15">
                        <c:v>12819.740534049039</c:v>
                      </c:pt>
                      <c:pt idx="16">
                        <c:v>12609.580853162988</c:v>
                      </c:pt>
                      <c:pt idx="17">
                        <c:v>12399.421172276938</c:v>
                      </c:pt>
                      <c:pt idx="18">
                        <c:v>12189.261491390887</c:v>
                      </c:pt>
                      <c:pt idx="19">
                        <c:v>11979.101810504837</c:v>
                      </c:pt>
                      <c:pt idx="20">
                        <c:v>11768.942129618787</c:v>
                      </c:pt>
                    </c:numCache>
                  </c:numRef>
                </c:val>
                <c:smooth val="0"/>
                <c:extLst>
                  <c:ext xmlns:c16="http://schemas.microsoft.com/office/drawing/2014/chart" uri="{C3380CC4-5D6E-409C-BE32-E72D297353CC}">
                    <c16:uniqueId val="{00000005-C9EB-4400-9343-1563A2CC9C74}"/>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'Fuel Use, Tanks, &amp; Sites'!$G$10</c15:sqref>
                        </c15:formulaRef>
                      </c:ext>
                    </c:extLst>
                    <c:strCache>
                      <c:ptCount val="1"/>
                      <c:pt idx="0">
                        <c:v># Sites Retired from Less Need</c:v>
                      </c:pt>
                    </c:strCache>
                  </c:strRef>
                </c:tx>
                <c:spPr>
                  <a:ln w="28575" cap="rnd">
                    <a:solidFill>
                      <a:schemeClr val="accent1">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Sites'!$G$11:$G$36</c15:sqref>
                        </c15:formulaRef>
                      </c:ext>
                    </c:extLst>
                    <c:numCache>
                      <c:formatCode>_(* #,##0_);_(* \(#,##0\);_(* "-"?_);_(@_)</c:formatCode>
                      <c:ptCount val="26"/>
                      <c:pt idx="0">
                        <c:v>82.637267939063804</c:v>
                      </c:pt>
                      <c:pt idx="1">
                        <c:v>64.015720932592558</c:v>
                      </c:pt>
                      <c:pt idx="2">
                        <c:v>77.155015608288977</c:v>
                      </c:pt>
                      <c:pt idx="3">
                        <c:v>96.673606574585847</c:v>
                      </c:pt>
                      <c:pt idx="4">
                        <c:v>124.664419146613</c:v>
                      </c:pt>
                      <c:pt idx="5">
                        <c:v>162.64716897898143</c:v>
                      </c:pt>
                      <c:pt idx="6">
                        <c:v>209.91706333876573</c:v>
                      </c:pt>
                      <c:pt idx="7">
                        <c:v>261.1985348949388</c:v>
                      </c:pt>
                      <c:pt idx="8">
                        <c:v>305.26824289598903</c:v>
                      </c:pt>
                      <c:pt idx="9">
                        <c:v>327.6673949994813</c:v>
                      </c:pt>
                      <c:pt idx="10">
                        <c:v>318.48046284583813</c:v>
                      </c:pt>
                      <c:pt idx="11">
                        <c:v>279.56545139136153</c:v>
                      </c:pt>
                      <c:pt idx="12">
                        <c:v>223.5301134025043</c:v>
                      </c:pt>
                      <c:pt idx="13">
                        <c:v>165.3974296643915</c:v>
                      </c:pt>
                      <c:pt idx="14">
                        <c:v>115.3344455722312</c:v>
                      </c:pt>
                      <c:pt idx="15">
                        <c:v>77.066285188414838</c:v>
                      </c:pt>
                      <c:pt idx="16">
                        <c:v>50.00739917457949</c:v>
                      </c:pt>
                      <c:pt idx="17">
                        <c:v>31.820647605203526</c:v>
                      </c:pt>
                      <c:pt idx="18">
                        <c:v>19.990374918111492</c:v>
                      </c:pt>
                      <c:pt idx="19">
                        <c:v>12.45441156801547</c:v>
                      </c:pt>
                      <c:pt idx="20">
                        <c:v>20.094056929973792</c:v>
                      </c:pt>
                    </c:numCache>
                  </c:numRef>
                </c:val>
                <c:smooth val="0"/>
                <c:extLst xmlns:c15="http://schemas.microsoft.com/office/drawing/2012/chart">
                  <c:ext xmlns:c16="http://schemas.microsoft.com/office/drawing/2014/chart" uri="{C3380CC4-5D6E-409C-BE32-E72D297353CC}">
                    <c16:uniqueId val="{00000006-C9EB-4400-9343-1563A2CC9C74}"/>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'Data Entry'!$B$18</c15:sqref>
                        </c15:formulaRef>
                      </c:ext>
                    </c:extLst>
                    <c:strCache>
                      <c:ptCount val="1"/>
                      <c:pt idx="0">
                        <c:v># USTs/site</c:v>
                      </c:pt>
                    </c:strCache>
                  </c:strRef>
                </c:tx>
                <c:spPr>
                  <a:ln w="28575" cap="rnd">
                    <a:solidFill>
                      <a:schemeClr val="accent2">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'Fuel Use, Tanks, &amp; Sites'!$J$12:$J$36</c15:sqref>
                        </c15:formulaRef>
                      </c:ext>
                    </c:extLst>
                    <c:numCache>
                      <c:formatCode>General</c:formatCode>
                      <c:ptCount val="25"/>
                    </c:numCache>
                  </c:numRef>
                </c:val>
                <c:smooth val="0"/>
                <c:extLst xmlns:c15="http://schemas.microsoft.com/office/drawing/2012/chart">
                  <c:ext xmlns:c16="http://schemas.microsoft.com/office/drawing/2014/chart" uri="{C3380CC4-5D6E-409C-BE32-E72D297353CC}">
                    <c16:uniqueId val="{00000007-C9EB-4400-9343-1563A2CC9C74}"/>
                  </c:ext>
                </c:extLst>
              </c15:ser>
            </c15:filteredLineSeries>
          </c:ext>
        </c:extLst>
      </c:lineChart>
      <c:dateAx>
        <c:axId val="19685243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8524815"/>
        <c:crosses val="autoZero"/>
        <c:auto val="0"/>
        <c:lblOffset val="100"/>
        <c:baseTimeUnit val="days"/>
      </c:dateAx>
      <c:valAx>
        <c:axId val="19685248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8524399"/>
        <c:crosses val="autoZero"/>
        <c:crossBetween val="between"/>
      </c:valAx>
      <c:valAx>
        <c:axId val="1968531887"/>
        <c:scaling>
          <c:orientation val="minMax"/>
        </c:scaling>
        <c:delete val="0"/>
        <c:axPos val="r"/>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8525231"/>
        <c:crosses val="max"/>
        <c:crossBetween val="between"/>
      </c:valAx>
      <c:catAx>
        <c:axId val="1968525231"/>
        <c:scaling>
          <c:orientation val="minMax"/>
        </c:scaling>
        <c:delete val="1"/>
        <c:axPos val="b"/>
        <c:numFmt formatCode="General" sourceLinked="1"/>
        <c:majorTickMark val="none"/>
        <c:minorTickMark val="none"/>
        <c:tickLblPos val="nextTo"/>
        <c:crossAx val="196853188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Backlog, </a:t>
            </a:r>
            <a:r>
              <a:rPr lang="en-US" sz="1400" b="0" i="0" u="none" strike="noStrike" baseline="0">
                <a:effectLst/>
              </a:rPr>
              <a:t>Discovery w/ Repair or Replacement, Discovery at Closure, </a:t>
            </a:r>
            <a:r>
              <a:rPr lang="en-US"/>
              <a:t>and Total of</a:t>
            </a:r>
            <a:r>
              <a:rPr lang="en-US" baseline="0"/>
              <a:t> </a:t>
            </a:r>
            <a:r>
              <a:rPr lang="en-US"/>
              <a:t>Sites Entering Corrective Action</a:t>
            </a:r>
          </a:p>
        </c:rich>
      </c:tx>
      <c:overlay val="0"/>
      <c:spPr>
        <a:noFill/>
        <a:ln>
          <a:noFill/>
        </a:ln>
        <a:effectLst/>
      </c:spPr>
    </c:title>
    <c:autoTitleDeleted val="0"/>
    <c:plotArea>
      <c:layout/>
      <c:lineChart>
        <c:grouping val="standard"/>
        <c:varyColors val="0"/>
        <c:ser>
          <c:idx val="1"/>
          <c:order val="1"/>
          <c:tx>
            <c:strRef>
              <c:f>'Releases &amp; Abandons'!$B$9</c:f>
              <c:strCache>
                <c:ptCount val="1"/>
                <c:pt idx="0">
                  <c:v>Backlog to CA</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Abandons'!$B$11:$B$31</c:f>
              <c:numCache>
                <c:formatCode>_(* #,##0_);_(* \(#,##0\);_(* "-"??_);_(@_)</c:formatCode>
                <c:ptCount val="21"/>
                <c:pt idx="0">
                  <c:v>42</c:v>
                </c:pt>
                <c:pt idx="1">
                  <c:v>11.2</c:v>
                </c:pt>
                <c:pt idx="2">
                  <c:v>11.2</c:v>
                </c:pt>
                <c:pt idx="3">
                  <c:v>11.2</c:v>
                </c:pt>
                <c:pt idx="4">
                  <c:v>11.2</c:v>
                </c:pt>
                <c:pt idx="5">
                  <c:v>11.2</c:v>
                </c:pt>
                <c:pt idx="6">
                  <c:v>11.2</c:v>
                </c:pt>
                <c:pt idx="7">
                  <c:v>11.2</c:v>
                </c:pt>
                <c:pt idx="8">
                  <c:v>11.2</c:v>
                </c:pt>
                <c:pt idx="9">
                  <c:v>11.2</c:v>
                </c:pt>
                <c:pt idx="10">
                  <c:v>11.2</c:v>
                </c:pt>
                <c:pt idx="11">
                  <c:v>11.2</c:v>
                </c:pt>
                <c:pt idx="12">
                  <c:v>11.2</c:v>
                </c:pt>
                <c:pt idx="13">
                  <c:v>11.2</c:v>
                </c:pt>
                <c:pt idx="14">
                  <c:v>11.2</c:v>
                </c:pt>
                <c:pt idx="15">
                  <c:v>11.2</c:v>
                </c:pt>
              </c:numCache>
            </c:numRef>
          </c:val>
          <c:smooth val="0"/>
          <c:extLst>
            <c:ext xmlns:c16="http://schemas.microsoft.com/office/drawing/2014/chart" uri="{C3380CC4-5D6E-409C-BE32-E72D297353CC}">
              <c16:uniqueId val="{00000011-0EE1-47C4-AA03-DDCDB1BC48DA}"/>
            </c:ext>
          </c:extLst>
        </c:ser>
        <c:ser>
          <c:idx val="4"/>
          <c:order val="4"/>
          <c:tx>
            <c:strRef>
              <c:f>'Releases &amp; Abandons'!$F$10</c:f>
              <c:strCache>
                <c:ptCount val="1"/>
                <c:pt idx="0">
                  <c:v>Discovery at Closure</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Abandons'!$F$11:$F$31</c:f>
              <c:numCache>
                <c:formatCode>_(* #,##0_);_(* \(#,##0\);_(* "-"??_);_(@_)</c:formatCode>
                <c:ptCount val="21"/>
                <c:pt idx="0">
                  <c:v>29.002777045644081</c:v>
                </c:pt>
                <c:pt idx="1">
                  <c:v>23.595850893008357</c:v>
                </c:pt>
                <c:pt idx="2">
                  <c:v>25.530943856330822</c:v>
                </c:pt>
                <c:pt idx="3">
                  <c:v>28.594980327582604</c:v>
                </c:pt>
                <c:pt idx="4">
                  <c:v>33.054639650309163</c:v>
                </c:pt>
                <c:pt idx="5">
                  <c:v>38.995732289189505</c:v>
                </c:pt>
                <c:pt idx="6">
                  <c:v>46.036314450630378</c:v>
                </c:pt>
                <c:pt idx="7">
                  <c:v>52.995205834164665</c:v>
                </c:pt>
                <c:pt idx="8">
                  <c:v>57.842209737944636</c:v>
                </c:pt>
                <c:pt idx="9">
                  <c:v>58.388036007820375</c:v>
                </c:pt>
                <c:pt idx="10">
                  <c:v>53.634006159665766</c:v>
                </c:pt>
                <c:pt idx="11">
                  <c:v>44.658142380035457</c:v>
                </c:pt>
                <c:pt idx="12">
                  <c:v>33.985013584034682</c:v>
                </c:pt>
                <c:pt idx="13">
                  <c:v>24.036533386741073</c:v>
                </c:pt>
                <c:pt idx="14">
                  <c:v>16.126706071437283</c:v>
                </c:pt>
                <c:pt idx="15">
                  <c:v>10.478722490715295</c:v>
                </c:pt>
                <c:pt idx="16">
                  <c:v>6.7240770611886003</c:v>
                </c:pt>
                <c:pt idx="17">
                  <c:v>4.3389534638178651</c:v>
                </c:pt>
                <c:pt idx="18">
                  <c:v>2.8623786024431612</c:v>
                </c:pt>
                <c:pt idx="19">
                  <c:v>1.9567930881323026</c:v>
                </c:pt>
                <c:pt idx="20">
                  <c:v>1.5830098049433357</c:v>
                </c:pt>
              </c:numCache>
            </c:numRef>
          </c:val>
          <c:smooth val="0"/>
          <c:extLst>
            <c:ext xmlns:c16="http://schemas.microsoft.com/office/drawing/2014/chart" uri="{C3380CC4-5D6E-409C-BE32-E72D297353CC}">
              <c16:uniqueId val="{00000014-0EE1-47C4-AA03-DDCDB1BC48DA}"/>
            </c:ext>
          </c:extLst>
        </c:ser>
        <c:ser>
          <c:idx val="5"/>
          <c:order val="5"/>
          <c:tx>
            <c:strRef>
              <c:f>'Releases &amp; Abandons'!$G$9</c:f>
              <c:strCache>
                <c:ptCount val="1"/>
                <c:pt idx="0">
                  <c:v># Releases Discovery w/ UST Repair or Replace</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Abandons'!$G$11:$G$31</c:f>
              <c:numCache>
                <c:formatCode>_(* #,##0_);_(* \(#,##0\);_(* "-"??_);_(@_)</c:formatCode>
                <c:ptCount val="21"/>
                <c:pt idx="0">
                  <c:v>58.858964912617239</c:v>
                </c:pt>
                <c:pt idx="1">
                  <c:v>57.578650493965391</c:v>
                </c:pt>
                <c:pt idx="2">
                  <c:v>56.035550181799607</c:v>
                </c:pt>
                <c:pt idx="3">
                  <c:v>54.102078050307895</c:v>
                </c:pt>
                <c:pt idx="4">
                  <c:v>51.608789667375632</c:v>
                </c:pt>
                <c:pt idx="5">
                  <c:v>48.355846287796005</c:v>
                </c:pt>
                <c:pt idx="6">
                  <c:v>44.15750502102069</c:v>
                </c:pt>
                <c:pt idx="7">
                  <c:v>38.933534323121911</c:v>
                </c:pt>
                <c:pt idx="8">
                  <c:v>32.82816946520213</c:v>
                </c:pt>
                <c:pt idx="9">
                  <c:v>26.274821565212505</c:v>
                </c:pt>
                <c:pt idx="10">
                  <c:v>19.905212308295742</c:v>
                </c:pt>
                <c:pt idx="11">
                  <c:v>14.313903280468512</c:v>
                </c:pt>
                <c:pt idx="12">
                  <c:v>9.8433010124184257</c:v>
                </c:pt>
                <c:pt idx="13">
                  <c:v>6.5353524191305965</c:v>
                </c:pt>
                <c:pt idx="14">
                  <c:v>4.2286635076859724</c:v>
                </c:pt>
                <c:pt idx="15">
                  <c:v>2.6873378039176754</c:v>
                </c:pt>
                <c:pt idx="16">
                  <c:v>1.6871898204260856</c:v>
                </c:pt>
                <c:pt idx="17">
                  <c:v>1.0507768683220151</c:v>
                </c:pt>
                <c:pt idx="18">
                  <c:v>0.65096936995978527</c:v>
                </c:pt>
                <c:pt idx="19">
                  <c:v>0.40188113859947583</c:v>
                </c:pt>
                <c:pt idx="20">
                  <c:v>0</c:v>
                </c:pt>
              </c:numCache>
            </c:numRef>
          </c:val>
          <c:smooth val="0"/>
          <c:extLst>
            <c:ext xmlns:c16="http://schemas.microsoft.com/office/drawing/2014/chart" uri="{C3380CC4-5D6E-409C-BE32-E72D297353CC}">
              <c16:uniqueId val="{00000015-0EE1-47C4-AA03-DDCDB1BC48DA}"/>
            </c:ext>
          </c:extLst>
        </c:ser>
        <c:ser>
          <c:idx val="6"/>
          <c:order val="6"/>
          <c:tx>
            <c:strRef>
              <c:f>'Releases &amp; Abandons'!$H$9</c:f>
              <c:strCache>
                <c:ptCount val="1"/>
                <c:pt idx="0">
                  <c:v>Total # Sites to Corrective Action</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Abandons'!$H$11:$H$31</c:f>
              <c:numCache>
                <c:formatCode>_(* #,##0_);_(* \(#,##0\);_(* "-"??_);_(@_)</c:formatCode>
                <c:ptCount val="21"/>
                <c:pt idx="0">
                  <c:v>129.86174195826132</c:v>
                </c:pt>
                <c:pt idx="1">
                  <c:v>92.374501386973748</c:v>
                </c:pt>
                <c:pt idx="2">
                  <c:v>92.766494038130432</c:v>
                </c:pt>
                <c:pt idx="3">
                  <c:v>93.897058377890502</c:v>
                </c:pt>
                <c:pt idx="4">
                  <c:v>95.86342931768479</c:v>
                </c:pt>
                <c:pt idx="5">
                  <c:v>98.55157857698552</c:v>
                </c:pt>
                <c:pt idx="6">
                  <c:v>101.39381947165106</c:v>
                </c:pt>
                <c:pt idx="7">
                  <c:v>103.12874015728659</c:v>
                </c:pt>
                <c:pt idx="8">
                  <c:v>101.87037920314677</c:v>
                </c:pt>
                <c:pt idx="9">
                  <c:v>95.862857573032883</c:v>
                </c:pt>
                <c:pt idx="10">
                  <c:v>84.739218467961507</c:v>
                </c:pt>
                <c:pt idx="11">
                  <c:v>70.172045660503969</c:v>
                </c:pt>
                <c:pt idx="12">
                  <c:v>55.0283145964531</c:v>
                </c:pt>
                <c:pt idx="13">
                  <c:v>41.771885805871669</c:v>
                </c:pt>
                <c:pt idx="14">
                  <c:v>31.555369579123255</c:v>
                </c:pt>
                <c:pt idx="15">
                  <c:v>24.36606029463297</c:v>
                </c:pt>
                <c:pt idx="16">
                  <c:v>8.4112668816146865</c:v>
                </c:pt>
                <c:pt idx="17">
                  <c:v>5.3897303321398802</c:v>
                </c:pt>
                <c:pt idx="18">
                  <c:v>3.5133479724029466</c:v>
                </c:pt>
                <c:pt idx="19">
                  <c:v>2.3586742267317784</c:v>
                </c:pt>
                <c:pt idx="20">
                  <c:v>1.5830098049433357</c:v>
                </c:pt>
              </c:numCache>
            </c:numRef>
          </c:val>
          <c:smooth val="0"/>
          <c:extLst>
            <c:ext xmlns:c16="http://schemas.microsoft.com/office/drawing/2014/chart" uri="{C3380CC4-5D6E-409C-BE32-E72D297353CC}">
              <c16:uniqueId val="{00000016-0EE1-47C4-AA03-DDCDB1BC48DA}"/>
            </c:ext>
          </c:extLst>
        </c:ser>
        <c:dLbls>
          <c:showLegendKey val="0"/>
          <c:showVal val="0"/>
          <c:showCatName val="0"/>
          <c:showSerName val="0"/>
          <c:showPercent val="0"/>
          <c:showBubbleSize val="0"/>
        </c:dLbls>
        <c:smooth val="0"/>
        <c:axId val="433041536"/>
        <c:axId val="433012416"/>
        <c:extLst>
          <c:ext xmlns:c15="http://schemas.microsoft.com/office/drawing/2012/chart" uri="{02D57815-91ED-43cb-92C2-25804820EDAC}">
            <c15:filteredLineSeries>
              <c15:ser>
                <c:idx val="0"/>
                <c:order val="0"/>
                <c:tx>
                  <c:strRef>
                    <c:extLst>
                      <c:ext uri="{02D57815-91ED-43cb-92C2-25804820EDAC}">
                        <c15:formulaRef>
                          <c15:sqref>'Releases &amp; Abandons'!$A$9</c15:sqref>
                        </c15:formulaRef>
                      </c:ext>
                    </c:extLst>
                    <c:strCache>
                      <c:ptCount val="1"/>
                      <c:pt idx="0">
                        <c:v>Year</c:v>
                      </c:pt>
                    </c:strCache>
                  </c:strRef>
                </c:tx>
                <c:marker>
                  <c:symbol val="none"/>
                </c:marker>
                <c:cat>
                  <c:strRef>
                    <c:extLst>
                      <c:ex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c:ext uri="{02D57815-91ED-43cb-92C2-25804820EDAC}">
                        <c15:formulaRef>
                          <c15:sqref>'Releases &amp; Abandons'!$A$11:$A$31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val>
                <c:smooth val="0"/>
                <c:extLst>
                  <c:ext xmlns:c16="http://schemas.microsoft.com/office/drawing/2014/chart" uri="{C3380CC4-5D6E-409C-BE32-E72D297353CC}">
                    <c16:uniqueId val="{00000010-0EE1-47C4-AA03-DDCDB1BC48D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'Releases &amp; Abandons'!$D$10</c15:sqref>
                        </c15:formulaRef>
                      </c:ext>
                    </c:extLst>
                    <c:strCache>
                      <c:ptCount val="1"/>
                      <c:pt idx="0">
                        <c:v>Total # Sites Closed </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Abandons'!$D$11:$D$31</c15:sqref>
                        </c15:formulaRef>
                      </c:ext>
                    </c:extLst>
                    <c:numCache>
                      <c:formatCode>_(* #,##0_);_(* \(#,##0\);_(* "-"??_);_(@_)</c:formatCode>
                      <c:ptCount val="21"/>
                      <c:pt idx="0">
                        <c:v>122.89312307476305</c:v>
                      </c:pt>
                      <c:pt idx="1">
                        <c:v>103.44520338890118</c:v>
                      </c:pt>
                      <c:pt idx="2">
                        <c:v>115.94434085527168</c:v>
                      </c:pt>
                      <c:pt idx="3">
                        <c:v>134.69138166548566</c:v>
                      </c:pt>
                      <c:pt idx="4">
                        <c:v>161.71545817176695</c:v>
                      </c:pt>
                      <c:pt idx="5">
                        <c:v>198.45156381266924</c:v>
                      </c:pt>
                      <c:pt idx="6">
                        <c:v>244.09498648266373</c:v>
                      </c:pt>
                      <c:pt idx="7">
                        <c:v>293.27728740544916</c:v>
                      </c:pt>
                      <c:pt idx="8">
                        <c:v>334.73501005754997</c:v>
                      </c:pt>
                      <c:pt idx="9">
                        <c:v>354.08147973208236</c:v>
                      </c:pt>
                      <c:pt idx="10">
                        <c:v>341.61787362844439</c:v>
                      </c:pt>
                      <c:pt idx="11">
                        <c:v>299.51805754550941</c:v>
                      </c:pt>
                      <c:pt idx="12">
                        <c:v>240.68706504273854</c:v>
                      </c:pt>
                      <c:pt idx="13">
                        <c:v>180.3190801706007</c:v>
                      </c:pt>
                      <c:pt idx="14">
                        <c:v>128.60212178179651</c:v>
                      </c:pt>
                      <c:pt idx="15">
                        <c:v>89.180616942257828</c:v>
                      </c:pt>
                      <c:pt idx="16">
                        <c:v>61.351068076538326</c:v>
                      </c:pt>
                      <c:pt idx="17">
                        <c:v>42.664242515416568</c:v>
                      </c:pt>
                      <c:pt idx="18">
                        <c:v>30.515763352272501</c:v>
                      </c:pt>
                      <c:pt idx="19">
                        <c:v>22.779896252995364</c:v>
                      </c:pt>
                      <c:pt idx="20">
                        <c:v>20.294997499273531</c:v>
                      </c:pt>
                    </c:numCache>
                  </c:numRef>
                </c:val>
                <c:smooth val="0"/>
                <c:extLst xmlns:c15="http://schemas.microsoft.com/office/drawing/2012/chart">
                  <c:ext xmlns:c16="http://schemas.microsoft.com/office/drawing/2014/chart" uri="{C3380CC4-5D6E-409C-BE32-E72D297353CC}">
                    <c16:uniqueId val="{00000012-0EE1-47C4-AA03-DDCDB1BC48D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'Releases &amp; Abandons'!$E$10</c15:sqref>
                        </c15:formulaRef>
                      </c:ext>
                    </c:extLst>
                    <c:strCache>
                      <c:ptCount val="1"/>
                      <c:pt idx="0">
                        <c:v>Fraction of Sites Where New Release Discovered at Closure</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Abandons'!$E$11:$E$31</c15:sqref>
                        </c15:formulaRef>
                      </c:ext>
                    </c:extLst>
                    <c:numCache>
                      <c:formatCode>0%</c:formatCode>
                      <c:ptCount val="21"/>
                      <c:pt idx="0">
                        <c:v>0.23599999999999999</c:v>
                      </c:pt>
                      <c:pt idx="1">
                        <c:v>0.2281</c:v>
                      </c:pt>
                      <c:pt idx="2">
                        <c:v>0.22019999999999998</c:v>
                      </c:pt>
                      <c:pt idx="3">
                        <c:v>0.21229999999999999</c:v>
                      </c:pt>
                      <c:pt idx="4">
                        <c:v>0.2044</c:v>
                      </c:pt>
                      <c:pt idx="5">
                        <c:v>0.19650000000000001</c:v>
                      </c:pt>
                      <c:pt idx="6">
                        <c:v>0.18859999999999999</c:v>
                      </c:pt>
                      <c:pt idx="7">
                        <c:v>0.1807</c:v>
                      </c:pt>
                      <c:pt idx="8">
                        <c:v>0.17280000000000001</c:v>
                      </c:pt>
                      <c:pt idx="9">
                        <c:v>0.16489999999999999</c:v>
                      </c:pt>
                      <c:pt idx="10">
                        <c:v>0.157</c:v>
                      </c:pt>
                      <c:pt idx="11">
                        <c:v>0.14910000000000001</c:v>
                      </c:pt>
                      <c:pt idx="12">
                        <c:v>0.14119999999999999</c:v>
                      </c:pt>
                      <c:pt idx="13">
                        <c:v>0.1333</c:v>
                      </c:pt>
                      <c:pt idx="14">
                        <c:v>0.12540000000000001</c:v>
                      </c:pt>
                      <c:pt idx="15">
                        <c:v>0.11750000000000001</c:v>
                      </c:pt>
                      <c:pt idx="16">
                        <c:v>0.1096</c:v>
                      </c:pt>
                      <c:pt idx="17">
                        <c:v>0.10170000000000001</c:v>
                      </c:pt>
                      <c:pt idx="18">
                        <c:v>9.3800000000000022E-2</c:v>
                      </c:pt>
                      <c:pt idx="19">
                        <c:v>8.5900000000000032E-2</c:v>
                      </c:pt>
                      <c:pt idx="20">
                        <c:v>7.8000000000000014E-2</c:v>
                      </c:pt>
                    </c:numCache>
                  </c:numRef>
                </c:val>
                <c:smooth val="0"/>
                <c:extLst xmlns:c15="http://schemas.microsoft.com/office/drawing/2012/chart">
                  <c:ext xmlns:c16="http://schemas.microsoft.com/office/drawing/2014/chart" uri="{C3380CC4-5D6E-409C-BE32-E72D297353CC}">
                    <c16:uniqueId val="{00000013-0EE1-47C4-AA03-DDCDB1BC48DA}"/>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'Releases &amp; Abandons'!$I$9</c15:sqref>
                        </c15:formulaRef>
                      </c:ext>
                    </c:extLst>
                    <c:strCache>
                      <c:ptCount val="1"/>
                      <c:pt idx="0">
                        <c:v>Abandoned Sites that Need Corrective Action </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Abandons'!$I$11:$I$31</c15:sqref>
                        </c15:formulaRef>
                      </c:ext>
                    </c:extLst>
                    <c:numCache>
                      <c:formatCode>_(* #,##0_);_(* \(#,##0\);_(* "-"??_);_(@_)</c:formatCode>
                      <c:ptCount val="21"/>
                      <c:pt idx="0">
                        <c:v>12.986174195826132</c:v>
                      </c:pt>
                      <c:pt idx="1">
                        <c:v>9.2374501386973744</c:v>
                      </c:pt>
                      <c:pt idx="2">
                        <c:v>9.2766494038130443</c:v>
                      </c:pt>
                      <c:pt idx="3">
                        <c:v>9.3897058377890499</c:v>
                      </c:pt>
                      <c:pt idx="4">
                        <c:v>9.5863429317684794</c:v>
                      </c:pt>
                      <c:pt idx="5">
                        <c:v>9.8551578576985523</c:v>
                      </c:pt>
                      <c:pt idx="6">
                        <c:v>10.139381947165106</c:v>
                      </c:pt>
                      <c:pt idx="7">
                        <c:v>10.31287401572866</c:v>
                      </c:pt>
                      <c:pt idx="8">
                        <c:v>10.187037920314678</c:v>
                      </c:pt>
                      <c:pt idx="9">
                        <c:v>9.5862857573032887</c:v>
                      </c:pt>
                      <c:pt idx="10">
                        <c:v>8.4739218467961503</c:v>
                      </c:pt>
                      <c:pt idx="11">
                        <c:v>7.0172045660503972</c:v>
                      </c:pt>
                      <c:pt idx="12">
                        <c:v>5.5028314596453107</c:v>
                      </c:pt>
                      <c:pt idx="13">
                        <c:v>4.1771885805871669</c:v>
                      </c:pt>
                      <c:pt idx="14">
                        <c:v>3.1555369579123256</c:v>
                      </c:pt>
                      <c:pt idx="15">
                        <c:v>2.436606029463297</c:v>
                      </c:pt>
                      <c:pt idx="16">
                        <c:v>0.84112668816146874</c:v>
                      </c:pt>
                      <c:pt idx="17">
                        <c:v>0.53897303321398804</c:v>
                      </c:pt>
                      <c:pt idx="18">
                        <c:v>0.35133479724029471</c:v>
                      </c:pt>
                      <c:pt idx="19">
                        <c:v>0.23586742267317784</c:v>
                      </c:pt>
                      <c:pt idx="20">
                        <c:v>0.15830098049433358</c:v>
                      </c:pt>
                    </c:numCache>
                  </c:numRef>
                </c:val>
                <c:smooth val="0"/>
                <c:extLst xmlns:c15="http://schemas.microsoft.com/office/drawing/2012/chart">
                  <c:ext xmlns:c16="http://schemas.microsoft.com/office/drawing/2014/chart" uri="{C3380CC4-5D6E-409C-BE32-E72D297353CC}">
                    <c16:uniqueId val="{00000017-0EE1-47C4-AA03-DDCDB1BC48DA}"/>
                  </c:ext>
                </c:extLst>
              </c15:ser>
            </c15:filteredLineSeries>
          </c:ext>
        </c:extLst>
      </c:lineChart>
      <c:catAx>
        <c:axId val="433041536"/>
        <c:scaling>
          <c:orientation val="minMax"/>
        </c:scaling>
        <c:delete val="0"/>
        <c:axPos val="b"/>
        <c:numFmt formatCode="General" sourceLinked="1"/>
        <c:majorTickMark val="out"/>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12416"/>
        <c:crossesAt val="0"/>
        <c:auto val="1"/>
        <c:lblAlgn val="ctr"/>
        <c:lblOffset val="100"/>
        <c:tickMarkSkip val="2"/>
        <c:noMultiLvlLbl val="0"/>
      </c:catAx>
      <c:valAx>
        <c:axId val="433012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41536"/>
        <c:crosses val="autoZero"/>
        <c:crossBetween val="between"/>
      </c:valAx>
    </c:plotArea>
    <c:legend>
      <c:legendPos val="b"/>
      <c:layout>
        <c:manualLayout>
          <c:xMode val="edge"/>
          <c:yMode val="edge"/>
          <c:x val="7.6048326857315269E-3"/>
          <c:y val="0.69367515032283411"/>
          <c:w val="0.86104129988596922"/>
          <c:h val="0.306324849677166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Closure Release Discvery  Fraction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Release Fraction</c:v>
          </c:tx>
          <c:spPr>
            <a:ln w="28575" cap="rnd">
              <a:solidFill>
                <a:schemeClr val="accent1"/>
              </a:solidFill>
              <a:round/>
            </a:ln>
            <a:effectLst/>
          </c:spPr>
          <c:marker>
            <c:symbol val="none"/>
          </c:marker>
          <c:cat>
            <c:strRef>
              <c:f>'Releases &amp; Abandons'!$A$9:$A$36</c:f>
              <c:strCache>
                <c:ptCount val="28"/>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pt idx="23">
                  <c:v>2062</c:v>
                </c:pt>
                <c:pt idx="24">
                  <c:v>2064</c:v>
                </c:pt>
                <c:pt idx="25">
                  <c:v>2066</c:v>
                </c:pt>
                <c:pt idx="26">
                  <c:v>2068</c:v>
                </c:pt>
                <c:pt idx="27">
                  <c:v>2070</c:v>
                </c:pt>
              </c:strCache>
            </c:strRef>
          </c:cat>
          <c:val>
            <c:numRef>
              <c:f>'Releases &amp; Abandons'!$E$11:$E$31</c:f>
              <c:numCache>
                <c:formatCode>0%</c:formatCode>
                <c:ptCount val="21"/>
                <c:pt idx="0">
                  <c:v>0.23599999999999999</c:v>
                </c:pt>
                <c:pt idx="1">
                  <c:v>0.2281</c:v>
                </c:pt>
                <c:pt idx="2">
                  <c:v>0.22019999999999998</c:v>
                </c:pt>
                <c:pt idx="3">
                  <c:v>0.21229999999999999</c:v>
                </c:pt>
                <c:pt idx="4">
                  <c:v>0.2044</c:v>
                </c:pt>
                <c:pt idx="5">
                  <c:v>0.19650000000000001</c:v>
                </c:pt>
                <c:pt idx="6">
                  <c:v>0.18859999999999999</c:v>
                </c:pt>
                <c:pt idx="7">
                  <c:v>0.1807</c:v>
                </c:pt>
                <c:pt idx="8">
                  <c:v>0.17280000000000001</c:v>
                </c:pt>
                <c:pt idx="9">
                  <c:v>0.16489999999999999</c:v>
                </c:pt>
                <c:pt idx="10">
                  <c:v>0.157</c:v>
                </c:pt>
                <c:pt idx="11">
                  <c:v>0.14910000000000001</c:v>
                </c:pt>
                <c:pt idx="12">
                  <c:v>0.14119999999999999</c:v>
                </c:pt>
                <c:pt idx="13">
                  <c:v>0.1333</c:v>
                </c:pt>
                <c:pt idx="14">
                  <c:v>0.12540000000000001</c:v>
                </c:pt>
                <c:pt idx="15">
                  <c:v>0.11750000000000001</c:v>
                </c:pt>
                <c:pt idx="16">
                  <c:v>0.1096</c:v>
                </c:pt>
                <c:pt idx="17">
                  <c:v>0.10170000000000001</c:v>
                </c:pt>
                <c:pt idx="18">
                  <c:v>9.3800000000000022E-2</c:v>
                </c:pt>
                <c:pt idx="19">
                  <c:v>8.5900000000000032E-2</c:v>
                </c:pt>
                <c:pt idx="20">
                  <c:v>7.8000000000000014E-2</c:v>
                </c:pt>
              </c:numCache>
            </c:numRef>
          </c:val>
          <c:smooth val="0"/>
          <c:extLst>
            <c:ext xmlns:c16="http://schemas.microsoft.com/office/drawing/2014/chart" uri="{C3380CC4-5D6E-409C-BE32-E72D297353CC}">
              <c16:uniqueId val="{00000000-F4A3-492F-850A-FCCE0773C2C9}"/>
            </c:ext>
          </c:extLst>
        </c:ser>
        <c:dLbls>
          <c:showLegendKey val="0"/>
          <c:showVal val="0"/>
          <c:showCatName val="0"/>
          <c:showSerName val="0"/>
          <c:showPercent val="0"/>
          <c:showBubbleSize val="0"/>
        </c:dLbls>
        <c:smooth val="0"/>
        <c:axId val="1457543104"/>
        <c:axId val="1457542688"/>
      </c:lineChart>
      <c:catAx>
        <c:axId val="1457543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542688"/>
        <c:crosses val="autoZero"/>
        <c:auto val="1"/>
        <c:lblAlgn val="ctr"/>
        <c:lblOffset val="100"/>
        <c:noMultiLvlLbl val="0"/>
      </c:catAx>
      <c:valAx>
        <c:axId val="1457542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54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Sites Closed and Sites to Corrective Action</a:t>
            </a:r>
          </a:p>
        </c:rich>
      </c:tx>
      <c:overlay val="0"/>
      <c:spPr>
        <a:noFill/>
        <a:ln>
          <a:noFill/>
        </a:ln>
        <a:effectLst/>
      </c:spPr>
    </c:title>
    <c:autoTitleDeleted val="0"/>
    <c:plotArea>
      <c:layout/>
      <c:lineChart>
        <c:grouping val="standard"/>
        <c:varyColors val="0"/>
        <c:ser>
          <c:idx val="2"/>
          <c:order val="2"/>
          <c:tx>
            <c:strRef>
              <c:f>'Releases &amp; Abandons'!$D$10</c:f>
              <c:strCache>
                <c:ptCount val="1"/>
                <c:pt idx="0">
                  <c:v>Total # Sites Closed </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Abandons'!$D$11:$D$31</c:f>
              <c:numCache>
                <c:formatCode>_(* #,##0_);_(* \(#,##0\);_(* "-"??_);_(@_)</c:formatCode>
                <c:ptCount val="21"/>
                <c:pt idx="0">
                  <c:v>122.89312307476305</c:v>
                </c:pt>
                <c:pt idx="1">
                  <c:v>103.44520338890118</c:v>
                </c:pt>
                <c:pt idx="2">
                  <c:v>115.94434085527168</c:v>
                </c:pt>
                <c:pt idx="3">
                  <c:v>134.69138166548566</c:v>
                </c:pt>
                <c:pt idx="4">
                  <c:v>161.71545817176695</c:v>
                </c:pt>
                <c:pt idx="5">
                  <c:v>198.45156381266924</c:v>
                </c:pt>
                <c:pt idx="6">
                  <c:v>244.09498648266373</c:v>
                </c:pt>
                <c:pt idx="7">
                  <c:v>293.27728740544916</c:v>
                </c:pt>
                <c:pt idx="8">
                  <c:v>334.73501005754997</c:v>
                </c:pt>
                <c:pt idx="9">
                  <c:v>354.08147973208236</c:v>
                </c:pt>
                <c:pt idx="10">
                  <c:v>341.61787362844439</c:v>
                </c:pt>
                <c:pt idx="11">
                  <c:v>299.51805754550941</c:v>
                </c:pt>
                <c:pt idx="12">
                  <c:v>240.68706504273854</c:v>
                </c:pt>
                <c:pt idx="13">
                  <c:v>180.3190801706007</c:v>
                </c:pt>
                <c:pt idx="14">
                  <c:v>128.60212178179651</c:v>
                </c:pt>
                <c:pt idx="15">
                  <c:v>89.180616942257828</c:v>
                </c:pt>
                <c:pt idx="16">
                  <c:v>61.351068076538326</c:v>
                </c:pt>
                <c:pt idx="17">
                  <c:v>42.664242515416568</c:v>
                </c:pt>
                <c:pt idx="18">
                  <c:v>30.515763352272501</c:v>
                </c:pt>
                <c:pt idx="19">
                  <c:v>22.779896252995364</c:v>
                </c:pt>
                <c:pt idx="20">
                  <c:v>20.294997499273531</c:v>
                </c:pt>
              </c:numCache>
            </c:numRef>
          </c:val>
          <c:smooth val="0"/>
          <c:extLst>
            <c:ext xmlns:c16="http://schemas.microsoft.com/office/drawing/2014/chart" uri="{C3380CC4-5D6E-409C-BE32-E72D297353CC}">
              <c16:uniqueId val="{00000001-090B-47E5-976C-1FDB0FE704FF}"/>
            </c:ext>
          </c:extLst>
        </c:ser>
        <c:ser>
          <c:idx val="6"/>
          <c:order val="6"/>
          <c:tx>
            <c:strRef>
              <c:f>'Releases &amp; Abandons'!$H$9</c:f>
              <c:strCache>
                <c:ptCount val="1"/>
                <c:pt idx="0">
                  <c:v>Total # Sites to Corrective Action</c:v>
                </c:pt>
              </c:strCache>
            </c:strRef>
          </c:tx>
          <c:marker>
            <c:symbol val="none"/>
          </c:marker>
          <c:cat>
            <c:strRef>
              <c:f>'Releases &amp; Abandons'!$A$9:$A$31</c:f>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f>'Releases &amp; Abandons'!$H$11:$H$31</c:f>
              <c:numCache>
                <c:formatCode>_(* #,##0_);_(* \(#,##0\);_(* "-"??_);_(@_)</c:formatCode>
                <c:ptCount val="21"/>
                <c:pt idx="0">
                  <c:v>129.86174195826132</c:v>
                </c:pt>
                <c:pt idx="1">
                  <c:v>92.374501386973748</c:v>
                </c:pt>
                <c:pt idx="2">
                  <c:v>92.766494038130432</c:v>
                </c:pt>
                <c:pt idx="3">
                  <c:v>93.897058377890502</c:v>
                </c:pt>
                <c:pt idx="4">
                  <c:v>95.86342931768479</c:v>
                </c:pt>
                <c:pt idx="5">
                  <c:v>98.55157857698552</c:v>
                </c:pt>
                <c:pt idx="6">
                  <c:v>101.39381947165106</c:v>
                </c:pt>
                <c:pt idx="7">
                  <c:v>103.12874015728659</c:v>
                </c:pt>
                <c:pt idx="8">
                  <c:v>101.87037920314677</c:v>
                </c:pt>
                <c:pt idx="9">
                  <c:v>95.862857573032883</c:v>
                </c:pt>
                <c:pt idx="10">
                  <c:v>84.739218467961507</c:v>
                </c:pt>
                <c:pt idx="11">
                  <c:v>70.172045660503969</c:v>
                </c:pt>
                <c:pt idx="12">
                  <c:v>55.0283145964531</c:v>
                </c:pt>
                <c:pt idx="13">
                  <c:v>41.771885805871669</c:v>
                </c:pt>
                <c:pt idx="14">
                  <c:v>31.555369579123255</c:v>
                </c:pt>
                <c:pt idx="15">
                  <c:v>24.36606029463297</c:v>
                </c:pt>
                <c:pt idx="16">
                  <c:v>8.4112668816146865</c:v>
                </c:pt>
                <c:pt idx="17">
                  <c:v>5.3897303321398802</c:v>
                </c:pt>
                <c:pt idx="18">
                  <c:v>3.5133479724029466</c:v>
                </c:pt>
                <c:pt idx="19">
                  <c:v>2.3586742267317784</c:v>
                </c:pt>
                <c:pt idx="20">
                  <c:v>1.5830098049433357</c:v>
                </c:pt>
              </c:numCache>
            </c:numRef>
          </c:val>
          <c:smooth val="0"/>
          <c:extLst>
            <c:ext xmlns:c16="http://schemas.microsoft.com/office/drawing/2014/chart" uri="{C3380CC4-5D6E-409C-BE32-E72D297353CC}">
              <c16:uniqueId val="{00000004-090B-47E5-976C-1FDB0FE704FF}"/>
            </c:ext>
          </c:extLst>
        </c:ser>
        <c:dLbls>
          <c:showLegendKey val="0"/>
          <c:showVal val="0"/>
          <c:showCatName val="0"/>
          <c:showSerName val="0"/>
          <c:showPercent val="0"/>
          <c:showBubbleSize val="0"/>
        </c:dLbls>
        <c:smooth val="0"/>
        <c:axId val="433041536"/>
        <c:axId val="433012416"/>
        <c:extLst>
          <c:ext xmlns:c15="http://schemas.microsoft.com/office/drawing/2012/chart" uri="{02D57815-91ED-43cb-92C2-25804820EDAC}">
            <c15:filteredLineSeries>
              <c15:ser>
                <c:idx val="0"/>
                <c:order val="0"/>
                <c:tx>
                  <c:strRef>
                    <c:extLst>
                      <c:ext uri="{02D57815-91ED-43cb-92C2-25804820EDAC}">
                        <c15:formulaRef>
                          <c15:sqref>'Releases &amp; Abandons'!$A$9</c15:sqref>
                        </c15:formulaRef>
                      </c:ext>
                    </c:extLst>
                    <c:strCache>
                      <c:ptCount val="1"/>
                      <c:pt idx="0">
                        <c:v>Year</c:v>
                      </c:pt>
                    </c:strCache>
                  </c:strRef>
                </c:tx>
                <c:marker>
                  <c:symbol val="none"/>
                </c:marker>
                <c:cat>
                  <c:strRef>
                    <c:extLst>
                      <c:ex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c:ext uri="{02D57815-91ED-43cb-92C2-25804820EDAC}">
                        <c15:formulaRef>
                          <c15:sqref>'Releases &amp; Abandons'!$A$11:$A$31</c15:sqref>
                        </c15:formulaRef>
                      </c:ext>
                    </c:extLst>
                    <c:numCache>
                      <c:formatCode>General</c:formatCode>
                      <c:ptCount val="21"/>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numCache>
                  </c:numRef>
                </c:val>
                <c:smooth val="0"/>
                <c:extLst>
                  <c:ext xmlns:c16="http://schemas.microsoft.com/office/drawing/2014/chart" uri="{C3380CC4-5D6E-409C-BE32-E72D297353CC}">
                    <c16:uniqueId val="{00000005-090B-47E5-976C-1FDB0FE704FF}"/>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'Releases &amp; Abandons'!$B$9</c15:sqref>
                        </c15:formulaRef>
                      </c:ext>
                    </c:extLst>
                    <c:strCache>
                      <c:ptCount val="1"/>
                      <c:pt idx="0">
                        <c:v>Backlog to CA</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Abandons'!$B$11:$B$31</c15:sqref>
                        </c15:formulaRef>
                      </c:ext>
                    </c:extLst>
                    <c:numCache>
                      <c:formatCode>_(* #,##0_);_(* \(#,##0\);_(* "-"??_);_(@_)</c:formatCode>
                      <c:ptCount val="21"/>
                      <c:pt idx="0">
                        <c:v>42</c:v>
                      </c:pt>
                      <c:pt idx="1">
                        <c:v>11.2</c:v>
                      </c:pt>
                      <c:pt idx="2">
                        <c:v>11.2</c:v>
                      </c:pt>
                      <c:pt idx="3">
                        <c:v>11.2</c:v>
                      </c:pt>
                      <c:pt idx="4">
                        <c:v>11.2</c:v>
                      </c:pt>
                      <c:pt idx="5">
                        <c:v>11.2</c:v>
                      </c:pt>
                      <c:pt idx="6">
                        <c:v>11.2</c:v>
                      </c:pt>
                      <c:pt idx="7">
                        <c:v>11.2</c:v>
                      </c:pt>
                      <c:pt idx="8">
                        <c:v>11.2</c:v>
                      </c:pt>
                      <c:pt idx="9">
                        <c:v>11.2</c:v>
                      </c:pt>
                      <c:pt idx="10">
                        <c:v>11.2</c:v>
                      </c:pt>
                      <c:pt idx="11">
                        <c:v>11.2</c:v>
                      </c:pt>
                      <c:pt idx="12">
                        <c:v>11.2</c:v>
                      </c:pt>
                      <c:pt idx="13">
                        <c:v>11.2</c:v>
                      </c:pt>
                      <c:pt idx="14">
                        <c:v>11.2</c:v>
                      </c:pt>
                      <c:pt idx="15">
                        <c:v>11.2</c:v>
                      </c:pt>
                    </c:numCache>
                  </c:numRef>
                </c:val>
                <c:smooth val="0"/>
                <c:extLst xmlns:c15="http://schemas.microsoft.com/office/drawing/2012/chart">
                  <c:ext xmlns:c16="http://schemas.microsoft.com/office/drawing/2014/chart" uri="{C3380CC4-5D6E-409C-BE32-E72D297353CC}">
                    <c16:uniqueId val="{00000000-090B-47E5-976C-1FDB0FE704F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'Releases &amp; Abandons'!$E$10</c15:sqref>
                        </c15:formulaRef>
                      </c:ext>
                    </c:extLst>
                    <c:strCache>
                      <c:ptCount val="1"/>
                      <c:pt idx="0">
                        <c:v>Fraction of Sites Where New Release Discovered at Closure</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Abandons'!$E$11:$E$31</c15:sqref>
                        </c15:formulaRef>
                      </c:ext>
                    </c:extLst>
                    <c:numCache>
                      <c:formatCode>0%</c:formatCode>
                      <c:ptCount val="21"/>
                      <c:pt idx="0">
                        <c:v>0.23599999999999999</c:v>
                      </c:pt>
                      <c:pt idx="1">
                        <c:v>0.2281</c:v>
                      </c:pt>
                      <c:pt idx="2">
                        <c:v>0.22019999999999998</c:v>
                      </c:pt>
                      <c:pt idx="3">
                        <c:v>0.21229999999999999</c:v>
                      </c:pt>
                      <c:pt idx="4">
                        <c:v>0.2044</c:v>
                      </c:pt>
                      <c:pt idx="5">
                        <c:v>0.19650000000000001</c:v>
                      </c:pt>
                      <c:pt idx="6">
                        <c:v>0.18859999999999999</c:v>
                      </c:pt>
                      <c:pt idx="7">
                        <c:v>0.1807</c:v>
                      </c:pt>
                      <c:pt idx="8">
                        <c:v>0.17280000000000001</c:v>
                      </c:pt>
                      <c:pt idx="9">
                        <c:v>0.16489999999999999</c:v>
                      </c:pt>
                      <c:pt idx="10">
                        <c:v>0.157</c:v>
                      </c:pt>
                      <c:pt idx="11">
                        <c:v>0.14910000000000001</c:v>
                      </c:pt>
                      <c:pt idx="12">
                        <c:v>0.14119999999999999</c:v>
                      </c:pt>
                      <c:pt idx="13">
                        <c:v>0.1333</c:v>
                      </c:pt>
                      <c:pt idx="14">
                        <c:v>0.12540000000000001</c:v>
                      </c:pt>
                      <c:pt idx="15">
                        <c:v>0.11750000000000001</c:v>
                      </c:pt>
                      <c:pt idx="16">
                        <c:v>0.1096</c:v>
                      </c:pt>
                      <c:pt idx="17">
                        <c:v>0.10170000000000001</c:v>
                      </c:pt>
                      <c:pt idx="18">
                        <c:v>9.3800000000000022E-2</c:v>
                      </c:pt>
                      <c:pt idx="19">
                        <c:v>8.5900000000000032E-2</c:v>
                      </c:pt>
                      <c:pt idx="20">
                        <c:v>7.8000000000000014E-2</c:v>
                      </c:pt>
                    </c:numCache>
                  </c:numRef>
                </c:val>
                <c:smooth val="0"/>
                <c:extLst xmlns:c15="http://schemas.microsoft.com/office/drawing/2012/chart">
                  <c:ext xmlns:c16="http://schemas.microsoft.com/office/drawing/2014/chart" uri="{C3380CC4-5D6E-409C-BE32-E72D297353CC}">
                    <c16:uniqueId val="{00000006-090B-47E5-976C-1FDB0FE704F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'Releases &amp; Abandons'!$F$10</c15:sqref>
                        </c15:formulaRef>
                      </c:ext>
                    </c:extLst>
                    <c:strCache>
                      <c:ptCount val="1"/>
                      <c:pt idx="0">
                        <c:v>Discovery at Closure</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Abandons'!$F$11:$F$31</c15:sqref>
                        </c15:formulaRef>
                      </c:ext>
                    </c:extLst>
                    <c:numCache>
                      <c:formatCode>_(* #,##0_);_(* \(#,##0\);_(* "-"??_);_(@_)</c:formatCode>
                      <c:ptCount val="21"/>
                      <c:pt idx="0">
                        <c:v>29.002777045644081</c:v>
                      </c:pt>
                      <c:pt idx="1">
                        <c:v>23.595850893008357</c:v>
                      </c:pt>
                      <c:pt idx="2">
                        <c:v>25.530943856330822</c:v>
                      </c:pt>
                      <c:pt idx="3">
                        <c:v>28.594980327582604</c:v>
                      </c:pt>
                      <c:pt idx="4">
                        <c:v>33.054639650309163</c:v>
                      </c:pt>
                      <c:pt idx="5">
                        <c:v>38.995732289189505</c:v>
                      </c:pt>
                      <c:pt idx="6">
                        <c:v>46.036314450630378</c:v>
                      </c:pt>
                      <c:pt idx="7">
                        <c:v>52.995205834164665</c:v>
                      </c:pt>
                      <c:pt idx="8">
                        <c:v>57.842209737944636</c:v>
                      </c:pt>
                      <c:pt idx="9">
                        <c:v>58.388036007820375</c:v>
                      </c:pt>
                      <c:pt idx="10">
                        <c:v>53.634006159665766</c:v>
                      </c:pt>
                      <c:pt idx="11">
                        <c:v>44.658142380035457</c:v>
                      </c:pt>
                      <c:pt idx="12">
                        <c:v>33.985013584034682</c:v>
                      </c:pt>
                      <c:pt idx="13">
                        <c:v>24.036533386741073</c:v>
                      </c:pt>
                      <c:pt idx="14">
                        <c:v>16.126706071437283</c:v>
                      </c:pt>
                      <c:pt idx="15">
                        <c:v>10.478722490715295</c:v>
                      </c:pt>
                      <c:pt idx="16">
                        <c:v>6.7240770611886003</c:v>
                      </c:pt>
                      <c:pt idx="17">
                        <c:v>4.3389534638178651</c:v>
                      </c:pt>
                      <c:pt idx="18">
                        <c:v>2.8623786024431612</c:v>
                      </c:pt>
                      <c:pt idx="19">
                        <c:v>1.9567930881323026</c:v>
                      </c:pt>
                      <c:pt idx="20">
                        <c:v>1.5830098049433357</c:v>
                      </c:pt>
                    </c:numCache>
                  </c:numRef>
                </c:val>
                <c:smooth val="0"/>
                <c:extLst xmlns:c15="http://schemas.microsoft.com/office/drawing/2012/chart">
                  <c:ext xmlns:c16="http://schemas.microsoft.com/office/drawing/2014/chart" uri="{C3380CC4-5D6E-409C-BE32-E72D297353CC}">
                    <c16:uniqueId val="{00000002-090B-47E5-976C-1FDB0FE704F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'Releases &amp; Abandons'!$G$9</c15:sqref>
                        </c15:formulaRef>
                      </c:ext>
                    </c:extLst>
                    <c:strCache>
                      <c:ptCount val="1"/>
                      <c:pt idx="0">
                        <c:v># Releases Discovery w/ UST Repair or Replace</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Abandons'!$G$11:$G$31</c15:sqref>
                        </c15:formulaRef>
                      </c:ext>
                    </c:extLst>
                    <c:numCache>
                      <c:formatCode>_(* #,##0_);_(* \(#,##0\);_(* "-"??_);_(@_)</c:formatCode>
                      <c:ptCount val="21"/>
                      <c:pt idx="0">
                        <c:v>58.858964912617239</c:v>
                      </c:pt>
                      <c:pt idx="1">
                        <c:v>57.578650493965391</c:v>
                      </c:pt>
                      <c:pt idx="2">
                        <c:v>56.035550181799607</c:v>
                      </c:pt>
                      <c:pt idx="3">
                        <c:v>54.102078050307895</c:v>
                      </c:pt>
                      <c:pt idx="4">
                        <c:v>51.608789667375632</c:v>
                      </c:pt>
                      <c:pt idx="5">
                        <c:v>48.355846287796005</c:v>
                      </c:pt>
                      <c:pt idx="6">
                        <c:v>44.15750502102069</c:v>
                      </c:pt>
                      <c:pt idx="7">
                        <c:v>38.933534323121911</c:v>
                      </c:pt>
                      <c:pt idx="8">
                        <c:v>32.82816946520213</c:v>
                      </c:pt>
                      <c:pt idx="9">
                        <c:v>26.274821565212505</c:v>
                      </c:pt>
                      <c:pt idx="10">
                        <c:v>19.905212308295742</c:v>
                      </c:pt>
                      <c:pt idx="11">
                        <c:v>14.313903280468512</c:v>
                      </c:pt>
                      <c:pt idx="12">
                        <c:v>9.8433010124184257</c:v>
                      </c:pt>
                      <c:pt idx="13">
                        <c:v>6.5353524191305965</c:v>
                      </c:pt>
                      <c:pt idx="14">
                        <c:v>4.2286635076859724</c:v>
                      </c:pt>
                      <c:pt idx="15">
                        <c:v>2.6873378039176754</c:v>
                      </c:pt>
                      <c:pt idx="16">
                        <c:v>1.6871898204260856</c:v>
                      </c:pt>
                      <c:pt idx="17">
                        <c:v>1.0507768683220151</c:v>
                      </c:pt>
                      <c:pt idx="18">
                        <c:v>0.65096936995978527</c:v>
                      </c:pt>
                      <c:pt idx="19">
                        <c:v>0.40188113859947583</c:v>
                      </c:pt>
                      <c:pt idx="20">
                        <c:v>0</c:v>
                      </c:pt>
                    </c:numCache>
                  </c:numRef>
                </c:val>
                <c:smooth val="0"/>
                <c:extLst xmlns:c15="http://schemas.microsoft.com/office/drawing/2012/chart">
                  <c:ext xmlns:c16="http://schemas.microsoft.com/office/drawing/2014/chart" uri="{C3380CC4-5D6E-409C-BE32-E72D297353CC}">
                    <c16:uniqueId val="{00000003-090B-47E5-976C-1FDB0FE704FF}"/>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'Releases &amp; Abandons'!$I$9</c15:sqref>
                        </c15:formulaRef>
                      </c:ext>
                    </c:extLst>
                    <c:strCache>
                      <c:ptCount val="1"/>
                      <c:pt idx="0">
                        <c:v>Abandoned Sites that Need Corrective Action </c:v>
                      </c:pt>
                    </c:strCache>
                  </c:strRef>
                </c:tx>
                <c:marker>
                  <c:symbol val="none"/>
                </c:marker>
                <c:cat>
                  <c:strRef>
                    <c:extLst xmlns:c15="http://schemas.microsoft.com/office/drawing/2012/chart">
                      <c:ext xmlns:c15="http://schemas.microsoft.com/office/drawing/2012/chart" uri="{02D57815-91ED-43cb-92C2-25804820EDAC}">
                        <c15:formulaRef>
                          <c15:sqref>'Releases &amp; Abandons'!$A$9:$A$31</c15:sqref>
                        </c15:formulaRef>
                      </c:ext>
                    </c:extLst>
                    <c:strCache>
                      <c:ptCount val="23"/>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strCache>
                  </c:strRef>
                </c:cat>
                <c:val>
                  <c:numRef>
                    <c:extLst xmlns:c15="http://schemas.microsoft.com/office/drawing/2012/chart">
                      <c:ext xmlns:c15="http://schemas.microsoft.com/office/drawing/2012/chart" uri="{02D57815-91ED-43cb-92C2-25804820EDAC}">
                        <c15:formulaRef>
                          <c15:sqref>'Releases &amp; Abandons'!$I$11:$I$31</c15:sqref>
                        </c15:formulaRef>
                      </c:ext>
                    </c:extLst>
                    <c:numCache>
                      <c:formatCode>_(* #,##0_);_(* \(#,##0\);_(* "-"??_);_(@_)</c:formatCode>
                      <c:ptCount val="21"/>
                      <c:pt idx="0">
                        <c:v>12.986174195826132</c:v>
                      </c:pt>
                      <c:pt idx="1">
                        <c:v>9.2374501386973744</c:v>
                      </c:pt>
                      <c:pt idx="2">
                        <c:v>9.2766494038130443</c:v>
                      </c:pt>
                      <c:pt idx="3">
                        <c:v>9.3897058377890499</c:v>
                      </c:pt>
                      <c:pt idx="4">
                        <c:v>9.5863429317684794</c:v>
                      </c:pt>
                      <c:pt idx="5">
                        <c:v>9.8551578576985523</c:v>
                      </c:pt>
                      <c:pt idx="6">
                        <c:v>10.139381947165106</c:v>
                      </c:pt>
                      <c:pt idx="7">
                        <c:v>10.31287401572866</c:v>
                      </c:pt>
                      <c:pt idx="8">
                        <c:v>10.187037920314678</c:v>
                      </c:pt>
                      <c:pt idx="9">
                        <c:v>9.5862857573032887</c:v>
                      </c:pt>
                      <c:pt idx="10">
                        <c:v>8.4739218467961503</c:v>
                      </c:pt>
                      <c:pt idx="11">
                        <c:v>7.0172045660503972</c:v>
                      </c:pt>
                      <c:pt idx="12">
                        <c:v>5.5028314596453107</c:v>
                      </c:pt>
                      <c:pt idx="13">
                        <c:v>4.1771885805871669</c:v>
                      </c:pt>
                      <c:pt idx="14">
                        <c:v>3.1555369579123256</c:v>
                      </c:pt>
                      <c:pt idx="15">
                        <c:v>2.436606029463297</c:v>
                      </c:pt>
                      <c:pt idx="16">
                        <c:v>0.84112668816146874</c:v>
                      </c:pt>
                      <c:pt idx="17">
                        <c:v>0.53897303321398804</c:v>
                      </c:pt>
                      <c:pt idx="18">
                        <c:v>0.35133479724029471</c:v>
                      </c:pt>
                      <c:pt idx="19">
                        <c:v>0.23586742267317784</c:v>
                      </c:pt>
                      <c:pt idx="20">
                        <c:v>0.15830098049433358</c:v>
                      </c:pt>
                    </c:numCache>
                  </c:numRef>
                </c:val>
                <c:smooth val="0"/>
                <c:extLst xmlns:c15="http://schemas.microsoft.com/office/drawing/2012/chart">
                  <c:ext xmlns:c16="http://schemas.microsoft.com/office/drawing/2014/chart" uri="{C3380CC4-5D6E-409C-BE32-E72D297353CC}">
                    <c16:uniqueId val="{00000007-090B-47E5-976C-1FDB0FE704FF}"/>
                  </c:ext>
                </c:extLst>
              </c15:ser>
            </c15:filteredLineSeries>
          </c:ext>
        </c:extLst>
      </c:lineChart>
      <c:catAx>
        <c:axId val="433041536"/>
        <c:scaling>
          <c:orientation val="minMax"/>
        </c:scaling>
        <c:delete val="0"/>
        <c:axPos val="b"/>
        <c:numFmt formatCode="General" sourceLinked="1"/>
        <c:majorTickMark val="out"/>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12416"/>
        <c:crossesAt val="0"/>
        <c:auto val="1"/>
        <c:lblAlgn val="ctr"/>
        <c:lblOffset val="100"/>
        <c:tickMarkSkip val="2"/>
        <c:noMultiLvlLbl val="0"/>
      </c:catAx>
      <c:valAx>
        <c:axId val="433012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41536"/>
        <c:crosses val="autoZero"/>
        <c:crossBetween val="between"/>
      </c:valAx>
    </c:plotArea>
    <c:legend>
      <c:legendPos val="b"/>
      <c:layout>
        <c:manualLayout>
          <c:xMode val="edge"/>
          <c:yMode val="edge"/>
          <c:x val="7.6048326857315269E-3"/>
          <c:y val="0.94321829271317525"/>
          <c:w val="0.86378939577722502"/>
          <c:h val="5.67817072868246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Sites in MNA</a:t>
            </a:r>
          </a:p>
        </c:rich>
      </c:tx>
      <c:overlay val="0"/>
      <c:spPr>
        <a:noFill/>
        <a:ln>
          <a:noFill/>
        </a:ln>
        <a:effectLst/>
      </c:spPr>
    </c:title>
    <c:autoTitleDeleted val="0"/>
    <c:plotArea>
      <c:layout/>
      <c:lineChart>
        <c:grouping val="standard"/>
        <c:varyColors val="0"/>
        <c:ser>
          <c:idx val="2"/>
          <c:order val="2"/>
          <c:tx>
            <c:strRef>
              <c:f>'Releases &amp; Abandons'!$C$9</c:f>
              <c:strCache>
                <c:ptCount val="1"/>
                <c:pt idx="0">
                  <c:v># Sites in MNA That Will Close</c:v>
                </c:pt>
              </c:strCache>
            </c:strRef>
          </c:tx>
          <c:marker>
            <c:symbol val="none"/>
          </c:marker>
          <c:cat>
            <c:numRef>
              <c:f>'Releases &amp; Abandons'!$A$11:$A$26</c:f>
              <c:numCache>
                <c:formatCode>General</c:formatCode>
                <c:ptCount val="1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numCache>
            </c:numRef>
          </c:cat>
          <c:val>
            <c:numRef>
              <c:f>'Releases &amp; Abandons'!$C$11:$C$26</c:f>
              <c:numCache>
                <c:formatCode>_(* #,##0_);_(* \(#,##0\);_(* "-"??_);_(@_)</c:formatCode>
                <c:ptCount val="16"/>
                <c:pt idx="0">
                  <c:v>210</c:v>
                </c:pt>
                <c:pt idx="1">
                  <c:v>189</c:v>
                </c:pt>
                <c:pt idx="2">
                  <c:v>168</c:v>
                </c:pt>
                <c:pt idx="3">
                  <c:v>147</c:v>
                </c:pt>
                <c:pt idx="4">
                  <c:v>126</c:v>
                </c:pt>
                <c:pt idx="5">
                  <c:v>105</c:v>
                </c:pt>
                <c:pt idx="6">
                  <c:v>84</c:v>
                </c:pt>
                <c:pt idx="7">
                  <c:v>63</c:v>
                </c:pt>
                <c:pt idx="8">
                  <c:v>42</c:v>
                </c:pt>
                <c:pt idx="9">
                  <c:v>21</c:v>
                </c:pt>
                <c:pt idx="10">
                  <c:v>0</c:v>
                </c:pt>
              </c:numCache>
            </c:numRef>
          </c:val>
          <c:smooth val="0"/>
          <c:extLst>
            <c:ext xmlns:c16="http://schemas.microsoft.com/office/drawing/2014/chart" uri="{C3380CC4-5D6E-409C-BE32-E72D297353CC}">
              <c16:uniqueId val="{00000000-9AE9-4BF9-B53E-5B02FC53F5FC}"/>
            </c:ext>
          </c:extLst>
        </c:ser>
        <c:dLbls>
          <c:showLegendKey val="0"/>
          <c:showVal val="0"/>
          <c:showCatName val="0"/>
          <c:showSerName val="0"/>
          <c:showPercent val="0"/>
          <c:showBubbleSize val="0"/>
        </c:dLbls>
        <c:smooth val="0"/>
        <c:axId val="433041536"/>
        <c:axId val="433012416"/>
        <c:extLst>
          <c:ext xmlns:c15="http://schemas.microsoft.com/office/drawing/2012/chart" uri="{02D57815-91ED-43cb-92C2-25804820EDAC}">
            <c15:filteredLineSeries>
              <c15:ser>
                <c:idx val="0"/>
                <c:order val="0"/>
                <c:tx>
                  <c:strRef>
                    <c:extLst>
                      <c:ext uri="{02D57815-91ED-43cb-92C2-25804820EDAC}">
                        <c15:formulaRef>
                          <c15:sqref>'Releases &amp; Abandons'!$A$9</c15:sqref>
                        </c15:formulaRef>
                      </c:ext>
                    </c:extLst>
                    <c:strCache>
                      <c:ptCount val="1"/>
                      <c:pt idx="0">
                        <c:v>Year</c:v>
                      </c:pt>
                    </c:strCache>
                  </c:strRef>
                </c:tx>
                <c:marker>
                  <c:symbol val="none"/>
                </c:marker>
                <c:cat>
                  <c:numRef>
                    <c:extLst>
                      <c:ext uri="{02D57815-91ED-43cb-92C2-25804820EDAC}">
                        <c15:formulaRef>
                          <c15:sqref>'Releases &amp; Abandons'!$A$11:$A$26</c15:sqref>
                        </c15:formulaRef>
                      </c:ext>
                    </c:extLst>
                    <c:numCache>
                      <c:formatCode>General</c:formatCode>
                      <c:ptCount val="1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numCache>
                  </c:numRef>
                </c:cat>
                <c:val>
                  <c:numRef>
                    <c:extLst>
                      <c:ext uri="{02D57815-91ED-43cb-92C2-25804820EDAC}">
                        <c15:formulaRef>
                          <c15:sqref>'Releases &amp; Abandons'!$A$11:$A$26</c15:sqref>
                        </c15:formulaRef>
                      </c:ext>
                    </c:extLst>
                    <c:numCache>
                      <c:formatCode>General</c:formatCode>
                      <c:ptCount val="1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numCache>
                  </c:numRef>
                </c:val>
                <c:smooth val="0"/>
                <c:extLst>
                  <c:ext xmlns:c16="http://schemas.microsoft.com/office/drawing/2014/chart" uri="{C3380CC4-5D6E-409C-BE32-E72D297353CC}">
                    <c16:uniqueId val="{00000002-9AE9-4BF9-B53E-5B02FC53F5F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'Releases &amp; Abandons'!$B$9</c15:sqref>
                        </c15:formulaRef>
                      </c:ext>
                    </c:extLst>
                    <c:strCache>
                      <c:ptCount val="1"/>
                      <c:pt idx="0">
                        <c:v>Backlog to CA</c:v>
                      </c:pt>
                    </c:strCache>
                  </c:strRef>
                </c:tx>
                <c:marker>
                  <c:symbol val="none"/>
                </c:marker>
                <c:cat>
                  <c:numRef>
                    <c:extLst xmlns:c15="http://schemas.microsoft.com/office/drawing/2012/chart">
                      <c:ext xmlns:c15="http://schemas.microsoft.com/office/drawing/2012/chart" uri="{02D57815-91ED-43cb-92C2-25804820EDAC}">
                        <c15:formulaRef>
                          <c15:sqref>'Releases &amp; Abandons'!$A$11:$A$26</c15:sqref>
                        </c15:formulaRef>
                      </c:ext>
                    </c:extLst>
                    <c:numCache>
                      <c:formatCode>General</c:formatCode>
                      <c:ptCount val="1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numCache>
                  </c:numRef>
                </c:cat>
                <c:val>
                  <c:numRef>
                    <c:extLst xmlns:c15="http://schemas.microsoft.com/office/drawing/2012/chart">
                      <c:ext xmlns:c15="http://schemas.microsoft.com/office/drawing/2012/chart" uri="{02D57815-91ED-43cb-92C2-25804820EDAC}">
                        <c15:formulaRef>
                          <c15:sqref>'Releases &amp; Abandons'!$B$11:$B$26</c15:sqref>
                        </c15:formulaRef>
                      </c:ext>
                    </c:extLst>
                    <c:numCache>
                      <c:formatCode>_(* #,##0_);_(* \(#,##0\);_(* "-"??_);_(@_)</c:formatCode>
                      <c:ptCount val="16"/>
                      <c:pt idx="0">
                        <c:v>42</c:v>
                      </c:pt>
                      <c:pt idx="1">
                        <c:v>11.2</c:v>
                      </c:pt>
                      <c:pt idx="2">
                        <c:v>11.2</c:v>
                      </c:pt>
                      <c:pt idx="3">
                        <c:v>11.2</c:v>
                      </c:pt>
                      <c:pt idx="4">
                        <c:v>11.2</c:v>
                      </c:pt>
                      <c:pt idx="5">
                        <c:v>11.2</c:v>
                      </c:pt>
                      <c:pt idx="6">
                        <c:v>11.2</c:v>
                      </c:pt>
                      <c:pt idx="7">
                        <c:v>11.2</c:v>
                      </c:pt>
                      <c:pt idx="8">
                        <c:v>11.2</c:v>
                      </c:pt>
                      <c:pt idx="9">
                        <c:v>11.2</c:v>
                      </c:pt>
                      <c:pt idx="10">
                        <c:v>11.2</c:v>
                      </c:pt>
                      <c:pt idx="11">
                        <c:v>11.2</c:v>
                      </c:pt>
                      <c:pt idx="12">
                        <c:v>11.2</c:v>
                      </c:pt>
                      <c:pt idx="13">
                        <c:v>11.2</c:v>
                      </c:pt>
                      <c:pt idx="14">
                        <c:v>11.2</c:v>
                      </c:pt>
                      <c:pt idx="15">
                        <c:v>11.2</c:v>
                      </c:pt>
                    </c:numCache>
                  </c:numRef>
                </c:val>
                <c:smooth val="0"/>
                <c:extLst xmlns:c15="http://schemas.microsoft.com/office/drawing/2012/chart">
                  <c:ext xmlns:c16="http://schemas.microsoft.com/office/drawing/2014/chart" uri="{C3380CC4-5D6E-409C-BE32-E72D297353CC}">
                    <c16:uniqueId val="{00000003-9AE9-4BF9-B53E-5B02FC53F5FC}"/>
                  </c:ext>
                </c:extLst>
              </c15:ser>
            </c15:filteredLineSeries>
          </c:ext>
        </c:extLst>
      </c:lineChart>
      <c:catAx>
        <c:axId val="433041536"/>
        <c:scaling>
          <c:orientation val="minMax"/>
        </c:scaling>
        <c:delete val="0"/>
        <c:axPos val="b"/>
        <c:numFmt formatCode="General" sourceLinked="1"/>
        <c:majorTickMark val="out"/>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12416"/>
        <c:crossesAt val="0"/>
        <c:auto val="1"/>
        <c:lblAlgn val="ctr"/>
        <c:lblOffset val="100"/>
        <c:tickMarkSkip val="2"/>
        <c:noMultiLvlLbl val="0"/>
      </c:catAx>
      <c:valAx>
        <c:axId val="433012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3041536"/>
        <c:crosses val="autoZero"/>
        <c:crossBetween val="between"/>
      </c:valAx>
    </c:plotArea>
    <c:legend>
      <c:legendPos val="b"/>
      <c:layout>
        <c:manualLayout>
          <c:xMode val="edge"/>
          <c:yMode val="edge"/>
          <c:x val="7.6048326857315269E-3"/>
          <c:y val="0.94321829271317525"/>
          <c:w val="0.86378939577722502"/>
          <c:h val="5.67817072868246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Periodic and</a:t>
            </a:r>
            <a:r>
              <a:rPr lang="en-US" baseline="0"/>
              <a:t> </a:t>
            </a:r>
            <a:r>
              <a:rPr lang="en-US"/>
              <a:t>Cumulative Corrective Action</a:t>
            </a:r>
            <a:r>
              <a:rPr lang="en-US" baseline="0"/>
              <a:t> Costs ($millions)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24"/>
          <c:order val="1"/>
          <c:tx>
            <c:strRef>
              <c:f>'Corrective Action Costs '!$AD$11</c:f>
              <c:strCache>
                <c:ptCount val="1"/>
                <c:pt idx="0">
                  <c:v>Period CA Costs</c:v>
                </c:pt>
              </c:strCache>
            </c:strRef>
          </c:tx>
          <c:spPr>
            <a:ln w="28575" cap="rnd">
              <a:solidFill>
                <a:schemeClr val="accent1">
                  <a:lumMod val="60000"/>
                  <a:lumOff val="40000"/>
                </a:schemeClr>
              </a:solidFill>
              <a:round/>
            </a:ln>
            <a:effectLst/>
          </c:spPr>
          <c:marker>
            <c:symbol val="none"/>
          </c:marker>
          <c:cat>
            <c:strRef>
              <c:f>'Corrective Action Costs '!$A$11:$A$38</c:f>
              <c:strCache>
                <c:ptCount val="28"/>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pt idx="23">
                  <c:v>2062</c:v>
                </c:pt>
                <c:pt idx="24">
                  <c:v>2064</c:v>
                </c:pt>
                <c:pt idx="25">
                  <c:v>2066</c:v>
                </c:pt>
                <c:pt idx="26">
                  <c:v>2068</c:v>
                </c:pt>
                <c:pt idx="27">
                  <c:v>2070</c:v>
                </c:pt>
              </c:strCache>
            </c:strRef>
          </c:cat>
          <c:val>
            <c:numRef>
              <c:f>'Corrective Action Costs '!$AD$13:$AD$38</c:f>
              <c:numCache>
                <c:formatCode>"$"#,##0.0</c:formatCode>
                <c:ptCount val="26"/>
                <c:pt idx="0">
                  <c:v>17.979726835497576</c:v>
                </c:pt>
                <c:pt idx="1">
                  <c:v>16.337872990147343</c:v>
                </c:pt>
                <c:pt idx="2">
                  <c:v>17.919853148965629</c:v>
                </c:pt>
                <c:pt idx="3">
                  <c:v>19.588522630432138</c:v>
                </c:pt>
                <c:pt idx="4">
                  <c:v>21.369873183086259</c:v>
                </c:pt>
                <c:pt idx="5">
                  <c:v>23.269542793596912</c:v>
                </c:pt>
                <c:pt idx="6">
                  <c:v>22.4866661228086</c:v>
                </c:pt>
                <c:pt idx="7">
                  <c:v>22.442169179242637</c:v>
                </c:pt>
                <c:pt idx="8">
                  <c:v>22.108552696105793</c:v>
                </c:pt>
                <c:pt idx="9">
                  <c:v>21.220301080844898</c:v>
                </c:pt>
                <c:pt idx="10">
                  <c:v>19.619951259025679</c:v>
                </c:pt>
                <c:pt idx="11">
                  <c:v>17.781089648959032</c:v>
                </c:pt>
                <c:pt idx="12">
                  <c:v>15.511583820868058</c:v>
                </c:pt>
                <c:pt idx="13">
                  <c:v>13.084139773262029</c:v>
                </c:pt>
                <c:pt idx="14">
                  <c:v>10.724638332403604</c:v>
                </c:pt>
                <c:pt idx="15">
                  <c:v>8.5970321759144266</c:v>
                </c:pt>
                <c:pt idx="16">
                  <c:v>5.6228088620358925</c:v>
                </c:pt>
                <c:pt idx="17">
                  <c:v>3.9914948412563036</c:v>
                </c:pt>
                <c:pt idx="18">
                  <c:v>2.7389530207329522</c:v>
                </c:pt>
                <c:pt idx="19">
                  <c:v>1.8045012948919277</c:v>
                </c:pt>
                <c:pt idx="20">
                  <c:v>1.1025783130748845</c:v>
                </c:pt>
                <c:pt idx="21">
                  <c:v>0.45109864046522674</c:v>
                </c:pt>
                <c:pt idx="22">
                  <c:v>0.27259347301356762</c:v>
                </c:pt>
                <c:pt idx="23">
                  <c:v>0.15821180744534524</c:v>
                </c:pt>
                <c:pt idx="24">
                  <c:v>8.365100977281402E-2</c:v>
                </c:pt>
                <c:pt idx="25">
                  <c:v>3.359487153197821E-2</c:v>
                </c:pt>
              </c:numCache>
            </c:numRef>
          </c:val>
          <c:smooth val="0"/>
          <c:extLst>
            <c:ext xmlns:c16="http://schemas.microsoft.com/office/drawing/2014/chart" uri="{C3380CC4-5D6E-409C-BE32-E72D297353CC}">
              <c16:uniqueId val="{00000018-C03A-48E5-9CD8-3FD4F689A147}"/>
            </c:ext>
          </c:extLst>
        </c:ser>
        <c:ser>
          <c:idx val="1"/>
          <c:order val="3"/>
          <c:tx>
            <c:strRef>
              <c:f>'Corrective Action Costs '!$Z$11</c:f>
              <c:strCache>
                <c:ptCount val="1"/>
                <c:pt idx="0">
                  <c:v>Total New and On-Going CA Costs</c:v>
                </c:pt>
              </c:strCache>
            </c:strRef>
          </c:tx>
          <c:spPr>
            <a:ln w="28575" cap="rnd">
              <a:solidFill>
                <a:schemeClr val="accent2"/>
              </a:solidFill>
              <a:round/>
            </a:ln>
            <a:effectLst/>
          </c:spPr>
          <c:marker>
            <c:symbol val="none"/>
          </c:marker>
          <c:val>
            <c:numRef>
              <c:f>'Corrective Action Costs '!$Z$13:$Z$38</c:f>
              <c:numCache>
                <c:formatCode>"$"#,##0.0</c:formatCode>
                <c:ptCount val="26"/>
                <c:pt idx="0">
                  <c:v>13.779726835497577</c:v>
                </c:pt>
                <c:pt idx="1">
                  <c:v>12.557872990147342</c:v>
                </c:pt>
                <c:pt idx="2">
                  <c:v>14.55985314896563</c:v>
                </c:pt>
                <c:pt idx="3">
                  <c:v>16.648522630432137</c:v>
                </c:pt>
                <c:pt idx="4">
                  <c:v>18.84987318308626</c:v>
                </c:pt>
                <c:pt idx="5">
                  <c:v>21.169542793596911</c:v>
                </c:pt>
                <c:pt idx="6">
                  <c:v>20.806666122808601</c:v>
                </c:pt>
                <c:pt idx="7">
                  <c:v>21.182169179242635</c:v>
                </c:pt>
                <c:pt idx="8">
                  <c:v>21.268552696105793</c:v>
                </c:pt>
                <c:pt idx="9">
                  <c:v>20.800301080844896</c:v>
                </c:pt>
                <c:pt idx="10">
                  <c:v>19.619951259025679</c:v>
                </c:pt>
                <c:pt idx="11">
                  <c:v>17.781089648959032</c:v>
                </c:pt>
                <c:pt idx="12">
                  <c:v>15.511583820868058</c:v>
                </c:pt>
                <c:pt idx="13">
                  <c:v>13.084139773262029</c:v>
                </c:pt>
                <c:pt idx="14">
                  <c:v>10.724638332403604</c:v>
                </c:pt>
                <c:pt idx="15">
                  <c:v>8.5970321759144266</c:v>
                </c:pt>
                <c:pt idx="16">
                  <c:v>5.6228088620358925</c:v>
                </c:pt>
                <c:pt idx="17">
                  <c:v>3.9914948412563036</c:v>
                </c:pt>
                <c:pt idx="18">
                  <c:v>2.7389530207329522</c:v>
                </c:pt>
                <c:pt idx="19">
                  <c:v>1.8045012948919277</c:v>
                </c:pt>
                <c:pt idx="20">
                  <c:v>1.1025783130748845</c:v>
                </c:pt>
                <c:pt idx="21">
                  <c:v>0.45109864046522674</c:v>
                </c:pt>
                <c:pt idx="22">
                  <c:v>0.27259347301356762</c:v>
                </c:pt>
                <c:pt idx="23">
                  <c:v>0.15821180744534524</c:v>
                </c:pt>
                <c:pt idx="24">
                  <c:v>8.365100977281402E-2</c:v>
                </c:pt>
                <c:pt idx="25">
                  <c:v>3.359487153197821E-2</c:v>
                </c:pt>
              </c:numCache>
            </c:numRef>
          </c:val>
          <c:smooth val="0"/>
          <c:extLst>
            <c:ext xmlns:c16="http://schemas.microsoft.com/office/drawing/2014/chart" uri="{C3380CC4-5D6E-409C-BE32-E72D297353CC}">
              <c16:uniqueId val="{00000000-FEF4-46BC-B45C-18408FDDBC47}"/>
            </c:ext>
          </c:extLst>
        </c:ser>
        <c:ser>
          <c:idx val="2"/>
          <c:order val="4"/>
          <c:tx>
            <c:strRef>
              <c:f>'Corrective Action Costs '!$AC$11</c:f>
              <c:strCache>
                <c:ptCount val="1"/>
                <c:pt idx="0">
                  <c:v>Period MNA Costs</c:v>
                </c:pt>
              </c:strCache>
            </c:strRef>
          </c:tx>
          <c:spPr>
            <a:ln w="28575" cap="rnd">
              <a:solidFill>
                <a:schemeClr val="accent3"/>
              </a:solidFill>
              <a:round/>
            </a:ln>
            <a:effectLst/>
          </c:spPr>
          <c:marker>
            <c:symbol val="none"/>
          </c:marker>
          <c:val>
            <c:numRef>
              <c:f>'Corrective Action Costs '!$AC$13:$AC$38</c:f>
              <c:numCache>
                <c:formatCode>"$"#,##0.0_);\("$"#,##0.0\)</c:formatCode>
                <c:ptCount val="26"/>
                <c:pt idx="0">
                  <c:v>4.2</c:v>
                </c:pt>
                <c:pt idx="1">
                  <c:v>3.78</c:v>
                </c:pt>
                <c:pt idx="2">
                  <c:v>3.36</c:v>
                </c:pt>
                <c:pt idx="3">
                  <c:v>2.94</c:v>
                </c:pt>
                <c:pt idx="4">
                  <c:v>2.52</c:v>
                </c:pt>
                <c:pt idx="5">
                  <c:v>2.1</c:v>
                </c:pt>
                <c:pt idx="6">
                  <c:v>1.68</c:v>
                </c:pt>
                <c:pt idx="7">
                  <c:v>1.26</c:v>
                </c:pt>
                <c:pt idx="8">
                  <c:v>0.84</c:v>
                </c:pt>
                <c:pt idx="9">
                  <c:v>0.42</c:v>
                </c:pt>
              </c:numCache>
            </c:numRef>
          </c:val>
          <c:smooth val="0"/>
          <c:extLst>
            <c:ext xmlns:c16="http://schemas.microsoft.com/office/drawing/2014/chart" uri="{C3380CC4-5D6E-409C-BE32-E72D297353CC}">
              <c16:uniqueId val="{00000001-FEF4-46BC-B45C-18408FDDBC47}"/>
            </c:ext>
          </c:extLst>
        </c:ser>
        <c:dLbls>
          <c:showLegendKey val="0"/>
          <c:showVal val="0"/>
          <c:showCatName val="0"/>
          <c:showSerName val="0"/>
          <c:showPercent val="0"/>
          <c:showBubbleSize val="0"/>
        </c:dLbls>
        <c:marker val="1"/>
        <c:smooth val="0"/>
        <c:axId val="252873584"/>
        <c:axId val="252859024"/>
        <c:extLst>
          <c:ext xmlns:c15="http://schemas.microsoft.com/office/drawing/2012/chart" uri="{02D57815-91ED-43cb-92C2-25804820EDAC}">
            <c15:filteredLineSeries>
              <c15:ser>
                <c:idx val="0"/>
                <c:order val="0"/>
                <c:tx>
                  <c:strRef>
                    <c:extLst>
                      <c:ext uri="{02D57815-91ED-43cb-92C2-25804820EDAC}">
                        <c15:formulaRef>
                          <c15:sqref>'Corrective Action Costs '!$A$11</c15:sqref>
                        </c15:formulaRef>
                      </c:ext>
                    </c:extLst>
                    <c:strCache>
                      <c:ptCount val="1"/>
                      <c:pt idx="0">
                        <c:v>Year</c:v>
                      </c:pt>
                    </c:strCache>
                  </c:strRef>
                </c:tx>
                <c:spPr>
                  <a:ln w="28575" cap="rnd">
                    <a:solidFill>
                      <a:schemeClr val="accent1"/>
                    </a:solidFill>
                    <a:round/>
                  </a:ln>
                  <a:effectLst/>
                </c:spPr>
                <c:marker>
                  <c:symbol val="none"/>
                </c:marker>
                <c:cat>
                  <c:strRef>
                    <c:extLst>
                      <c:ext uri="{02D57815-91ED-43cb-92C2-25804820EDAC}">
                        <c15:formulaRef>
                          <c15:sqref>'Corrective Action Costs '!$A$11:$A$38</c15:sqref>
                        </c15:formulaRef>
                      </c:ext>
                    </c:extLst>
                    <c:strCache>
                      <c:ptCount val="28"/>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pt idx="23">
                        <c:v>2062</c:v>
                      </c:pt>
                      <c:pt idx="24">
                        <c:v>2064</c:v>
                      </c:pt>
                      <c:pt idx="25">
                        <c:v>2066</c:v>
                      </c:pt>
                      <c:pt idx="26">
                        <c:v>2068</c:v>
                      </c:pt>
                      <c:pt idx="27">
                        <c:v>2070</c:v>
                      </c:pt>
                    </c:strCache>
                  </c:strRef>
                </c:cat>
                <c:val>
                  <c:numRef>
                    <c:extLst>
                      <c:ext uri="{02D57815-91ED-43cb-92C2-25804820EDAC}">
                        <c15:formulaRef>
                          <c15:sqref>'Corrective Action Costs '!$A$13:$A$38</c15:sqref>
                        </c15:formulaRef>
                      </c:ext>
                    </c:extLst>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val>
                <c:smooth val="0"/>
                <c:extLst>
                  <c:ext xmlns:c16="http://schemas.microsoft.com/office/drawing/2014/chart" uri="{C3380CC4-5D6E-409C-BE32-E72D297353CC}">
                    <c16:uniqueId val="{00000004-C03A-48E5-9CD8-3FD4F689A147}"/>
                  </c:ext>
                </c:extLst>
              </c15:ser>
            </c15:filteredLineSeries>
          </c:ext>
        </c:extLst>
      </c:lineChart>
      <c:lineChart>
        <c:grouping val="standard"/>
        <c:varyColors val="0"/>
        <c:ser>
          <c:idx val="25"/>
          <c:order val="2"/>
          <c:tx>
            <c:strRef>
              <c:f>'Corrective Action Costs '!$AE$11</c:f>
              <c:strCache>
                <c:ptCount val="1"/>
                <c:pt idx="0">
                  <c:v>Cumulative CA Costs</c:v>
                </c:pt>
              </c:strCache>
            </c:strRef>
          </c:tx>
          <c:spPr>
            <a:ln w="28575" cap="rnd">
              <a:solidFill>
                <a:schemeClr val="accent2">
                  <a:lumMod val="60000"/>
                  <a:lumOff val="40000"/>
                </a:schemeClr>
              </a:solidFill>
              <a:round/>
            </a:ln>
            <a:effectLst/>
          </c:spPr>
          <c:marker>
            <c:symbol val="none"/>
          </c:marker>
          <c:cat>
            <c:strRef>
              <c:f>'Corrective Action Costs '!$A$11:$A$38</c:f>
              <c:strCache>
                <c:ptCount val="28"/>
                <c:pt idx="0">
                  <c:v>Year</c:v>
                </c:pt>
                <c:pt idx="2">
                  <c:v>2020</c:v>
                </c:pt>
                <c:pt idx="3">
                  <c:v>2022</c:v>
                </c:pt>
                <c:pt idx="4">
                  <c:v>2024</c:v>
                </c:pt>
                <c:pt idx="5">
                  <c:v>2026</c:v>
                </c:pt>
                <c:pt idx="6">
                  <c:v>2028</c:v>
                </c:pt>
                <c:pt idx="7">
                  <c:v>2030</c:v>
                </c:pt>
                <c:pt idx="8">
                  <c:v>2032</c:v>
                </c:pt>
                <c:pt idx="9">
                  <c:v>2034</c:v>
                </c:pt>
                <c:pt idx="10">
                  <c:v>2036</c:v>
                </c:pt>
                <c:pt idx="11">
                  <c:v>2038</c:v>
                </c:pt>
                <c:pt idx="12">
                  <c:v>2040</c:v>
                </c:pt>
                <c:pt idx="13">
                  <c:v>2042</c:v>
                </c:pt>
                <c:pt idx="14">
                  <c:v>2044</c:v>
                </c:pt>
                <c:pt idx="15">
                  <c:v>2046</c:v>
                </c:pt>
                <c:pt idx="16">
                  <c:v>2048</c:v>
                </c:pt>
                <c:pt idx="17">
                  <c:v>2050</c:v>
                </c:pt>
                <c:pt idx="18">
                  <c:v>2052</c:v>
                </c:pt>
                <c:pt idx="19">
                  <c:v>2054</c:v>
                </c:pt>
                <c:pt idx="20">
                  <c:v>2056</c:v>
                </c:pt>
                <c:pt idx="21">
                  <c:v>2058</c:v>
                </c:pt>
                <c:pt idx="22">
                  <c:v>2060</c:v>
                </c:pt>
                <c:pt idx="23">
                  <c:v>2062</c:v>
                </c:pt>
                <c:pt idx="24">
                  <c:v>2064</c:v>
                </c:pt>
                <c:pt idx="25">
                  <c:v>2066</c:v>
                </c:pt>
                <c:pt idx="26">
                  <c:v>2068</c:v>
                </c:pt>
                <c:pt idx="27">
                  <c:v>2070</c:v>
                </c:pt>
              </c:strCache>
            </c:strRef>
          </c:cat>
          <c:val>
            <c:numRef>
              <c:f>'Corrective Action Costs '!$AE$13:$AE$38</c:f>
              <c:numCache>
                <c:formatCode>"$"#,##0</c:formatCode>
                <c:ptCount val="26"/>
                <c:pt idx="0">
                  <c:v>17.979726835497576</c:v>
                </c:pt>
                <c:pt idx="1">
                  <c:v>34.317599825644919</c:v>
                </c:pt>
                <c:pt idx="2">
                  <c:v>52.237452974610548</c:v>
                </c:pt>
                <c:pt idx="3">
                  <c:v>71.825975605042686</c:v>
                </c:pt>
                <c:pt idx="4">
                  <c:v>93.195848788128941</c:v>
                </c:pt>
                <c:pt idx="5">
                  <c:v>116.46539158172585</c:v>
                </c:pt>
                <c:pt idx="6">
                  <c:v>138.95205770453447</c:v>
                </c:pt>
                <c:pt idx="7">
                  <c:v>161.39422688377709</c:v>
                </c:pt>
                <c:pt idx="8">
                  <c:v>183.50277957988288</c:v>
                </c:pt>
                <c:pt idx="9">
                  <c:v>204.72308066072779</c:v>
                </c:pt>
                <c:pt idx="10">
                  <c:v>224.34303191975346</c:v>
                </c:pt>
                <c:pt idx="11">
                  <c:v>242.1241215687125</c:v>
                </c:pt>
                <c:pt idx="12">
                  <c:v>257.63570538958055</c:v>
                </c:pt>
                <c:pt idx="13">
                  <c:v>270.7198451628426</c:v>
                </c:pt>
                <c:pt idx="14">
                  <c:v>281.44448349524623</c:v>
                </c:pt>
                <c:pt idx="15">
                  <c:v>290.04151567116065</c:v>
                </c:pt>
                <c:pt idx="16">
                  <c:v>295.66432453319652</c:v>
                </c:pt>
                <c:pt idx="17">
                  <c:v>299.65581937445285</c:v>
                </c:pt>
                <c:pt idx="18">
                  <c:v>302.39477239518578</c:v>
                </c:pt>
                <c:pt idx="19">
                  <c:v>304.19927369007769</c:v>
                </c:pt>
                <c:pt idx="20">
                  <c:v>305.30185200315259</c:v>
                </c:pt>
                <c:pt idx="21">
                  <c:v>305.75295064361779</c:v>
                </c:pt>
                <c:pt idx="22">
                  <c:v>306.02554411663135</c:v>
                </c:pt>
                <c:pt idx="23">
                  <c:v>306.18375592407671</c:v>
                </c:pt>
                <c:pt idx="24">
                  <c:v>306.26740693384954</c:v>
                </c:pt>
                <c:pt idx="25">
                  <c:v>306.30100180538153</c:v>
                </c:pt>
              </c:numCache>
            </c:numRef>
          </c:val>
          <c:smooth val="0"/>
          <c:extLst>
            <c:ext xmlns:c16="http://schemas.microsoft.com/office/drawing/2014/chart" uri="{C3380CC4-5D6E-409C-BE32-E72D297353CC}">
              <c16:uniqueId val="{00000019-C03A-48E5-9CD8-3FD4F689A147}"/>
            </c:ext>
          </c:extLst>
        </c:ser>
        <c:dLbls>
          <c:showLegendKey val="0"/>
          <c:showVal val="0"/>
          <c:showCatName val="0"/>
          <c:showSerName val="0"/>
          <c:showPercent val="0"/>
          <c:showBubbleSize val="0"/>
        </c:dLbls>
        <c:marker val="1"/>
        <c:smooth val="0"/>
        <c:axId val="1553181775"/>
        <c:axId val="1109794047"/>
      </c:lineChart>
      <c:catAx>
        <c:axId val="252873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At val="0"/>
        <c:auto val="1"/>
        <c:lblAlgn val="ctr"/>
        <c:lblOffset val="100"/>
        <c:noMultiLvlLbl val="0"/>
      </c:catAx>
      <c:valAx>
        <c:axId val="252859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_\(@_)" sourceLinked="0"/>
        <c:majorTickMark val="out"/>
        <c:minorTickMark val="none"/>
        <c:tickLblPos val="nextTo"/>
        <c:spPr>
          <a:noFill/>
          <a:ln>
            <a:solidFill>
              <a:srgbClr val="4472C4"/>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valAx>
        <c:axId val="1109794047"/>
        <c:scaling>
          <c:orientation val="minMax"/>
        </c:scaling>
        <c:delete val="0"/>
        <c:axPos val="r"/>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81775"/>
        <c:crosses val="max"/>
        <c:crossBetween val="between"/>
      </c:valAx>
      <c:catAx>
        <c:axId val="1553181775"/>
        <c:scaling>
          <c:orientation val="minMax"/>
        </c:scaling>
        <c:delete val="1"/>
        <c:axPos val="b"/>
        <c:numFmt formatCode="General" sourceLinked="1"/>
        <c:majorTickMark val="out"/>
        <c:minorTickMark val="none"/>
        <c:tickLblPos val="nextTo"/>
        <c:crossAx val="110979404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Indivdual Corrective Action</a:t>
            </a:r>
            <a:r>
              <a:rPr lang="en-US" baseline="0"/>
              <a:t> Cost Distribution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25"/>
          <c:order val="0"/>
          <c:spPr>
            <a:ln w="28575" cap="rnd">
              <a:solidFill>
                <a:schemeClr val="accent2">
                  <a:lumMod val="60000"/>
                  <a:lumOff val="40000"/>
                </a:schemeClr>
              </a:solidFill>
              <a:round/>
            </a:ln>
            <a:effectLst/>
          </c:spPr>
          <c:marker>
            <c:symbol val="none"/>
          </c:marker>
          <c:cat>
            <c:numRef>
              <c:f>'Corrective Action Costs '!$A$13:$A$18</c:f>
              <c:numCache>
                <c:formatCode>General</c:formatCode>
                <c:ptCount val="6"/>
                <c:pt idx="0">
                  <c:v>2020</c:v>
                </c:pt>
                <c:pt idx="1">
                  <c:v>2022</c:v>
                </c:pt>
                <c:pt idx="2">
                  <c:v>2024</c:v>
                </c:pt>
                <c:pt idx="3">
                  <c:v>2026</c:v>
                </c:pt>
                <c:pt idx="4">
                  <c:v>2028</c:v>
                </c:pt>
                <c:pt idx="5">
                  <c:v>2030</c:v>
                </c:pt>
              </c:numCache>
            </c:numRef>
          </c:cat>
          <c:val>
            <c:numRef>
              <c:f>'Corrective Action Costs '!$C$13:$C$18</c:f>
              <c:numCache>
                <c:formatCode>General</c:formatCode>
                <c:ptCount val="6"/>
                <c:pt idx="0" formatCode="_(&quot;$&quot;* #,##0_);_(&quot;$&quot;* \(#,##0\);_(&quot;$&quot;* &quot;-&quot;??_);_(@_)">
                  <c:v>212221.5</c:v>
                </c:pt>
              </c:numCache>
            </c:numRef>
          </c:val>
          <c:smooth val="0"/>
          <c:extLst>
            <c:ext xmlns:c16="http://schemas.microsoft.com/office/drawing/2014/chart" uri="{C3380CC4-5D6E-409C-BE32-E72D297353CC}">
              <c16:uniqueId val="{00000001-D10C-402A-A2A4-033A8BC860DF}"/>
            </c:ext>
          </c:extLst>
        </c:ser>
        <c:ser>
          <c:idx val="1"/>
          <c:order val="1"/>
          <c:spPr>
            <a:ln w="28575" cap="rnd">
              <a:solidFill>
                <a:schemeClr val="accent2"/>
              </a:solidFill>
              <a:round/>
            </a:ln>
            <a:effectLst/>
          </c:spPr>
          <c:marker>
            <c:symbol val="none"/>
          </c:marker>
          <c:cat>
            <c:numRef>
              <c:f>'Corrective Action Costs '!$A$13:$A$18</c:f>
              <c:numCache>
                <c:formatCode>General</c:formatCode>
                <c:ptCount val="6"/>
                <c:pt idx="0">
                  <c:v>2020</c:v>
                </c:pt>
                <c:pt idx="1">
                  <c:v>2022</c:v>
                </c:pt>
                <c:pt idx="2">
                  <c:v>2024</c:v>
                </c:pt>
                <c:pt idx="3">
                  <c:v>2026</c:v>
                </c:pt>
                <c:pt idx="4">
                  <c:v>2028</c:v>
                </c:pt>
                <c:pt idx="5">
                  <c:v>2030</c:v>
                </c:pt>
              </c:numCache>
            </c:numRef>
          </c:cat>
          <c:val>
            <c:numRef>
              <c:f>'Corrective Action Costs '!$D$13:$D$18</c:f>
              <c:numCache>
                <c:formatCode>"$"#,##0_);\("$"#,##0\)</c:formatCode>
                <c:ptCount val="6"/>
                <c:pt idx="0">
                  <c:v>106110.75</c:v>
                </c:pt>
                <c:pt idx="1">
                  <c:v>21222.15</c:v>
                </c:pt>
                <c:pt idx="2">
                  <c:v>21222.15</c:v>
                </c:pt>
                <c:pt idx="3">
                  <c:v>21222.15</c:v>
                </c:pt>
                <c:pt idx="4">
                  <c:v>21222.15</c:v>
                </c:pt>
                <c:pt idx="5">
                  <c:v>21222.15</c:v>
                </c:pt>
              </c:numCache>
            </c:numRef>
          </c:val>
          <c:smooth val="0"/>
          <c:extLst>
            <c:ext xmlns:c16="http://schemas.microsoft.com/office/drawing/2014/chart" uri="{C3380CC4-5D6E-409C-BE32-E72D297353CC}">
              <c16:uniqueId val="{00000000-12DA-4F9C-9C3E-4F67CAA32A08}"/>
            </c:ext>
          </c:extLst>
        </c:ser>
        <c:dLbls>
          <c:showLegendKey val="0"/>
          <c:showVal val="0"/>
          <c:showCatName val="0"/>
          <c:showSerName val="0"/>
          <c:showPercent val="0"/>
          <c:showBubbleSize val="0"/>
        </c:dLbls>
        <c:smooth val="0"/>
        <c:axId val="252873584"/>
        <c:axId val="252859024"/>
      </c:lineChart>
      <c:dateAx>
        <c:axId val="252873584"/>
        <c:scaling>
          <c:orientation val="minMax"/>
        </c:scaling>
        <c:delete val="0"/>
        <c:axPos val="b"/>
        <c:numFmt formatCode="0" sourceLinked="0"/>
        <c:majorTickMark val="out"/>
        <c:minorTickMark val="out"/>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At val="0"/>
        <c:auto val="0"/>
        <c:lblOffset val="100"/>
        <c:baseTimeUnit val="days"/>
        <c:majorUnit val="2"/>
        <c:majorTimeUnit val="days"/>
      </c:dateAx>
      <c:valAx>
        <c:axId val="2528590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_\(@_)" sourceLinked="0"/>
        <c:majorTickMark val="out"/>
        <c:minorTickMark val="none"/>
        <c:tickLblPos val="nextTo"/>
        <c:spPr>
          <a:noFill/>
          <a:ln>
            <a:solidFill>
              <a:srgbClr val="4472C4"/>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Periodic Corrective Action</a:t>
            </a:r>
            <a:r>
              <a:rPr lang="en-US" baseline="0"/>
              <a:t> Costs and Fund Revenue </a:t>
            </a:r>
            <a:r>
              <a:rPr lang="en-US" sz="1400" b="0" i="0" u="none" strike="noStrike" baseline="0">
                <a:effectLst/>
              </a:rPr>
              <a:t>($millions)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tx>
            <c:strRef>
              <c:f>'Funding &amp; Surplus'!$L$10</c:f>
              <c:strCache>
                <c:ptCount val="1"/>
                <c:pt idx="0">
                  <c:v>Period CA Costs</c:v>
                </c:pt>
              </c:strCache>
            </c:strRef>
          </c:tx>
          <c:spPr>
            <a:ln w="28575" cap="rnd">
              <a:solidFill>
                <a:schemeClr val="accent2"/>
              </a:solidFill>
              <a:round/>
            </a:ln>
            <a:effectLst/>
          </c:spPr>
          <c:marker>
            <c:symbol val="none"/>
          </c:marker>
          <c:cat>
            <c:numRef>
              <c:f>'Funding &amp; Surplus'!$A$11:$A$36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f>'Funding &amp; Surplus'!$L$11:$L$36</c:f>
              <c:numCache>
                <c:formatCode>_(* #,##0_);_(* \(#,##0\);_(* "-"?_);_(@_)</c:formatCode>
                <c:ptCount val="26"/>
                <c:pt idx="0">
                  <c:v>17.979726835497576</c:v>
                </c:pt>
                <c:pt idx="1">
                  <c:v>16.337872990147343</c:v>
                </c:pt>
                <c:pt idx="2">
                  <c:v>17.919853148965629</c:v>
                </c:pt>
                <c:pt idx="3">
                  <c:v>19.588522630432138</c:v>
                </c:pt>
                <c:pt idx="4">
                  <c:v>21.369873183086259</c:v>
                </c:pt>
                <c:pt idx="5">
                  <c:v>23.269542793596912</c:v>
                </c:pt>
                <c:pt idx="6">
                  <c:v>22.4866661228086</c:v>
                </c:pt>
                <c:pt idx="7">
                  <c:v>22.442169179242637</c:v>
                </c:pt>
                <c:pt idx="8">
                  <c:v>22.108552696105793</c:v>
                </c:pt>
                <c:pt idx="9">
                  <c:v>21.220301080844898</c:v>
                </c:pt>
                <c:pt idx="10">
                  <c:v>19.619951259025679</c:v>
                </c:pt>
                <c:pt idx="11">
                  <c:v>17.781089648959032</c:v>
                </c:pt>
                <c:pt idx="12">
                  <c:v>15.511583820868058</c:v>
                </c:pt>
                <c:pt idx="13">
                  <c:v>13.084139773262029</c:v>
                </c:pt>
                <c:pt idx="14">
                  <c:v>10.724638332403604</c:v>
                </c:pt>
                <c:pt idx="15">
                  <c:v>8.5970321759144266</c:v>
                </c:pt>
                <c:pt idx="16">
                  <c:v>5.6228088620358925</c:v>
                </c:pt>
                <c:pt idx="17">
                  <c:v>3.9914948412563036</c:v>
                </c:pt>
                <c:pt idx="18">
                  <c:v>2.7389530207329522</c:v>
                </c:pt>
                <c:pt idx="19">
                  <c:v>1.8045012948919277</c:v>
                </c:pt>
                <c:pt idx="20">
                  <c:v>1.1025783130748845</c:v>
                </c:pt>
                <c:pt idx="21">
                  <c:v>0.45109864046522674</c:v>
                </c:pt>
                <c:pt idx="22">
                  <c:v>0.27259347301356762</c:v>
                </c:pt>
                <c:pt idx="23">
                  <c:v>0.15821180744534524</c:v>
                </c:pt>
                <c:pt idx="24">
                  <c:v>8.365100977281402E-2</c:v>
                </c:pt>
                <c:pt idx="25">
                  <c:v>3.359487153197821E-2</c:v>
                </c:pt>
              </c:numCache>
            </c:numRef>
          </c:val>
          <c:smooth val="0"/>
          <c:extLst>
            <c:ext xmlns:c16="http://schemas.microsoft.com/office/drawing/2014/chart" uri="{C3380CC4-5D6E-409C-BE32-E72D297353CC}">
              <c16:uniqueId val="{00000000-AEDB-4484-9796-12ED9F2BF63F}"/>
            </c:ext>
          </c:extLst>
        </c:ser>
        <c:ser>
          <c:idx val="1"/>
          <c:order val="1"/>
          <c:tx>
            <c:strRef>
              <c:f>'Funding &amp; Surplus'!$M$10</c:f>
              <c:strCache>
                <c:ptCount val="1"/>
                <c:pt idx="0">
                  <c:v>Period surplus or (shortfall)</c:v>
                </c:pt>
              </c:strCache>
            </c:strRef>
          </c:tx>
          <c:spPr>
            <a:ln w="28575" cap="rnd">
              <a:solidFill>
                <a:schemeClr val="accent1"/>
              </a:solidFill>
              <a:round/>
            </a:ln>
            <a:effectLst/>
          </c:spPr>
          <c:marker>
            <c:symbol val="none"/>
          </c:marker>
          <c:cat>
            <c:numRef>
              <c:f>'Funding &amp; Surplus'!$A$11:$A$36</c:f>
              <c:numCache>
                <c:formatCode>General</c:formatCode>
                <c:ptCount val="26"/>
                <c:pt idx="0">
                  <c:v>2020</c:v>
                </c:pt>
                <c:pt idx="1">
                  <c:v>2022</c:v>
                </c:pt>
                <c:pt idx="2">
                  <c:v>2024</c:v>
                </c:pt>
                <c:pt idx="3">
                  <c:v>2026</c:v>
                </c:pt>
                <c:pt idx="4">
                  <c:v>2028</c:v>
                </c:pt>
                <c:pt idx="5">
                  <c:v>2030</c:v>
                </c:pt>
                <c:pt idx="6">
                  <c:v>2032</c:v>
                </c:pt>
                <c:pt idx="7">
                  <c:v>2034</c:v>
                </c:pt>
                <c:pt idx="8">
                  <c:v>2036</c:v>
                </c:pt>
                <c:pt idx="9">
                  <c:v>2038</c:v>
                </c:pt>
                <c:pt idx="10">
                  <c:v>2040</c:v>
                </c:pt>
                <c:pt idx="11">
                  <c:v>2042</c:v>
                </c:pt>
                <c:pt idx="12">
                  <c:v>2044</c:v>
                </c:pt>
                <c:pt idx="13">
                  <c:v>2046</c:v>
                </c:pt>
                <c:pt idx="14">
                  <c:v>2048</c:v>
                </c:pt>
                <c:pt idx="15">
                  <c:v>2050</c:v>
                </c:pt>
                <c:pt idx="16">
                  <c:v>2052</c:v>
                </c:pt>
                <c:pt idx="17">
                  <c:v>2054</c:v>
                </c:pt>
                <c:pt idx="18">
                  <c:v>2056</c:v>
                </c:pt>
                <c:pt idx="19">
                  <c:v>2058</c:v>
                </c:pt>
                <c:pt idx="20">
                  <c:v>2060</c:v>
                </c:pt>
                <c:pt idx="21">
                  <c:v>2062</c:v>
                </c:pt>
                <c:pt idx="22">
                  <c:v>2064</c:v>
                </c:pt>
                <c:pt idx="23">
                  <c:v>2066</c:v>
                </c:pt>
                <c:pt idx="24">
                  <c:v>2068</c:v>
                </c:pt>
                <c:pt idx="25">
                  <c:v>2070</c:v>
                </c:pt>
              </c:numCache>
            </c:numRef>
          </c:cat>
          <c:val>
            <c:numRef>
              <c:f>'Funding &amp; Surplus'!$M$11:$M$36</c:f>
              <c:numCache>
                <c:formatCode>_(* #,##0_);_(* \(#,##0\);_(* "-"?_);_(@_)</c:formatCode>
                <c:ptCount val="26"/>
                <c:pt idx="0">
                  <c:v>4.0202731645024237</c:v>
                </c:pt>
                <c:pt idx="1">
                  <c:v>5.6621270098526573</c:v>
                </c:pt>
                <c:pt idx="2">
                  <c:v>4.080146851034371</c:v>
                </c:pt>
                <c:pt idx="3">
                  <c:v>2.4114773695678622</c:v>
                </c:pt>
                <c:pt idx="4">
                  <c:v>0.63012681691374084</c:v>
                </c:pt>
                <c:pt idx="5">
                  <c:v>-1.2695427935969121</c:v>
                </c:pt>
                <c:pt idx="6">
                  <c:v>-0.48666612280860022</c:v>
                </c:pt>
                <c:pt idx="7">
                  <c:v>-0.44216917924263655</c:v>
                </c:pt>
                <c:pt idx="8">
                  <c:v>-0.10855269610579299</c:v>
                </c:pt>
                <c:pt idx="9">
                  <c:v>0.77969891915510203</c:v>
                </c:pt>
                <c:pt idx="10">
                  <c:v>2.3800487409743205</c:v>
                </c:pt>
                <c:pt idx="11">
                  <c:v>4.218910351040968</c:v>
                </c:pt>
                <c:pt idx="12">
                  <c:v>1.1395409997973367</c:v>
                </c:pt>
                <c:pt idx="13">
                  <c:v>-1.4538128776148138</c:v>
                </c:pt>
                <c:pt idx="14">
                  <c:v>-2.8792240001377163</c:v>
                </c:pt>
                <c:pt idx="15">
                  <c:v>-3.4379563152650618</c:v>
                </c:pt>
                <c:pt idx="16">
                  <c:v>-2.2899331502103895</c:v>
                </c:pt>
                <c:pt idx="17">
                  <c:v>-1.8641305173411142</c:v>
                </c:pt>
                <c:pt idx="18">
                  <c:v>-1.3921480266721069</c:v>
                </c:pt>
                <c:pt idx="19">
                  <c:v>-0.95694970986101846</c:v>
                </c:pt>
                <c:pt idx="20">
                  <c:v>-0.57017615729848503</c:v>
                </c:pt>
                <c:pt idx="21" formatCode="_(* #,##0.0_);_(* \(#,##0.0\);_(* &quot;-&quot;?_);_(@_)">
                  <c:v>-0.45109864046522674</c:v>
                </c:pt>
                <c:pt idx="22" formatCode="_(* #,##0.0_);_(* \(#,##0.0\);_(* &quot;-&quot;?_);_(@_)">
                  <c:v>-0.27259347301356762</c:v>
                </c:pt>
                <c:pt idx="23" formatCode="_(* #,##0.0_);_(* \(#,##0.0\);_(* &quot;-&quot;?_);_(@_)">
                  <c:v>-0.15821180744534524</c:v>
                </c:pt>
                <c:pt idx="24" formatCode="_(* #,##0.0_);_(* \(#,##0.0\);_(* &quot;-&quot;?_);_(@_)">
                  <c:v>-8.365100977281402E-2</c:v>
                </c:pt>
                <c:pt idx="25" formatCode="_(* #,##0.0_);_(* \(#,##0.0\);_(* &quot;-&quot;?_);_(@_)">
                  <c:v>-3.359487153197821E-2</c:v>
                </c:pt>
              </c:numCache>
            </c:numRef>
          </c:val>
          <c:smooth val="0"/>
          <c:extLst>
            <c:ext xmlns:c16="http://schemas.microsoft.com/office/drawing/2014/chart" uri="{C3380CC4-5D6E-409C-BE32-E72D297353CC}">
              <c16:uniqueId val="{00000000-8E19-4618-BFC8-9F923D7C93C6}"/>
            </c:ext>
          </c:extLst>
        </c:ser>
        <c:dLbls>
          <c:showLegendKey val="0"/>
          <c:showVal val="0"/>
          <c:showCatName val="0"/>
          <c:showSerName val="0"/>
          <c:showPercent val="0"/>
          <c:showBubbleSize val="0"/>
        </c:dLbls>
        <c:smooth val="0"/>
        <c:axId val="252873584"/>
        <c:axId val="252859024"/>
        <c:extLst/>
      </c:lineChart>
      <c:catAx>
        <c:axId val="2528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59024"/>
        <c:crosses val="autoZero"/>
        <c:auto val="1"/>
        <c:lblAlgn val="ctr"/>
        <c:lblOffset val="100"/>
        <c:noMultiLvlLbl val="0"/>
      </c:catAx>
      <c:valAx>
        <c:axId val="25285902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87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16</xdr:col>
      <xdr:colOff>421570</xdr:colOff>
      <xdr:row>19</xdr:row>
      <xdr:rowOff>7407</xdr:rowOff>
    </xdr:from>
    <xdr:to>
      <xdr:col>25</xdr:col>
      <xdr:colOff>287515</xdr:colOff>
      <xdr:row>37</xdr:row>
      <xdr:rowOff>119942</xdr:rowOff>
    </xdr:to>
    <xdr:graphicFrame macro="">
      <xdr:nvGraphicFramePr>
        <xdr:cNvPr id="5" name="Chart 4">
          <a:extLst>
            <a:ext uri="{FF2B5EF4-FFF2-40B4-BE49-F238E27FC236}">
              <a16:creationId xmlns:a16="http://schemas.microsoft.com/office/drawing/2014/main" id="{F2408E16-327B-4CD8-93F2-FC233182F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473075</xdr:colOff>
      <xdr:row>7</xdr:row>
      <xdr:rowOff>368299</xdr:rowOff>
    </xdr:from>
    <xdr:to>
      <xdr:col>25</xdr:col>
      <xdr:colOff>279401</xdr:colOff>
      <xdr:row>17</xdr:row>
      <xdr:rowOff>154162</xdr:rowOff>
    </xdr:to>
    <xdr:graphicFrame macro="">
      <xdr:nvGraphicFramePr>
        <xdr:cNvPr id="6" name="Chart 5">
          <a:extLst>
            <a:ext uri="{FF2B5EF4-FFF2-40B4-BE49-F238E27FC236}">
              <a16:creationId xmlns:a16="http://schemas.microsoft.com/office/drawing/2014/main" id="{FAFC43B8-3A87-4D71-9A87-4998752D4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588434</xdr:colOff>
      <xdr:row>21</xdr:row>
      <xdr:rowOff>95249</xdr:rowOff>
    </xdr:from>
    <xdr:to>
      <xdr:col>16</xdr:col>
      <xdr:colOff>428625</xdr:colOff>
      <xdr:row>38</xdr:row>
      <xdr:rowOff>10582</xdr:rowOff>
    </xdr:to>
    <xdr:graphicFrame macro="">
      <xdr:nvGraphicFramePr>
        <xdr:cNvPr id="2" name="Chart 1">
          <a:extLst>
            <a:ext uri="{FF2B5EF4-FFF2-40B4-BE49-F238E27FC236}">
              <a16:creationId xmlns:a16="http://schemas.microsoft.com/office/drawing/2014/main" id="{EFD6C897-A645-4C9C-8025-C9834A99B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1019023</xdr:colOff>
      <xdr:row>38</xdr:row>
      <xdr:rowOff>170089</xdr:rowOff>
    </xdr:from>
    <xdr:to>
      <xdr:col>8</xdr:col>
      <xdr:colOff>535969</xdr:colOff>
      <xdr:row>57</xdr:row>
      <xdr:rowOff>122464</xdr:rowOff>
    </xdr:to>
    <xdr:graphicFrame macro="">
      <xdr:nvGraphicFramePr>
        <xdr:cNvPr id="3" name="Chart 2">
          <a:extLst>
            <a:ext uri="{FF2B5EF4-FFF2-40B4-BE49-F238E27FC236}">
              <a16:creationId xmlns:a16="http://schemas.microsoft.com/office/drawing/2014/main" id="{3BD6D7A7-9BF8-4B57-9044-92B2B4D18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550334</xdr:colOff>
      <xdr:row>6</xdr:row>
      <xdr:rowOff>142875</xdr:rowOff>
    </xdr:from>
    <xdr:to>
      <xdr:col>16</xdr:col>
      <xdr:colOff>492126</xdr:colOff>
      <xdr:row>20</xdr:row>
      <xdr:rowOff>116416</xdr:rowOff>
    </xdr:to>
    <xdr:graphicFrame macro="">
      <xdr:nvGraphicFramePr>
        <xdr:cNvPr id="6" name="Chart 5">
          <a:extLst>
            <a:ext uri="{FF2B5EF4-FFF2-40B4-BE49-F238E27FC236}">
              <a16:creationId xmlns:a16="http://schemas.microsoft.com/office/drawing/2014/main" id="{E28817F0-52CA-41BC-8BC5-D8BD1ADC6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39</xdr:row>
      <xdr:rowOff>1</xdr:rowOff>
    </xdr:from>
    <xdr:to>
      <xdr:col>16</xdr:col>
      <xdr:colOff>549577</xdr:colOff>
      <xdr:row>55</xdr:row>
      <xdr:rowOff>72572</xdr:rowOff>
    </xdr:to>
    <xdr:graphicFrame macro="">
      <xdr:nvGraphicFramePr>
        <xdr:cNvPr id="5" name="Chart 4">
          <a:extLst>
            <a:ext uri="{FF2B5EF4-FFF2-40B4-BE49-F238E27FC236}">
              <a16:creationId xmlns:a16="http://schemas.microsoft.com/office/drawing/2014/main" id="{5646A2D9-717D-419C-996D-D870648FB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10</xdr:row>
      <xdr:rowOff>0</xdr:rowOff>
    </xdr:from>
    <xdr:to>
      <xdr:col>42</xdr:col>
      <xdr:colOff>21167</xdr:colOff>
      <xdr:row>24</xdr:row>
      <xdr:rowOff>66323</xdr:rowOff>
    </xdr:to>
    <xdr:graphicFrame macro="">
      <xdr:nvGraphicFramePr>
        <xdr:cNvPr id="2" name="Chart 1">
          <a:extLst>
            <a:ext uri="{FF2B5EF4-FFF2-40B4-BE49-F238E27FC236}">
              <a16:creationId xmlns:a16="http://schemas.microsoft.com/office/drawing/2014/main" id="{9B6CFE79-AC92-49A8-AC12-D4185C2B4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0</xdr:colOff>
      <xdr:row>26</xdr:row>
      <xdr:rowOff>0</xdr:rowOff>
    </xdr:from>
    <xdr:to>
      <xdr:col>38</xdr:col>
      <xdr:colOff>359833</xdr:colOff>
      <xdr:row>42</xdr:row>
      <xdr:rowOff>119240</xdr:rowOff>
    </xdr:to>
    <xdr:graphicFrame macro="">
      <xdr:nvGraphicFramePr>
        <xdr:cNvPr id="3" name="Chart 2">
          <a:extLst>
            <a:ext uri="{FF2B5EF4-FFF2-40B4-BE49-F238E27FC236}">
              <a16:creationId xmlns:a16="http://schemas.microsoft.com/office/drawing/2014/main" id="{5D5F4B47-A203-4336-B5D0-72D3E998E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296333</xdr:colOff>
      <xdr:row>38</xdr:row>
      <xdr:rowOff>84666</xdr:rowOff>
    </xdr:from>
    <xdr:to>
      <xdr:col>8</xdr:col>
      <xdr:colOff>719665</xdr:colOff>
      <xdr:row>58</xdr:row>
      <xdr:rowOff>84665</xdr:rowOff>
    </xdr:to>
    <xdr:graphicFrame macro="">
      <xdr:nvGraphicFramePr>
        <xdr:cNvPr id="3" name="Chart 2">
          <a:extLst>
            <a:ext uri="{FF2B5EF4-FFF2-40B4-BE49-F238E27FC236}">
              <a16:creationId xmlns:a16="http://schemas.microsoft.com/office/drawing/2014/main" id="{79AFE654-BC35-414A-91F7-6FCC105A0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8</xdr:row>
      <xdr:rowOff>0</xdr:rowOff>
    </xdr:from>
    <xdr:to>
      <xdr:col>22</xdr:col>
      <xdr:colOff>208845</xdr:colOff>
      <xdr:row>18</xdr:row>
      <xdr:rowOff>182740</xdr:rowOff>
    </xdr:to>
    <xdr:graphicFrame macro="">
      <xdr:nvGraphicFramePr>
        <xdr:cNvPr id="4" name="Chart 3">
          <a:extLst>
            <a:ext uri="{FF2B5EF4-FFF2-40B4-BE49-F238E27FC236}">
              <a16:creationId xmlns:a16="http://schemas.microsoft.com/office/drawing/2014/main" id="{87D0D935-0AEB-4327-B1BA-A19C17E14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19</xdr:row>
      <xdr:rowOff>105833</xdr:rowOff>
    </xdr:from>
    <xdr:to>
      <xdr:col>23</xdr:col>
      <xdr:colOff>211666</xdr:colOff>
      <xdr:row>36</xdr:row>
      <xdr:rowOff>55740</xdr:rowOff>
    </xdr:to>
    <xdr:graphicFrame macro="">
      <xdr:nvGraphicFramePr>
        <xdr:cNvPr id="5" name="Chart 4">
          <a:extLst>
            <a:ext uri="{FF2B5EF4-FFF2-40B4-BE49-F238E27FC236}">
              <a16:creationId xmlns:a16="http://schemas.microsoft.com/office/drawing/2014/main" id="{FB258794-8318-4A76-98B0-43D740F7C8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793750</xdr:colOff>
      <xdr:row>38</xdr:row>
      <xdr:rowOff>95249</xdr:rowOff>
    </xdr:from>
    <xdr:to>
      <xdr:col>20</xdr:col>
      <xdr:colOff>95250</xdr:colOff>
      <xdr:row>58</xdr:row>
      <xdr:rowOff>74082</xdr:rowOff>
    </xdr:to>
    <xdr:graphicFrame macro="">
      <xdr:nvGraphicFramePr>
        <xdr:cNvPr id="6" name="Chart 5">
          <a:extLst>
            <a:ext uri="{FF2B5EF4-FFF2-40B4-BE49-F238E27FC236}">
              <a16:creationId xmlns:a16="http://schemas.microsoft.com/office/drawing/2014/main" id="{3EFFA100-1EB9-45BD-8B5E-1C53CA30B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C907-7D08-42A7-A596-75E455235340}">
  <dimension ref="A1:L45"/>
  <sheetViews>
    <sheetView workbookViewId="0">
      <selection activeCell="B36" sqref="B36"/>
    </sheetView>
  </sheetViews>
  <sheetFormatPr defaultRowHeight="14.6" x14ac:dyDescent="0.4"/>
  <cols>
    <col min="1" max="1" width="4.84375" customWidth="1"/>
    <col min="2" max="2" width="19.3828125" customWidth="1"/>
    <col min="3" max="3" width="11.15234375" customWidth="1"/>
    <col min="4" max="4" width="5.23046875" customWidth="1"/>
    <col min="5" max="5" width="17.15234375" customWidth="1"/>
    <col min="6" max="6" width="4.69140625" customWidth="1"/>
    <col min="7" max="7" width="4.3828125" customWidth="1"/>
    <col min="8" max="8" width="12.61328125" customWidth="1"/>
    <col min="9" max="9" width="4.921875" customWidth="1"/>
    <col min="10" max="10" width="20.921875" customWidth="1"/>
    <col min="12" max="12" width="5.4609375" customWidth="1"/>
  </cols>
  <sheetData>
    <row r="1" spans="1:12" ht="22.75" x14ac:dyDescent="0.55000000000000004">
      <c r="A1" s="114" t="s">
        <v>47</v>
      </c>
    </row>
    <row r="3" spans="1:12" ht="17.600000000000001" x14ac:dyDescent="0.4">
      <c r="A3" s="73" t="s">
        <v>18</v>
      </c>
      <c r="B3" s="8"/>
      <c r="C3" s="8"/>
      <c r="D3" s="8"/>
    </row>
    <row r="5" spans="1:12" ht="15.45" x14ac:dyDescent="0.4">
      <c r="B5" s="113" t="s">
        <v>19</v>
      </c>
    </row>
    <row r="6" spans="1:12" x14ac:dyDescent="0.4">
      <c r="B6" s="8" t="s">
        <v>48</v>
      </c>
      <c r="C6" s="8"/>
      <c r="D6" s="8"/>
      <c r="E6" s="8" t="s">
        <v>76</v>
      </c>
      <c r="F6" s="8"/>
      <c r="G6" s="8"/>
      <c r="H6" s="8" t="s">
        <v>20</v>
      </c>
      <c r="I6" s="8"/>
      <c r="J6" s="8"/>
      <c r="K6" s="8" t="s">
        <v>74</v>
      </c>
    </row>
    <row r="7" spans="1:12" x14ac:dyDescent="0.4">
      <c r="B7" s="111" t="s">
        <v>77</v>
      </c>
      <c r="C7" s="97">
        <v>2020</v>
      </c>
      <c r="E7" s="111" t="s">
        <v>75</v>
      </c>
      <c r="F7" s="102"/>
      <c r="H7" s="111" t="s">
        <v>75</v>
      </c>
      <c r="I7" s="106" t="s">
        <v>40</v>
      </c>
      <c r="K7" s="111" t="s">
        <v>21</v>
      </c>
      <c r="L7" s="102"/>
    </row>
    <row r="8" spans="1:12" ht="17.149999999999999" x14ac:dyDescent="0.55000000000000004">
      <c r="B8" s="111" t="s">
        <v>22</v>
      </c>
      <c r="C8" s="97">
        <v>40</v>
      </c>
      <c r="E8" s="111" t="s">
        <v>39</v>
      </c>
      <c r="F8" s="97">
        <v>0</v>
      </c>
      <c r="H8" s="112" t="s">
        <v>23</v>
      </c>
      <c r="I8" s="97">
        <f>C8/2/2</f>
        <v>10</v>
      </c>
      <c r="K8" s="111" t="s">
        <v>46</v>
      </c>
      <c r="L8" s="102"/>
    </row>
    <row r="9" spans="1:12" ht="15.9" x14ac:dyDescent="0.45">
      <c r="B9" s="111" t="s">
        <v>25</v>
      </c>
      <c r="C9" s="115">
        <f>(78)/0.02686/42/365</f>
        <v>0.18942898817234544</v>
      </c>
      <c r="H9" s="111" t="s">
        <v>15</v>
      </c>
      <c r="I9" s="97">
        <v>0.47</v>
      </c>
      <c r="K9" s="111" t="s">
        <v>46</v>
      </c>
      <c r="L9" s="102"/>
    </row>
    <row r="10" spans="1:12" x14ac:dyDescent="0.4">
      <c r="H10" t="s">
        <v>49</v>
      </c>
    </row>
    <row r="11" spans="1:12" x14ac:dyDescent="0.4">
      <c r="H11" t="s">
        <v>73</v>
      </c>
    </row>
    <row r="12" spans="1:12" x14ac:dyDescent="0.4">
      <c r="H12" t="s">
        <v>84</v>
      </c>
    </row>
    <row r="13" spans="1:12" x14ac:dyDescent="0.4">
      <c r="H13" t="s">
        <v>83</v>
      </c>
    </row>
    <row r="14" spans="1:12" ht="17.149999999999999" x14ac:dyDescent="0.55000000000000004">
      <c r="H14" t="s">
        <v>72</v>
      </c>
    </row>
    <row r="16" spans="1:12" ht="15.45" x14ac:dyDescent="0.4">
      <c r="B16" s="113" t="s">
        <v>24</v>
      </c>
    </row>
    <row r="17" spans="1:5" ht="15.9" x14ac:dyDescent="0.4">
      <c r="B17" s="103" t="s">
        <v>89</v>
      </c>
      <c r="C17" s="104">
        <v>8472</v>
      </c>
      <c r="D17" s="108"/>
    </row>
    <row r="18" spans="1:5" ht="15.9" x14ac:dyDescent="0.4">
      <c r="B18" s="103" t="s">
        <v>81</v>
      </c>
      <c r="C18" s="105">
        <f>540423/193000</f>
        <v>2.800119170984456</v>
      </c>
      <c r="D18" s="108"/>
    </row>
    <row r="19" spans="1:5" ht="15.9" x14ac:dyDescent="0.4">
      <c r="B19" s="118" t="s">
        <v>88</v>
      </c>
      <c r="C19" s="119">
        <f>C17/C18</f>
        <v>3025.5855135699258</v>
      </c>
      <c r="D19" s="108"/>
    </row>
    <row r="20" spans="1:5" ht="43.75" x14ac:dyDescent="0.4">
      <c r="B20" s="122" t="s">
        <v>78</v>
      </c>
      <c r="C20" s="101">
        <v>0.25</v>
      </c>
      <c r="D20" s="99">
        <v>40</v>
      </c>
    </row>
    <row r="21" spans="1:5" ht="43.75" x14ac:dyDescent="0.4">
      <c r="B21" s="120" t="s">
        <v>79</v>
      </c>
      <c r="C21" s="121">
        <v>5.0000000000000001E-3</v>
      </c>
      <c r="D21" s="108"/>
    </row>
    <row r="22" spans="1:5" x14ac:dyDescent="0.4">
      <c r="B22" s="103" t="s">
        <v>26</v>
      </c>
      <c r="C22" s="106">
        <v>200</v>
      </c>
      <c r="D22" s="108"/>
    </row>
    <row r="23" spans="1:5" ht="29.15" x14ac:dyDescent="0.4">
      <c r="B23" s="95" t="s">
        <v>27</v>
      </c>
      <c r="C23" s="107">
        <v>2.5000000000000001E-2</v>
      </c>
      <c r="D23" s="106">
        <v>40</v>
      </c>
    </row>
    <row r="24" spans="1:5" x14ac:dyDescent="0.4">
      <c r="B24" s="93"/>
      <c r="C24" s="108"/>
      <c r="D24" s="108"/>
    </row>
    <row r="25" spans="1:5" ht="17.600000000000001" x14ac:dyDescent="0.4">
      <c r="A25" s="94" t="s">
        <v>42</v>
      </c>
      <c r="C25" s="108"/>
      <c r="D25" s="108"/>
    </row>
    <row r="26" spans="1:5" s="72" customFormat="1" ht="63.45" x14ac:dyDescent="0.4">
      <c r="B26" s="98" t="s">
        <v>28</v>
      </c>
      <c r="C26" s="142">
        <v>0.23599999999999999</v>
      </c>
      <c r="D26" s="108"/>
    </row>
    <row r="27" spans="1:5" ht="79.3" x14ac:dyDescent="0.4">
      <c r="B27" s="98" t="s">
        <v>29</v>
      </c>
      <c r="C27" s="143">
        <v>7.8E-2</v>
      </c>
      <c r="D27" s="106">
        <v>40</v>
      </c>
    </row>
    <row r="28" spans="1:5" ht="87.45" x14ac:dyDescent="0.4">
      <c r="B28" s="95" t="s">
        <v>82</v>
      </c>
      <c r="C28" s="99">
        <v>420</v>
      </c>
      <c r="D28" s="96">
        <v>0.1</v>
      </c>
      <c r="E28" s="96">
        <v>0.5</v>
      </c>
    </row>
    <row r="29" spans="1:5" ht="43.75" x14ac:dyDescent="0.4">
      <c r="B29" s="95" t="s">
        <v>85</v>
      </c>
      <c r="C29" s="106">
        <v>30</v>
      </c>
    </row>
    <row r="30" spans="1:5" ht="43.75" x14ac:dyDescent="0.4">
      <c r="B30" s="95" t="s">
        <v>62</v>
      </c>
      <c r="C30" s="106">
        <v>20</v>
      </c>
    </row>
    <row r="31" spans="1:5" ht="58.3" x14ac:dyDescent="0.4">
      <c r="B31" s="95" t="s">
        <v>105</v>
      </c>
      <c r="C31" s="100">
        <v>0.01</v>
      </c>
      <c r="D31" s="108"/>
    </row>
    <row r="32" spans="1:5" ht="43.75" x14ac:dyDescent="0.4">
      <c r="B32" s="95" t="s">
        <v>86</v>
      </c>
      <c r="C32" s="101">
        <v>0.1</v>
      </c>
      <c r="D32" s="108"/>
    </row>
    <row r="33" spans="1:5" x14ac:dyDescent="0.4">
      <c r="B33" s="93"/>
      <c r="C33" s="108"/>
      <c r="D33" s="108"/>
    </row>
    <row r="34" spans="1:5" ht="17.600000000000001" x14ac:dyDescent="0.4">
      <c r="A34" s="94" t="s">
        <v>43</v>
      </c>
      <c r="C34" s="109"/>
      <c r="D34" s="108"/>
    </row>
    <row r="35" spans="1:5" ht="55.5" customHeight="1" x14ac:dyDescent="0.4">
      <c r="B35" s="95" t="s">
        <v>107</v>
      </c>
      <c r="C35" s="141">
        <f>E35*D35</f>
        <v>212221.5</v>
      </c>
      <c r="D35" s="96">
        <v>1.5</v>
      </c>
      <c r="E35" s="145">
        <v>141481</v>
      </c>
    </row>
    <row r="36" spans="1:5" x14ac:dyDescent="0.4">
      <c r="B36" s="95" t="s">
        <v>16</v>
      </c>
      <c r="C36" s="96">
        <v>0.5</v>
      </c>
      <c r="D36" s="144">
        <v>2</v>
      </c>
    </row>
    <row r="37" spans="1:5" ht="29.15" x14ac:dyDescent="0.4">
      <c r="B37" s="95" t="s">
        <v>11</v>
      </c>
      <c r="C37" s="106">
        <v>12</v>
      </c>
      <c r="D37" s="108"/>
    </row>
    <row r="38" spans="1:5" x14ac:dyDescent="0.4">
      <c r="B38" s="95" t="s">
        <v>67</v>
      </c>
      <c r="C38" s="145">
        <v>20000</v>
      </c>
      <c r="D38" s="108"/>
    </row>
    <row r="39" spans="1:5" x14ac:dyDescent="0.4">
      <c r="C39" s="108"/>
      <c r="D39" s="108"/>
    </row>
    <row r="40" spans="1:5" ht="17.600000000000001" x14ac:dyDescent="0.4">
      <c r="A40" s="73" t="s">
        <v>44</v>
      </c>
      <c r="C40" s="110"/>
      <c r="D40" s="108"/>
    </row>
    <row r="41" spans="1:5" ht="29.15" x14ac:dyDescent="0.4">
      <c r="B41" s="95" t="s">
        <v>30</v>
      </c>
      <c r="C41" s="138">
        <v>0.1</v>
      </c>
      <c r="D41" s="108"/>
    </row>
    <row r="42" spans="1:5" ht="32.5" customHeight="1" x14ac:dyDescent="0.4">
      <c r="B42" s="95" t="s">
        <v>36</v>
      </c>
      <c r="C42" s="139">
        <f>0.0272</f>
        <v>2.7199999999999998E-2</v>
      </c>
      <c r="D42" s="108"/>
    </row>
    <row r="43" spans="1:5" ht="29.15" x14ac:dyDescent="0.4">
      <c r="B43" s="95" t="s">
        <v>45</v>
      </c>
      <c r="C43" s="140">
        <v>250</v>
      </c>
      <c r="D43" s="108"/>
    </row>
    <row r="44" spans="1:5" ht="87.45" x14ac:dyDescent="0.4">
      <c r="B44" s="95" t="s">
        <v>31</v>
      </c>
      <c r="C44" s="116" t="s">
        <v>80</v>
      </c>
      <c r="D44" s="108"/>
    </row>
    <row r="45" spans="1:5" ht="63.45" x14ac:dyDescent="0.4">
      <c r="B45" s="98" t="s">
        <v>37</v>
      </c>
      <c r="C45" s="140">
        <v>19</v>
      </c>
      <c r="D45" s="108"/>
    </row>
  </sheetData>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F281-A41D-4212-8E2F-78B4B3DEDD85}">
  <dimension ref="A1:AG54"/>
  <sheetViews>
    <sheetView tabSelected="1" topLeftCell="A3" zoomScale="50" zoomScaleNormal="50" workbookViewId="0">
      <selection activeCell="O5" sqref="O5"/>
    </sheetView>
  </sheetViews>
  <sheetFormatPr defaultRowHeight="14.6" x14ac:dyDescent="0.4"/>
  <cols>
    <col min="1" max="1" width="7.53515625" style="8" customWidth="1"/>
    <col min="2" max="2" width="7.53515625" style="8" hidden="1" customWidth="1"/>
    <col min="3" max="3" width="12.15234375" customWidth="1"/>
    <col min="4" max="4" width="14.53515625" customWidth="1"/>
    <col min="5" max="5" width="16.3828125" customWidth="1"/>
    <col min="6" max="6" width="11.53515625" customWidth="1"/>
    <col min="7" max="7" width="12.921875" customWidth="1"/>
    <col min="8" max="8" width="15.23046875" customWidth="1"/>
    <col min="9" max="9" width="15.07421875" customWidth="1"/>
    <col min="10" max="10" width="8.15234375" customWidth="1"/>
    <col min="11" max="11" width="13.23046875" customWidth="1"/>
    <col min="12" max="12" width="8.4609375" customWidth="1"/>
    <col min="13" max="13" width="14.07421875" customWidth="1"/>
    <col min="14" max="14" width="8.61328125" customWidth="1"/>
    <col min="15" max="15" width="12.61328125" customWidth="1"/>
    <col min="21" max="21" width="4.4609375" customWidth="1"/>
  </cols>
  <sheetData>
    <row r="1" spans="1:33" x14ac:dyDescent="0.4">
      <c r="A1" s="6"/>
      <c r="B1" s="6"/>
      <c r="C1" s="1"/>
    </row>
    <row r="2" spans="1:33" ht="26.15" x14ac:dyDescent="0.7">
      <c r="A2" s="7" t="s">
        <v>0</v>
      </c>
      <c r="B2" s="7"/>
    </row>
    <row r="3" spans="1:33" ht="15.9" x14ac:dyDescent="0.45">
      <c r="C3" s="77"/>
      <c r="D3" s="77"/>
      <c r="E3" s="78"/>
      <c r="F3" s="76"/>
      <c r="G3" s="76"/>
      <c r="H3" s="76"/>
      <c r="I3" s="76"/>
      <c r="J3" s="76"/>
      <c r="K3" s="76"/>
      <c r="L3" s="76"/>
      <c r="M3" s="76"/>
      <c r="N3" s="76"/>
      <c r="O3" s="76"/>
      <c r="P3" s="76"/>
      <c r="Q3" s="76"/>
      <c r="R3" s="76"/>
      <c r="S3" s="76"/>
      <c r="T3" s="76"/>
      <c r="U3" s="76"/>
      <c r="V3" s="76"/>
    </row>
    <row r="4" spans="1:33" ht="26.15" x14ac:dyDescent="0.7">
      <c r="C4" s="77"/>
      <c r="D4" s="77"/>
      <c r="E4" s="78"/>
      <c r="F4" s="76"/>
      <c r="G4" s="123"/>
      <c r="H4" s="123"/>
      <c r="I4" s="123"/>
      <c r="J4" s="123"/>
      <c r="K4" s="76"/>
      <c r="L4" s="76"/>
      <c r="M4" s="76"/>
      <c r="N4" s="76"/>
      <c r="O4" s="76"/>
      <c r="P4" s="76"/>
      <c r="Q4" s="76"/>
      <c r="R4" s="76"/>
      <c r="S4" s="76"/>
      <c r="T4" s="76"/>
      <c r="U4" s="76"/>
      <c r="V4" s="76"/>
    </row>
    <row r="5" spans="1:33" ht="26.15" x14ac:dyDescent="0.7">
      <c r="C5" s="77"/>
      <c r="D5" s="77"/>
      <c r="E5" s="78"/>
      <c r="F5" s="76"/>
      <c r="G5" s="124"/>
      <c r="H5" s="123"/>
      <c r="I5" s="123"/>
      <c r="J5" s="123"/>
      <c r="K5" s="76"/>
      <c r="L5" s="76"/>
      <c r="M5" s="76"/>
      <c r="N5" s="76"/>
      <c r="O5" s="76"/>
      <c r="P5" s="76"/>
      <c r="Q5" s="76"/>
      <c r="R5" s="76"/>
      <c r="S5" s="76"/>
      <c r="T5" s="76"/>
      <c r="U5" s="76"/>
      <c r="V5" s="76"/>
    </row>
    <row r="6" spans="1:33" ht="15.9" x14ac:dyDescent="0.45">
      <c r="C6" s="77"/>
      <c r="D6" s="77"/>
      <c r="E6" s="78"/>
      <c r="F6" s="76"/>
      <c r="G6" s="76"/>
      <c r="H6" s="76"/>
      <c r="I6" s="76"/>
      <c r="J6" s="76"/>
      <c r="K6" s="76"/>
      <c r="L6" s="76"/>
      <c r="M6" s="76"/>
      <c r="N6" s="76"/>
      <c r="O6" s="76"/>
      <c r="P6" s="76"/>
      <c r="Q6" s="76"/>
      <c r="R6" s="76"/>
      <c r="S6" s="76"/>
      <c r="T6" s="76"/>
      <c r="U6" s="76"/>
      <c r="V6" s="76"/>
    </row>
    <row r="7" spans="1:33" ht="15" thickBot="1" x14ac:dyDescent="0.45">
      <c r="F7" s="117"/>
      <c r="G7" s="117"/>
      <c r="H7" s="117"/>
      <c r="I7" s="117"/>
      <c r="J7" s="117"/>
    </row>
    <row r="8" spans="1:33" s="22" customFormat="1" ht="32.15" thickBot="1" x14ac:dyDescent="0.5">
      <c r="A8" s="23"/>
      <c r="B8" s="23"/>
      <c r="C8" s="9" t="s">
        <v>5</v>
      </c>
    </row>
    <row r="9" spans="1:33" s="4" customFormat="1" ht="19" customHeight="1" thickBot="1" x14ac:dyDescent="0.55000000000000004">
      <c r="A9" s="10"/>
      <c r="B9" s="89"/>
      <c r="C9" s="62">
        <f>'Data Entry'!C8</f>
        <v>40</v>
      </c>
      <c r="D9" s="205" t="s">
        <v>3</v>
      </c>
      <c r="E9" s="205"/>
      <c r="F9" s="206"/>
      <c r="G9" s="204" t="s">
        <v>32</v>
      </c>
      <c r="H9" s="205"/>
      <c r="I9" s="205"/>
      <c r="J9" s="204" t="s">
        <v>33</v>
      </c>
      <c r="K9" s="206"/>
      <c r="L9" s="204" t="s">
        <v>117</v>
      </c>
      <c r="M9" s="205"/>
      <c r="N9" s="205"/>
      <c r="O9" s="206"/>
      <c r="P9" s="202" t="s">
        <v>100</v>
      </c>
    </row>
    <row r="10" spans="1:33" s="2" customFormat="1" ht="63" customHeight="1" thickBot="1" x14ac:dyDescent="0.5">
      <c r="A10" s="11" t="s">
        <v>2</v>
      </c>
      <c r="B10" s="63"/>
      <c r="C10" s="24" t="s">
        <v>17</v>
      </c>
      <c r="D10" s="125" t="s">
        <v>87</v>
      </c>
      <c r="E10" s="157" t="s">
        <v>90</v>
      </c>
      <c r="F10" s="158" t="s">
        <v>99</v>
      </c>
      <c r="G10" s="157" t="s">
        <v>91</v>
      </c>
      <c r="H10" s="157" t="s">
        <v>96</v>
      </c>
      <c r="I10" s="157" t="s">
        <v>97</v>
      </c>
      <c r="J10" s="79" t="s">
        <v>95</v>
      </c>
      <c r="K10" s="159" t="s">
        <v>98</v>
      </c>
      <c r="L10" s="63" t="s">
        <v>93</v>
      </c>
      <c r="M10" s="125" t="s">
        <v>94</v>
      </c>
      <c r="N10" s="160" t="s">
        <v>92</v>
      </c>
      <c r="O10" s="189" t="s">
        <v>113</v>
      </c>
      <c r="P10" s="203"/>
      <c r="U10" s="5"/>
    </row>
    <row r="11" spans="1:33" s="3" customFormat="1" ht="15.9" x14ac:dyDescent="0.45">
      <c r="A11" s="12">
        <f>'Data Entry'!C7</f>
        <v>2020</v>
      </c>
      <c r="B11" s="90">
        <v>1</v>
      </c>
      <c r="C11" s="192">
        <f>'Data Entry'!C9</f>
        <v>0.18942898817234544</v>
      </c>
      <c r="D11" s="162">
        <f>'Data Entry'!C19</f>
        <v>3025.5855135699258</v>
      </c>
      <c r="E11" s="163">
        <f>D11/C11</f>
        <v>15972.135747339795</v>
      </c>
      <c r="F11" s="164">
        <f t="shared" ref="F11:F31" si="0">E11*C11</f>
        <v>3025.5855135699258</v>
      </c>
      <c r="G11" s="165">
        <f t="shared" ref="G11:G31" si="1">F11-F12</f>
        <v>82.637267939063804</v>
      </c>
      <c r="H11" s="193">
        <f>F11*'Data Entry'!$C$21*2</f>
        <v>30.255855135699257</v>
      </c>
      <c r="I11" s="165">
        <f>G11+H11</f>
        <v>112.89312307476305</v>
      </c>
      <c r="J11" s="169">
        <f>'Data Entry'!C18</f>
        <v>2.800119170984456</v>
      </c>
      <c r="K11" s="170">
        <f>'Data Entry'!C17</f>
        <v>8472</v>
      </c>
      <c r="L11" s="171">
        <f>'Data Entry'!C22</f>
        <v>200</v>
      </c>
      <c r="M11" s="172">
        <f>'Data Entry'!$C$23*2</f>
        <v>0.05</v>
      </c>
      <c r="N11" s="173">
        <f t="shared" ref="N11:N30" si="2">L$11*M11</f>
        <v>10</v>
      </c>
      <c r="O11" s="173">
        <f>L11-N11</f>
        <v>190</v>
      </c>
      <c r="P11" s="174">
        <f t="shared" ref="P11:P32" si="3">N11+H11+G11</f>
        <v>122.89312307476305</v>
      </c>
      <c r="U11" s="13"/>
      <c r="AF11" s="156"/>
      <c r="AG11" s="155"/>
    </row>
    <row r="12" spans="1:33" s="3" customFormat="1" ht="15.9" x14ac:dyDescent="0.45">
      <c r="A12" s="12">
        <f t="shared" ref="A12:A36" si="4">A11+2</f>
        <v>2022</v>
      </c>
      <c r="B12" s="36">
        <f t="shared" ref="B12:B32" si="5">B11+1</f>
        <v>2</v>
      </c>
      <c r="C12" s="161">
        <f>IF('Data Entry'!$I$7="YES",C$11-(C$11/(1+EXP(-'Data Entry'!$I$9*((A12-'Data Entry'!$C$7)/2-'Data Entry'!$I$8)))), C11-($C$11-'Data Entry'!$F$8)/'Data Entry'!$C$8*2)</f>
        <v>0.18671188391754676</v>
      </c>
      <c r="D12" s="84"/>
      <c r="E12" s="166">
        <f>E11-((E$11*'Data Entry'!C$20/('Data Entry'!D$20-2))*2)</f>
        <v>15761.976066453744</v>
      </c>
      <c r="F12" s="164">
        <f>E12*C12</f>
        <v>2942.9482456308619</v>
      </c>
      <c r="G12" s="165">
        <f t="shared" si="1"/>
        <v>64.015720932592558</v>
      </c>
      <c r="H12" s="165">
        <f>F12*'Data Entry'!$C$21*2</f>
        <v>29.429482456308619</v>
      </c>
      <c r="I12" s="165">
        <f>I11+G12+H12</f>
        <v>206.33832646366423</v>
      </c>
      <c r="J12" s="175"/>
      <c r="K12" s="164">
        <f>'Data Entry'!C$18*(F12)</f>
        <v>8240.6058018060485</v>
      </c>
      <c r="L12" s="175"/>
      <c r="M12" s="176">
        <f>M11</f>
        <v>0.05</v>
      </c>
      <c r="N12" s="173">
        <f t="shared" si="2"/>
        <v>10</v>
      </c>
      <c r="O12" s="173">
        <f>O11-N11</f>
        <v>180</v>
      </c>
      <c r="P12" s="174">
        <f t="shared" si="3"/>
        <v>103.44520338890118</v>
      </c>
      <c r="U12" s="13"/>
      <c r="AF12" s="156"/>
      <c r="AG12" s="155"/>
    </row>
    <row r="13" spans="1:33" s="3" customFormat="1" ht="15.9" x14ac:dyDescent="0.45">
      <c r="A13" s="12">
        <f t="shared" si="4"/>
        <v>2024</v>
      </c>
      <c r="B13" s="36">
        <f t="shared" si="5"/>
        <v>3</v>
      </c>
      <c r="C13" s="161">
        <f>IF('Data Entry'!$I$7="YES",C$11-(C$11/(1+EXP(-'Data Entry'!$I$9*((A13-'Data Entry'!$C$7)/2-'Data Entry'!$I$8)))), C12-($C$11-'Data Entry'!$F$8)/'Data Entry'!$C$8*2)</f>
        <v>0.18511873168525572</v>
      </c>
      <c r="D13" s="84"/>
      <c r="E13" s="163">
        <f>E12-((E$11*'Data Entry'!C$20/('Data Entry'!D$20-2))*2)</f>
        <v>15551.816385567694</v>
      </c>
      <c r="F13" s="164">
        <f>E13*C13</f>
        <v>2878.9325246982694</v>
      </c>
      <c r="G13" s="165">
        <f t="shared" si="1"/>
        <v>77.155015608288977</v>
      </c>
      <c r="H13" s="165">
        <f>F13*'Data Entry'!$C$21*2</f>
        <v>28.789325246982695</v>
      </c>
      <c r="I13" s="165">
        <f t="shared" ref="I13:I31" si="6">I12+G13+H13</f>
        <v>312.28266731893586</v>
      </c>
      <c r="J13" s="175"/>
      <c r="K13" s="164">
        <f>'Data Entry'!C$18*(F13)</f>
        <v>8061.3541543783049</v>
      </c>
      <c r="L13" s="175"/>
      <c r="M13" s="176">
        <f t="shared" ref="M13:M30" si="7">M12</f>
        <v>0.05</v>
      </c>
      <c r="N13" s="173">
        <f t="shared" si="2"/>
        <v>10</v>
      </c>
      <c r="O13" s="173">
        <f t="shared" ref="O13:O30" si="8">O12-N12</f>
        <v>170</v>
      </c>
      <c r="P13" s="174">
        <f t="shared" si="3"/>
        <v>115.94434085527168</v>
      </c>
      <c r="U13" s="13"/>
      <c r="AF13" s="156"/>
      <c r="AG13" s="155"/>
    </row>
    <row r="14" spans="1:33" s="3" customFormat="1" ht="15.9" x14ac:dyDescent="0.45">
      <c r="A14" s="12">
        <f t="shared" si="4"/>
        <v>2026</v>
      </c>
      <c r="B14" s="36">
        <f t="shared" si="5"/>
        <v>4</v>
      </c>
      <c r="C14" s="161">
        <f>IF('Data Entry'!$I$7="YES",C$11-(C$11/(1+EXP(-'Data Entry'!$I$9*((A14-'Data Entry'!$C$7)/2-'Data Entry'!$I$8)))), C13-($C$11-'Data Entry'!$F$8)/'Data Entry'!$C$8*2)</f>
        <v>0.18262548582742</v>
      </c>
      <c r="D14" s="84"/>
      <c r="E14" s="163">
        <f>E13-((E$11*'Data Entry'!C$20/('Data Entry'!D$20-2))*2)</f>
        <v>15341.656704681644</v>
      </c>
      <c r="F14" s="164">
        <f t="shared" si="0"/>
        <v>2801.7775090899804</v>
      </c>
      <c r="G14" s="165">
        <f t="shared" si="1"/>
        <v>96.673606574585847</v>
      </c>
      <c r="H14" s="165">
        <f>F14*'Data Entry'!$C$21*2</f>
        <v>28.017775090899804</v>
      </c>
      <c r="I14" s="165">
        <f t="shared" si="6"/>
        <v>436.97404898442153</v>
      </c>
      <c r="J14" s="175"/>
      <c r="K14" s="164">
        <f>'Data Entry'!C$18*(F14)</f>
        <v>7845.3109160359299</v>
      </c>
      <c r="L14" s="175"/>
      <c r="M14" s="176">
        <f t="shared" si="7"/>
        <v>0.05</v>
      </c>
      <c r="N14" s="173">
        <f t="shared" si="2"/>
        <v>10</v>
      </c>
      <c r="O14" s="173">
        <f t="shared" si="8"/>
        <v>160</v>
      </c>
      <c r="P14" s="174">
        <f t="shared" si="3"/>
        <v>134.69138166548566</v>
      </c>
      <c r="U14" s="13"/>
      <c r="AF14" s="156"/>
      <c r="AG14" s="155"/>
    </row>
    <row r="15" spans="1:33" s="3" customFormat="1" ht="15.9" x14ac:dyDescent="0.45">
      <c r="A15" s="12">
        <f t="shared" si="4"/>
        <v>2028</v>
      </c>
      <c r="B15" s="36">
        <f t="shared" si="5"/>
        <v>5</v>
      </c>
      <c r="C15" s="161">
        <f>IF('Data Entry'!$I$7="YES",C$11-(C$11/(1+EXP(-'Data Entry'!$I$9*((A15-'Data Entry'!$C$7)/2-'Data Entry'!$I$8)))), C14-($C$11-'Data Entry'!$F$8)/'Data Entry'!$C$8*2)</f>
        <v>0.17877305188385417</v>
      </c>
      <c r="D15" s="84"/>
      <c r="E15" s="163">
        <f>E14-((E$11*'Data Entry'!C$20/('Data Entry'!D$20-2))*2)</f>
        <v>15131.497023795593</v>
      </c>
      <c r="F15" s="164">
        <f t="shared" si="0"/>
        <v>2705.1039025153946</v>
      </c>
      <c r="G15" s="165">
        <f t="shared" si="1"/>
        <v>124.664419146613</v>
      </c>
      <c r="H15" s="165">
        <f>F15*'Data Entry'!$C$21*2</f>
        <v>27.051039025153948</v>
      </c>
      <c r="I15" s="165">
        <f t="shared" si="6"/>
        <v>588.68950715618848</v>
      </c>
      <c r="J15" s="175"/>
      <c r="K15" s="164">
        <f>'Data Entry'!C$18*(F15)</f>
        <v>7574.6132969382234</v>
      </c>
      <c r="L15" s="175"/>
      <c r="M15" s="176">
        <f t="shared" si="7"/>
        <v>0.05</v>
      </c>
      <c r="N15" s="173">
        <f t="shared" si="2"/>
        <v>10</v>
      </c>
      <c r="O15" s="173">
        <f t="shared" si="8"/>
        <v>150</v>
      </c>
      <c r="P15" s="174">
        <f t="shared" si="3"/>
        <v>161.71545817176695</v>
      </c>
      <c r="U15" s="13"/>
      <c r="AF15" s="156"/>
      <c r="AG15" s="155"/>
    </row>
    <row r="16" spans="1:33" s="3" customFormat="1" ht="15.9" x14ac:dyDescent="0.45">
      <c r="A16" s="12">
        <f t="shared" si="4"/>
        <v>2030</v>
      </c>
      <c r="B16" s="36">
        <f t="shared" si="5"/>
        <v>6</v>
      </c>
      <c r="C16" s="161">
        <f>IF('Data Entry'!$I$7="YES",C$11-(C$11/(1+EXP(-'Data Entry'!$I$9*((A16-'Data Entry'!$C$7)/2-'Data Entry'!$I$8)))), C15-($C$11-'Data Entry'!$F$8)/'Data Entry'!$C$8*2)</f>
        <v>0.17293620699454115</v>
      </c>
      <c r="D16" s="84"/>
      <c r="E16" s="163">
        <f>E15-((E$11*'Data Entry'!C$20/('Data Entry'!D$20-2))*2)</f>
        <v>14921.337342909543</v>
      </c>
      <c r="F16" s="164">
        <f t="shared" si="0"/>
        <v>2580.4394833687816</v>
      </c>
      <c r="G16" s="165">
        <f t="shared" si="1"/>
        <v>162.64716897898143</v>
      </c>
      <c r="H16" s="165">
        <f>F16*'Data Entry'!$C$21*2</f>
        <v>25.804394833687816</v>
      </c>
      <c r="I16" s="165">
        <f t="shared" si="6"/>
        <v>777.14107096885778</v>
      </c>
      <c r="J16" s="175"/>
      <c r="K16" s="164">
        <f>'Data Entry'!C$18*(F16)</f>
        <v>7225.5380669461501</v>
      </c>
      <c r="L16" s="175"/>
      <c r="M16" s="176">
        <f t="shared" si="7"/>
        <v>0.05</v>
      </c>
      <c r="N16" s="173">
        <f t="shared" si="2"/>
        <v>10</v>
      </c>
      <c r="O16" s="173">
        <f t="shared" si="8"/>
        <v>140</v>
      </c>
      <c r="P16" s="174">
        <f t="shared" si="3"/>
        <v>198.45156381266924</v>
      </c>
      <c r="U16" s="13"/>
      <c r="AF16" s="156"/>
    </row>
    <row r="17" spans="1:33" s="3" customFormat="1" ht="15.9" x14ac:dyDescent="0.45">
      <c r="A17" s="12">
        <f t="shared" si="4"/>
        <v>2032</v>
      </c>
      <c r="B17" s="36">
        <f t="shared" si="5"/>
        <v>7</v>
      </c>
      <c r="C17" s="161">
        <f>IF('Data Entry'!$I$7="YES",C$11-(C$11/(1+EXP(-'Data Entry'!$I$9*((A17-'Data Entry'!$C$7)/2-'Data Entry'!$I$8)))), C16-($C$11-'Data Entry'!$F$8)/'Data Entry'!$C$8*2)</f>
        <v>0.16435069781199541</v>
      </c>
      <c r="D17" s="84"/>
      <c r="E17" s="163">
        <f>E16-((E$11*'Data Entry'!C$20/('Data Entry'!D$20-2))*2)</f>
        <v>14711.177662023492</v>
      </c>
      <c r="F17" s="164">
        <f t="shared" si="0"/>
        <v>2417.7923143898001</v>
      </c>
      <c r="G17" s="165">
        <f t="shared" si="1"/>
        <v>209.91706333876573</v>
      </c>
      <c r="H17" s="165">
        <f>F17*'Data Entry'!$C$21*2</f>
        <v>24.177923143898003</v>
      </c>
      <c r="I17" s="165">
        <f t="shared" si="6"/>
        <v>1011.2360574515216</v>
      </c>
      <c r="J17" s="175"/>
      <c r="K17" s="164">
        <f>'Data Entry'!C$18*(F17)</f>
        <v>6770.1066109817566</v>
      </c>
      <c r="L17" s="175"/>
      <c r="M17" s="176">
        <f t="shared" si="7"/>
        <v>0.05</v>
      </c>
      <c r="N17" s="173">
        <f t="shared" si="2"/>
        <v>10</v>
      </c>
      <c r="O17" s="173">
        <f t="shared" si="8"/>
        <v>130</v>
      </c>
      <c r="P17" s="174">
        <f t="shared" si="3"/>
        <v>244.09498648266373</v>
      </c>
      <c r="U17" s="13"/>
      <c r="AF17" s="156"/>
      <c r="AG17" s="155"/>
    </row>
    <row r="18" spans="1:33" s="3" customFormat="1" ht="15.9" x14ac:dyDescent="0.45">
      <c r="A18" s="12">
        <f t="shared" si="4"/>
        <v>2034</v>
      </c>
      <c r="B18" s="36">
        <f t="shared" si="5"/>
        <v>8</v>
      </c>
      <c r="C18" s="161">
        <f>IF('Data Entry'!$I$7="YES",C$11-(C$11/(1+EXP(-'Data Entry'!$I$9*((A18-'Data Entry'!$C$7)/2-'Data Entry'!$I$8)))), C17-($C$11-'Data Entry'!$F$8)/'Data Entry'!$C$8*2)</f>
        <v>0.15225656943002089</v>
      </c>
      <c r="D18" s="84"/>
      <c r="E18" s="163">
        <f>E17-((E$11*'Data Entry'!C$20/('Data Entry'!D$20-2))*2)</f>
        <v>14501.017981137442</v>
      </c>
      <c r="F18" s="164">
        <f t="shared" si="0"/>
        <v>2207.8752510510344</v>
      </c>
      <c r="G18" s="165">
        <f t="shared" si="1"/>
        <v>261.1985348949388</v>
      </c>
      <c r="H18" s="165">
        <f>F18*'Data Entry'!$C$21*2</f>
        <v>22.078752510510345</v>
      </c>
      <c r="I18" s="165">
        <f t="shared" si="6"/>
        <v>1294.5133448569707</v>
      </c>
      <c r="J18" s="175"/>
      <c r="K18" s="164">
        <f>'Data Entry'!C$18*(F18)</f>
        <v>6182.3138176101202</v>
      </c>
      <c r="L18" s="175"/>
      <c r="M18" s="176">
        <f t="shared" si="7"/>
        <v>0.05</v>
      </c>
      <c r="N18" s="173">
        <f t="shared" si="2"/>
        <v>10</v>
      </c>
      <c r="O18" s="173">
        <f t="shared" si="8"/>
        <v>120</v>
      </c>
      <c r="P18" s="174">
        <f t="shared" si="3"/>
        <v>293.27728740544916</v>
      </c>
      <c r="U18" s="13"/>
      <c r="AG18" s="155"/>
    </row>
    <row r="19" spans="1:33" s="3" customFormat="1" ht="15.9" x14ac:dyDescent="0.45">
      <c r="A19" s="12">
        <f t="shared" si="4"/>
        <v>2036</v>
      </c>
      <c r="B19" s="36">
        <f t="shared" si="5"/>
        <v>9</v>
      </c>
      <c r="C19" s="161">
        <f>IF('Data Entry'!$I$7="YES",C$11-(C$11/(1+EXP(-'Data Entry'!$I$9*((A19-'Data Entry'!$C$7)/2-'Data Entry'!$I$8)))), C18-($C$11-'Data Entry'!$F$8)/'Data Entry'!$C$8*2)</f>
        <v>0.13621832049946583</v>
      </c>
      <c r="D19" s="84"/>
      <c r="E19" s="163">
        <f>E18-((E$11*'Data Entry'!C$20/('Data Entry'!D$20-2))*2)</f>
        <v>14290.858300251391</v>
      </c>
      <c r="F19" s="164">
        <f t="shared" si="0"/>
        <v>1946.6767161560956</v>
      </c>
      <c r="G19" s="165">
        <f t="shared" si="1"/>
        <v>305.26824289598903</v>
      </c>
      <c r="H19" s="165">
        <f>F19*'Data Entry'!$C$21*2</f>
        <v>19.466767161560956</v>
      </c>
      <c r="I19" s="165">
        <f t="shared" si="6"/>
        <v>1619.2483549145206</v>
      </c>
      <c r="J19" s="175"/>
      <c r="K19" s="164">
        <f>'Data Entry'!C$18*(F19)</f>
        <v>5450.9267926177499</v>
      </c>
      <c r="L19" s="175"/>
      <c r="M19" s="176">
        <f t="shared" si="7"/>
        <v>0.05</v>
      </c>
      <c r="N19" s="173">
        <f t="shared" si="2"/>
        <v>10</v>
      </c>
      <c r="O19" s="173">
        <f t="shared" si="8"/>
        <v>110</v>
      </c>
      <c r="P19" s="174">
        <f t="shared" si="3"/>
        <v>334.73501005754997</v>
      </c>
      <c r="U19" s="13"/>
      <c r="AG19" s="155"/>
    </row>
    <row r="20" spans="1:33" s="3" customFormat="1" ht="15.9" x14ac:dyDescent="0.45">
      <c r="A20" s="12">
        <f t="shared" si="4"/>
        <v>2038</v>
      </c>
      <c r="B20" s="36">
        <f t="shared" si="5"/>
        <v>10</v>
      </c>
      <c r="C20" s="161">
        <f>IF('Data Entry'!$I$7="YES",C$11-(C$11/(1+EXP(-'Data Entry'!$I$9*((A20-'Data Entry'!$C$7)/2-'Data Entry'!$I$8)))), C19-($C$11-'Data Entry'!$F$8)/'Data Entry'!$C$8*2)</f>
        <v>0.11657152231087875</v>
      </c>
      <c r="D20" s="84"/>
      <c r="E20" s="163">
        <f>E19-((E$11*'Data Entry'!C$20/('Data Entry'!D$20-2))*2)</f>
        <v>14080.698619365341</v>
      </c>
      <c r="F20" s="164">
        <f t="shared" si="0"/>
        <v>1641.4084732601066</v>
      </c>
      <c r="G20" s="165">
        <f t="shared" si="1"/>
        <v>327.6673949994813</v>
      </c>
      <c r="H20" s="165">
        <f>F20*'Data Entry'!$C$21*2</f>
        <v>16.414084732601065</v>
      </c>
      <c r="I20" s="165">
        <f t="shared" si="6"/>
        <v>1963.3298346466031</v>
      </c>
      <c r="J20" s="175"/>
      <c r="K20" s="164">
        <f>'Data Entry'!C$18*(F20)</f>
        <v>4596.1393333919514</v>
      </c>
      <c r="L20" s="175"/>
      <c r="M20" s="176">
        <f t="shared" si="7"/>
        <v>0.05</v>
      </c>
      <c r="N20" s="173">
        <f t="shared" si="2"/>
        <v>10</v>
      </c>
      <c r="O20" s="173">
        <f t="shared" si="8"/>
        <v>100</v>
      </c>
      <c r="P20" s="174">
        <f t="shared" si="3"/>
        <v>354.08147973208236</v>
      </c>
      <c r="U20" s="13"/>
      <c r="AG20" s="155"/>
    </row>
    <row r="21" spans="1:33" s="3" customFormat="1" ht="15.9" x14ac:dyDescent="0.45">
      <c r="A21" s="12">
        <f t="shared" si="4"/>
        <v>2040</v>
      </c>
      <c r="B21" s="36">
        <f t="shared" si="5"/>
        <v>11</v>
      </c>
      <c r="C21" s="161">
        <f>IF('Data Entry'!$I$7="YES",C$11-(C$11/(1+EXP(-'Data Entry'!$I$9*((A21-'Data Entry'!$C$7)/2-'Data Entry'!$I$8)))), C20-($C$11-'Data Entry'!$F$8)/'Data Entry'!$C$8*2)</f>
        <v>9.4714494086172718E-2</v>
      </c>
      <c r="D21" s="84"/>
      <c r="E21" s="163">
        <f>E20-((E$11*'Data Entry'!C$20/('Data Entry'!D$20-2))*2)</f>
        <v>13870.538938479291</v>
      </c>
      <c r="F21" s="164">
        <f t="shared" si="0"/>
        <v>1313.7410782606253</v>
      </c>
      <c r="G21" s="165">
        <f t="shared" si="1"/>
        <v>318.48046284583813</v>
      </c>
      <c r="H21" s="165">
        <f>F21*'Data Entry'!$C$21*2</f>
        <v>13.137410782606253</v>
      </c>
      <c r="I21" s="165">
        <f t="shared" si="6"/>
        <v>2294.9477082750477</v>
      </c>
      <c r="J21" s="175"/>
      <c r="K21" s="164">
        <f>'Data Entry'!C$18*(F21)</f>
        <v>3678.6315789473674</v>
      </c>
      <c r="L21" s="175"/>
      <c r="M21" s="176">
        <f t="shared" si="7"/>
        <v>0.05</v>
      </c>
      <c r="N21" s="173">
        <f t="shared" si="2"/>
        <v>10</v>
      </c>
      <c r="O21" s="173">
        <f t="shared" si="8"/>
        <v>90</v>
      </c>
      <c r="P21" s="174">
        <f t="shared" si="3"/>
        <v>341.61787362844439</v>
      </c>
      <c r="U21" s="13"/>
      <c r="AG21" s="155"/>
    </row>
    <row r="22" spans="1:33" s="3" customFormat="1" ht="15.9" x14ac:dyDescent="0.45">
      <c r="A22" s="12">
        <f t="shared" si="4"/>
        <v>2042</v>
      </c>
      <c r="B22" s="36">
        <f t="shared" si="5"/>
        <v>12</v>
      </c>
      <c r="C22" s="161">
        <f>IF('Data Entry'!$I$7="YES",C$11-(C$11/(1+EXP(-'Data Entry'!$I$9*((A22-'Data Entry'!$C$7)/2-'Data Entry'!$I$8)))), C21-($C$11-'Data Entry'!$F$8)/'Data Entry'!$C$8*2)</f>
        <v>7.2857465861466686E-2</v>
      </c>
      <c r="D22" s="84"/>
      <c r="E22" s="163">
        <f>E21-((E$11*'Data Entry'!C$20/('Data Entry'!D$20-2))*2)</f>
        <v>13660.37925759324</v>
      </c>
      <c r="F22" s="164">
        <f t="shared" si="0"/>
        <v>995.26061541478714</v>
      </c>
      <c r="G22" s="165">
        <f t="shared" si="1"/>
        <v>279.56545139136153</v>
      </c>
      <c r="H22" s="165">
        <f>F22*'Data Entry'!$C$21*2</f>
        <v>9.9526061541478708</v>
      </c>
      <c r="I22" s="165">
        <f t="shared" si="6"/>
        <v>2584.465765820557</v>
      </c>
      <c r="J22" s="175"/>
      <c r="K22" s="164">
        <f>'Data Entry'!C$18*(F22)</f>
        <v>2786.8483293487334</v>
      </c>
      <c r="L22" s="175"/>
      <c r="M22" s="176">
        <f t="shared" si="7"/>
        <v>0.05</v>
      </c>
      <c r="N22" s="173">
        <f t="shared" si="2"/>
        <v>10</v>
      </c>
      <c r="O22" s="173">
        <f t="shared" si="8"/>
        <v>80</v>
      </c>
      <c r="P22" s="174">
        <f t="shared" si="3"/>
        <v>299.51805754550941</v>
      </c>
      <c r="U22" s="13"/>
      <c r="AG22" s="155"/>
    </row>
    <row r="23" spans="1:33" s="3" customFormat="1" ht="15.9" x14ac:dyDescent="0.45">
      <c r="A23" s="12">
        <f t="shared" si="4"/>
        <v>2044</v>
      </c>
      <c r="B23" s="36">
        <f t="shared" si="5"/>
        <v>13</v>
      </c>
      <c r="C23" s="161">
        <f>IF('Data Entry'!$I$7="YES",C$11-(C$11/(1+EXP(-'Data Entry'!$I$9*((A23-'Data Entry'!$C$7)/2-'Data Entry'!$I$8)))), C22-($C$11-'Data Entry'!$F$8)/'Data Entry'!$C$8*2)</f>
        <v>5.3210667672879602E-2</v>
      </c>
      <c r="D23" s="84"/>
      <c r="E23" s="163">
        <f>E22-((E$11*'Data Entry'!C$20/('Data Entry'!D$20-2))*2)</f>
        <v>13450.21957670719</v>
      </c>
      <c r="F23" s="164">
        <f t="shared" si="0"/>
        <v>715.6951640234256</v>
      </c>
      <c r="G23" s="165">
        <f t="shared" si="1"/>
        <v>223.5301134025043</v>
      </c>
      <c r="H23" s="165">
        <f>F23*'Data Entry'!$C$21*2</f>
        <v>7.1569516402342561</v>
      </c>
      <c r="I23" s="165">
        <f t="shared" si="6"/>
        <v>2815.1528308632955</v>
      </c>
      <c r="J23" s="175"/>
      <c r="K23" s="164">
        <f>'Data Entry'!C$18*(F23)</f>
        <v>2004.0317493628588</v>
      </c>
      <c r="L23" s="175"/>
      <c r="M23" s="176">
        <f t="shared" si="7"/>
        <v>0.05</v>
      </c>
      <c r="N23" s="173">
        <f t="shared" si="2"/>
        <v>10</v>
      </c>
      <c r="O23" s="173">
        <f t="shared" si="8"/>
        <v>70</v>
      </c>
      <c r="P23" s="174">
        <f t="shared" si="3"/>
        <v>240.68706504273854</v>
      </c>
      <c r="U23" s="13"/>
      <c r="AG23" s="155"/>
    </row>
    <row r="24" spans="1:33" s="3" customFormat="1" ht="15.9" x14ac:dyDescent="0.45">
      <c r="A24" s="12">
        <f t="shared" si="4"/>
        <v>2046</v>
      </c>
      <c r="B24" s="36">
        <f t="shared" si="5"/>
        <v>14</v>
      </c>
      <c r="C24" s="161">
        <f>IF('Data Entry'!$I$7="YES",C$11-(C$11/(1+EXP(-'Data Entry'!$I$9*((A24-'Data Entry'!$C$7)/2-'Data Entry'!$I$8)))), C23-($C$11-'Data Entry'!$F$8)/'Data Entry'!$C$8*2)</f>
        <v>3.7172418742324548E-2</v>
      </c>
      <c r="D24" s="84"/>
      <c r="E24" s="163">
        <f>E23-((E$11*'Data Entry'!C$20/('Data Entry'!D$20-2))*2)</f>
        <v>13240.059895821139</v>
      </c>
      <c r="F24" s="164">
        <f t="shared" si="0"/>
        <v>492.16505062092131</v>
      </c>
      <c r="G24" s="165">
        <f t="shared" si="1"/>
        <v>165.3974296643915</v>
      </c>
      <c r="H24" s="165">
        <f>F24*'Data Entry'!$C$21*2</f>
        <v>4.9216505062092128</v>
      </c>
      <c r="I24" s="165">
        <f t="shared" si="6"/>
        <v>2985.471911033896</v>
      </c>
      <c r="J24" s="175"/>
      <c r="K24" s="164">
        <f>'Data Entry'!C$18*(F24)</f>
        <v>1378.120793532177</v>
      </c>
      <c r="L24" s="175"/>
      <c r="M24" s="176">
        <f t="shared" si="7"/>
        <v>0.05</v>
      </c>
      <c r="N24" s="173">
        <f t="shared" si="2"/>
        <v>10</v>
      </c>
      <c r="O24" s="173">
        <f t="shared" si="8"/>
        <v>60</v>
      </c>
      <c r="P24" s="174">
        <f t="shared" si="3"/>
        <v>180.3190801706007</v>
      </c>
      <c r="U24" s="13"/>
      <c r="AG24" s="155"/>
    </row>
    <row r="25" spans="1:33" s="3" customFormat="1" ht="15.9" x14ac:dyDescent="0.45">
      <c r="A25" s="12">
        <f t="shared" si="4"/>
        <v>2048</v>
      </c>
      <c r="B25" s="36">
        <f t="shared" si="5"/>
        <v>15</v>
      </c>
      <c r="C25" s="161">
        <f>IF('Data Entry'!$I$7="YES",C$11-(C$11/(1+EXP(-'Data Entry'!$I$9*((A25-'Data Entry'!$C$7)/2-'Data Entry'!$I$8)))), C24-($C$11-'Data Entry'!$F$8)/'Data Entry'!$C$8*2)</f>
        <v>2.5078290360350058E-2</v>
      </c>
      <c r="D25" s="84"/>
      <c r="E25" s="163">
        <f>E24-((E$11*'Data Entry'!C$20/('Data Entry'!D$20-2))*2)</f>
        <v>13029.900214935089</v>
      </c>
      <c r="F25" s="164">
        <f t="shared" si="0"/>
        <v>326.76762095652981</v>
      </c>
      <c r="G25" s="165">
        <f t="shared" si="1"/>
        <v>115.3344455722312</v>
      </c>
      <c r="H25" s="165">
        <f>F25*'Data Entry'!$C$21*2</f>
        <v>3.2676762095652983</v>
      </c>
      <c r="I25" s="165">
        <f t="shared" si="6"/>
        <v>3104.0740328156926</v>
      </c>
      <c r="J25" s="175"/>
      <c r="K25" s="164">
        <f>'Data Entry'!C$18*(F25)</f>
        <v>914.98827989736117</v>
      </c>
      <c r="L25" s="175"/>
      <c r="M25" s="176">
        <f t="shared" si="7"/>
        <v>0.05</v>
      </c>
      <c r="N25" s="173">
        <f t="shared" si="2"/>
        <v>10</v>
      </c>
      <c r="O25" s="173">
        <f t="shared" si="8"/>
        <v>50</v>
      </c>
      <c r="P25" s="174">
        <f t="shared" si="3"/>
        <v>128.60212178179651</v>
      </c>
      <c r="U25" s="13"/>
      <c r="AG25" s="155"/>
    </row>
    <row r="26" spans="1:33" s="3" customFormat="1" ht="15.9" x14ac:dyDescent="0.45">
      <c r="A26" s="12">
        <f t="shared" si="4"/>
        <v>2050</v>
      </c>
      <c r="B26" s="36">
        <f t="shared" si="5"/>
        <v>16</v>
      </c>
      <c r="C26" s="161">
        <f>IF('Data Entry'!$I$7="YES",C$11-(C$11/(1+EXP(-'Data Entry'!$I$9*((A26-'Data Entry'!$C$7)/2-'Data Entry'!$I$8)))), C25-($C$11-'Data Entry'!$F$8)/'Data Entry'!$C$8*2)</f>
        <v>1.6492781177804283E-2</v>
      </c>
      <c r="D26" s="167"/>
      <c r="E26" s="163">
        <f>E25-((E$11*'Data Entry'!C$20/('Data Entry'!D$20-2))*2)</f>
        <v>12819.740534049039</v>
      </c>
      <c r="F26" s="164">
        <f t="shared" si="0"/>
        <v>211.43317538429861</v>
      </c>
      <c r="G26" s="165">
        <f t="shared" si="1"/>
        <v>77.066285188414838</v>
      </c>
      <c r="H26" s="165">
        <f>F26*'Data Entry'!$C$21*2</f>
        <v>2.1143317538429862</v>
      </c>
      <c r="I26" s="165">
        <f t="shared" si="6"/>
        <v>3183.2546497579506</v>
      </c>
      <c r="J26" s="175"/>
      <c r="K26" s="164">
        <f>'Data Entry'!C$18*(F26)</f>
        <v>592.03808777569327</v>
      </c>
      <c r="L26" s="175"/>
      <c r="M26" s="176">
        <f t="shared" si="7"/>
        <v>0.05</v>
      </c>
      <c r="N26" s="173">
        <f t="shared" si="2"/>
        <v>10</v>
      </c>
      <c r="O26" s="173">
        <f t="shared" si="8"/>
        <v>40</v>
      </c>
      <c r="P26" s="174">
        <f t="shared" si="3"/>
        <v>89.180616942257828</v>
      </c>
      <c r="U26" s="13"/>
      <c r="AG26" s="155"/>
    </row>
    <row r="27" spans="1:33" s="3" customFormat="1" ht="15.9" x14ac:dyDescent="0.45">
      <c r="A27" s="12">
        <f t="shared" si="4"/>
        <v>2052</v>
      </c>
      <c r="B27" s="36">
        <f t="shared" si="5"/>
        <v>17</v>
      </c>
      <c r="C27" s="161">
        <f>IF('Data Entry'!$I$7="YES",C$11-(C$11/(1+EXP(-'Data Entry'!$I$9*((A27-'Data Entry'!$C$7)/2-'Data Entry'!$I$8)))), C26-($C$11-'Data Entry'!$F$8)/'Data Entry'!$C$8*2)</f>
        <v>1.0655936288491236E-2</v>
      </c>
      <c r="D27" s="84"/>
      <c r="E27" s="163">
        <f>E26-((E$11*'Data Entry'!C$20/('Data Entry'!D$20-2))*2)</f>
        <v>12609.580853162988</v>
      </c>
      <c r="F27" s="164">
        <f t="shared" si="0"/>
        <v>134.36689019588377</v>
      </c>
      <c r="G27" s="165">
        <f t="shared" si="1"/>
        <v>50.00739917457949</v>
      </c>
      <c r="H27" s="165">
        <f>F27*'Data Entry'!$C$21*2</f>
        <v>1.3436689019588377</v>
      </c>
      <c r="I27" s="165">
        <f t="shared" si="6"/>
        <v>3234.605717834489</v>
      </c>
      <c r="J27" s="175"/>
      <c r="K27" s="164">
        <f>'Data Entry'!C$18*(F27)</f>
        <v>376.24330518305749</v>
      </c>
      <c r="L27" s="175"/>
      <c r="M27" s="176">
        <f t="shared" si="7"/>
        <v>0.05</v>
      </c>
      <c r="N27" s="173">
        <f t="shared" si="2"/>
        <v>10</v>
      </c>
      <c r="O27" s="173">
        <f t="shared" si="8"/>
        <v>30</v>
      </c>
      <c r="P27" s="174">
        <f t="shared" si="3"/>
        <v>61.351068076538326</v>
      </c>
      <c r="U27" s="13"/>
      <c r="AG27" s="155"/>
    </row>
    <row r="28" spans="1:33" s="3" customFormat="1" ht="15.9" x14ac:dyDescent="0.45">
      <c r="A28" s="12">
        <f t="shared" si="4"/>
        <v>2054</v>
      </c>
      <c r="B28" s="36">
        <f t="shared" si="5"/>
        <v>18</v>
      </c>
      <c r="C28" s="161">
        <f>IF('Data Entry'!$I$7="YES",C$11-(C$11/(1+EXP(-'Data Entry'!$I$9*((A28-'Data Entry'!$C$7)/2-'Data Entry'!$I$8)))), C27-($C$11-'Data Entry'!$F$8)/'Data Entry'!$C$8*2)</f>
        <v>6.8035023449254384E-3</v>
      </c>
      <c r="D28" s="84"/>
      <c r="E28" s="163">
        <f>E27-((E$11*'Data Entry'!C$20/('Data Entry'!D$20-2))*2)</f>
        <v>12399.421172276938</v>
      </c>
      <c r="F28" s="164">
        <f t="shared" si="0"/>
        <v>84.359491021304279</v>
      </c>
      <c r="G28" s="165">
        <f t="shared" si="1"/>
        <v>31.820647605203526</v>
      </c>
      <c r="H28" s="165">
        <f>F28*'Data Entry'!$C$21*2</f>
        <v>0.84359491021304278</v>
      </c>
      <c r="I28" s="165">
        <f t="shared" si="6"/>
        <v>3267.2699603499059</v>
      </c>
      <c r="J28" s="175"/>
      <c r="K28" s="164">
        <f>'Data Entry'!C$18*(F28)</f>
        <v>236.2166280632452</v>
      </c>
      <c r="L28" s="175"/>
      <c r="M28" s="176">
        <f t="shared" si="7"/>
        <v>0.05</v>
      </c>
      <c r="N28" s="173">
        <f t="shared" si="2"/>
        <v>10</v>
      </c>
      <c r="O28" s="173">
        <f t="shared" si="8"/>
        <v>20</v>
      </c>
      <c r="P28" s="174">
        <f t="shared" si="3"/>
        <v>42.664242515416568</v>
      </c>
      <c r="U28" s="13"/>
      <c r="AG28" s="155"/>
    </row>
    <row r="29" spans="1:33" s="3" customFormat="1" ht="15.9" x14ac:dyDescent="0.45">
      <c r="A29" s="12">
        <f t="shared" si="4"/>
        <v>2056</v>
      </c>
      <c r="B29" s="36">
        <f t="shared" si="5"/>
        <v>19</v>
      </c>
      <c r="C29" s="161">
        <f>IF('Data Entry'!$I$7="YES",C$11-(C$11/(1+EXP(-'Data Entry'!$I$9*((A29-'Data Entry'!$C$7)/2-'Data Entry'!$I$8)))), C28-($C$11-'Data Entry'!$F$8)/'Data Entry'!$C$8*2)</f>
        <v>4.310256487089742E-3</v>
      </c>
      <c r="D29" s="84"/>
      <c r="E29" s="163">
        <f>E28-((E$11*'Data Entry'!C$20/('Data Entry'!D$20-2))*2)</f>
        <v>12189.261491390887</v>
      </c>
      <c r="F29" s="164">
        <f t="shared" si="0"/>
        <v>52.538843416100754</v>
      </c>
      <c r="G29" s="165">
        <f t="shared" si="1"/>
        <v>19.990374918111492</v>
      </c>
      <c r="H29" s="168">
        <f>F29*'Data Entry'!$C$21*2</f>
        <v>0.52538843416100756</v>
      </c>
      <c r="I29" s="165">
        <f t="shared" si="6"/>
        <v>3287.7857237021785</v>
      </c>
      <c r="J29" s="175"/>
      <c r="K29" s="164">
        <f>'Data Entry'!C$18*(F29)</f>
        <v>147.11502267077418</v>
      </c>
      <c r="L29" s="175"/>
      <c r="M29" s="176">
        <f t="shared" si="7"/>
        <v>0.05</v>
      </c>
      <c r="N29" s="173">
        <f t="shared" si="2"/>
        <v>10</v>
      </c>
      <c r="O29" s="173">
        <f t="shared" si="8"/>
        <v>10</v>
      </c>
      <c r="P29" s="174">
        <f t="shared" si="3"/>
        <v>30.515763352272501</v>
      </c>
      <c r="U29" s="13"/>
      <c r="AG29" s="155"/>
    </row>
    <row r="30" spans="1:33" s="3" customFormat="1" ht="15.9" x14ac:dyDescent="0.45">
      <c r="A30" s="12">
        <f t="shared" si="4"/>
        <v>2058</v>
      </c>
      <c r="B30" s="36">
        <f t="shared" si="5"/>
        <v>20</v>
      </c>
      <c r="C30" s="161">
        <f>IF('Data Entry'!$I$7="YES",C$11-(C$11/(1+EXP(-'Data Entry'!$I$9*((A30-'Data Entry'!$C$7)/2-'Data Entry'!$I$8)))), C29-($C$11-'Data Entry'!$F$8)/'Data Entry'!$C$8*2)</f>
        <v>2.7171042547986801E-3</v>
      </c>
      <c r="D30" s="84"/>
      <c r="E30" s="163">
        <f>E29-((E$11*'Data Entry'!C$20/('Data Entry'!D$20-2))*2)</f>
        <v>11979.101810504837</v>
      </c>
      <c r="F30" s="164">
        <f t="shared" si="0"/>
        <v>32.548468497989262</v>
      </c>
      <c r="G30" s="165">
        <f t="shared" si="1"/>
        <v>12.45441156801547</v>
      </c>
      <c r="H30" s="168">
        <f>F30*'Data Entry'!$C$21*2</f>
        <v>0.32548468497989264</v>
      </c>
      <c r="I30" s="165">
        <f t="shared" si="6"/>
        <v>3300.565619955174</v>
      </c>
      <c r="J30" s="175"/>
      <c r="K30" s="164">
        <f>'Data Entry'!C$18*(F30)</f>
        <v>91.139590627403379</v>
      </c>
      <c r="L30" s="175"/>
      <c r="M30" s="176">
        <f t="shared" si="7"/>
        <v>0.05</v>
      </c>
      <c r="N30" s="173">
        <f t="shared" si="2"/>
        <v>10</v>
      </c>
      <c r="O30" s="173">
        <f t="shared" si="8"/>
        <v>0</v>
      </c>
      <c r="P30" s="174">
        <f t="shared" si="3"/>
        <v>22.779896252995364</v>
      </c>
      <c r="U30" s="13"/>
      <c r="AG30" s="155"/>
    </row>
    <row r="31" spans="1:33" s="3" customFormat="1" ht="15.9" x14ac:dyDescent="0.45">
      <c r="A31" s="12">
        <f t="shared" si="4"/>
        <v>2060</v>
      </c>
      <c r="B31" s="36">
        <f t="shared" si="5"/>
        <v>21</v>
      </c>
      <c r="C31" s="161">
        <f>IF('Data Entry'!$I$7="YES",C$11-(C$11/(1+EXP(-'Data Entry'!$I$9*((A31-'Data Entry'!$C$7)/2-'Data Entry'!$I$8)))), C30-($C$11-'Data Entry'!$F$8)/'Data Entry'!$C$8*2)</f>
        <v>1.7073800439041387E-3</v>
      </c>
      <c r="D31" s="84"/>
      <c r="E31" s="163">
        <f>E30-((E$11*'Data Entry'!C$20/('Data Entry'!D$20-2))*2)</f>
        <v>11768.942129618787</v>
      </c>
      <c r="F31" s="164">
        <f t="shared" si="0"/>
        <v>20.094056929973792</v>
      </c>
      <c r="G31" s="165">
        <f t="shared" si="1"/>
        <v>20.094056929973792</v>
      </c>
      <c r="H31" s="168">
        <f>F31*'Data Entry'!$C$21*2</f>
        <v>0.20094056929973791</v>
      </c>
      <c r="I31" s="165">
        <f t="shared" si="6"/>
        <v>3320.8606174544475</v>
      </c>
      <c r="J31" s="175"/>
      <c r="K31" s="164">
        <f>'Data Entry'!C$18*(F31)</f>
        <v>56.265754032472678</v>
      </c>
      <c r="L31" s="175"/>
      <c r="M31" s="177"/>
      <c r="N31" s="173"/>
      <c r="O31" s="173"/>
      <c r="P31" s="174">
        <f t="shared" si="3"/>
        <v>20.294997499273531</v>
      </c>
      <c r="U31" s="13"/>
      <c r="AG31" s="155"/>
    </row>
    <row r="32" spans="1:33" s="3" customFormat="1" ht="15.9" x14ac:dyDescent="0.45">
      <c r="A32" s="12">
        <f t="shared" si="4"/>
        <v>2062</v>
      </c>
      <c r="B32" s="36">
        <f t="shared" si="5"/>
        <v>22</v>
      </c>
      <c r="C32" s="92"/>
      <c r="D32" s="84"/>
      <c r="E32" s="163"/>
      <c r="F32" s="164"/>
      <c r="G32" s="165"/>
      <c r="H32" s="165"/>
      <c r="I32" s="165"/>
      <c r="J32" s="175"/>
      <c r="K32" s="164"/>
      <c r="L32" s="175"/>
      <c r="M32" s="84"/>
      <c r="N32" s="173"/>
      <c r="O32" s="173"/>
      <c r="P32" s="174">
        <f t="shared" si="3"/>
        <v>0</v>
      </c>
      <c r="U32" s="13"/>
      <c r="AG32" s="155"/>
    </row>
    <row r="33" spans="1:33" s="3" customFormat="1" ht="15.9" x14ac:dyDescent="0.45">
      <c r="A33" s="12">
        <f t="shared" si="4"/>
        <v>2064</v>
      </c>
      <c r="B33" s="36"/>
      <c r="C33" s="92"/>
      <c r="D33" s="13"/>
      <c r="E33" s="25"/>
      <c r="F33" s="26"/>
      <c r="G33" s="27"/>
      <c r="H33" s="27"/>
      <c r="I33" s="27"/>
      <c r="J33" s="15"/>
      <c r="K33" s="26"/>
      <c r="L33" s="15"/>
      <c r="M33" s="13"/>
      <c r="N33" s="14"/>
      <c r="O33" s="14"/>
      <c r="P33" s="33"/>
      <c r="U33" s="13"/>
      <c r="AG33" s="155"/>
    </row>
    <row r="34" spans="1:33" s="3" customFormat="1" ht="15.9" x14ac:dyDescent="0.45">
      <c r="A34" s="12">
        <f t="shared" si="4"/>
        <v>2066</v>
      </c>
      <c r="B34" s="36"/>
      <c r="C34" s="92"/>
      <c r="D34" s="13"/>
      <c r="E34" s="25"/>
      <c r="F34" s="26"/>
      <c r="G34" s="27"/>
      <c r="H34" s="27"/>
      <c r="I34" s="27"/>
      <c r="J34" s="15"/>
      <c r="K34" s="26"/>
      <c r="L34" s="15"/>
      <c r="M34" s="13"/>
      <c r="N34" s="14"/>
      <c r="O34" s="14"/>
      <c r="P34" s="33"/>
      <c r="U34" s="13"/>
      <c r="AG34" s="155"/>
    </row>
    <row r="35" spans="1:33" s="3" customFormat="1" ht="15.9" x14ac:dyDescent="0.45">
      <c r="A35" s="12">
        <f t="shared" si="4"/>
        <v>2068</v>
      </c>
      <c r="B35" s="36"/>
      <c r="C35" s="92"/>
      <c r="D35" s="13"/>
      <c r="E35" s="25"/>
      <c r="F35" s="26"/>
      <c r="G35" s="27"/>
      <c r="H35" s="27"/>
      <c r="I35" s="27"/>
      <c r="J35" s="15"/>
      <c r="K35" s="26"/>
      <c r="L35" s="15"/>
      <c r="M35" s="13"/>
      <c r="N35" s="14"/>
      <c r="O35" s="14"/>
      <c r="P35" s="33"/>
      <c r="U35" s="13"/>
      <c r="AG35" s="155"/>
    </row>
    <row r="36" spans="1:33" s="3" customFormat="1" ht="16.3" thickBot="1" x14ac:dyDescent="0.5">
      <c r="A36" s="12">
        <f t="shared" si="4"/>
        <v>2070</v>
      </c>
      <c r="B36" s="90"/>
      <c r="C36" s="20"/>
      <c r="D36" s="13"/>
      <c r="E36" s="13"/>
      <c r="F36" s="14"/>
      <c r="G36" s="13"/>
      <c r="H36" s="13"/>
      <c r="I36" s="13"/>
      <c r="J36" s="15"/>
      <c r="K36" s="14"/>
      <c r="L36" s="15"/>
      <c r="M36" s="13"/>
      <c r="N36" s="14"/>
      <c r="O36" s="14"/>
      <c r="P36" s="20"/>
      <c r="U36" s="13"/>
      <c r="AG36" s="155"/>
    </row>
    <row r="37" spans="1:33" s="3" customFormat="1" ht="16.3" thickBot="1" x14ac:dyDescent="0.5">
      <c r="A37" s="16" t="s">
        <v>4</v>
      </c>
      <c r="B37" s="91"/>
      <c r="C37" s="21"/>
      <c r="D37" s="17"/>
      <c r="E37" s="17"/>
      <c r="F37" s="18"/>
      <c r="G37" s="59">
        <f>SUM(G11:G31)</f>
        <v>3025.5855135699262</v>
      </c>
      <c r="H37" s="59">
        <f>SUM(H11:H31)</f>
        <v>295.27510388452089</v>
      </c>
      <c r="I37" s="59"/>
      <c r="J37" s="19"/>
      <c r="K37" s="18"/>
      <c r="L37" s="19"/>
      <c r="M37" s="61">
        <f>SUM(M11:M36)</f>
        <v>1.0000000000000002</v>
      </c>
      <c r="N37" s="18">
        <f>SUM(N11:N36)</f>
        <v>200</v>
      </c>
      <c r="O37" s="18"/>
      <c r="P37" s="60">
        <f>SUM(P11:P31)</f>
        <v>3520.8606174544466</v>
      </c>
      <c r="U37" s="13"/>
    </row>
    <row r="38" spans="1:33" ht="15.9" x14ac:dyDescent="0.45">
      <c r="U38" s="13"/>
    </row>
    <row r="39" spans="1:33" ht="15.9" x14ac:dyDescent="0.45">
      <c r="U39" s="13"/>
    </row>
    <row r="47" spans="1:33" ht="18.899999999999999" thickBot="1" x14ac:dyDescent="0.55000000000000004">
      <c r="C47" s="4" t="s">
        <v>50</v>
      </c>
    </row>
    <row r="48" spans="1:33" ht="15" thickBot="1" x14ac:dyDescent="0.45">
      <c r="C48" s="40"/>
      <c r="D48" s="67"/>
      <c r="E48" s="67"/>
      <c r="F48" s="57" t="s">
        <v>14</v>
      </c>
      <c r="G48" s="57" t="s">
        <v>6</v>
      </c>
      <c r="H48" s="57" t="s">
        <v>7</v>
      </c>
      <c r="I48" s="57" t="s">
        <v>8</v>
      </c>
      <c r="J48" s="58" t="s">
        <v>10</v>
      </c>
    </row>
    <row r="49" spans="3:10" x14ac:dyDescent="0.4">
      <c r="C49" s="47">
        <v>2022</v>
      </c>
      <c r="D49" s="68"/>
      <c r="E49" s="68"/>
      <c r="F49" s="48">
        <f>9.1+4.1</f>
        <v>13.2</v>
      </c>
      <c r="G49" s="49">
        <v>537706</v>
      </c>
      <c r="H49" s="49">
        <v>193000</v>
      </c>
      <c r="I49" s="50">
        <f>H49/F49</f>
        <v>14621.212121212122</v>
      </c>
      <c r="J49" s="51">
        <f>G49/H49</f>
        <v>2.7860414507772022</v>
      </c>
    </row>
    <row r="50" spans="3:10" x14ac:dyDescent="0.4">
      <c r="C50" s="41">
        <v>2021</v>
      </c>
      <c r="D50" s="69"/>
      <c r="E50" s="69"/>
      <c r="F50" s="37">
        <f>8.9+4.1</f>
        <v>13</v>
      </c>
      <c r="G50" s="38">
        <v>539610</v>
      </c>
      <c r="H50" s="38">
        <v>193000</v>
      </c>
      <c r="I50" s="39">
        <f>H50/F50</f>
        <v>14846.153846153846</v>
      </c>
      <c r="J50" s="42">
        <f>G50/H50</f>
        <v>2.7959067357512954</v>
      </c>
    </row>
    <row r="51" spans="3:10" x14ac:dyDescent="0.4">
      <c r="C51" s="41">
        <v>2020</v>
      </c>
      <c r="D51" s="69"/>
      <c r="E51" s="69"/>
      <c r="F51" s="37">
        <f>8.8+4</f>
        <v>12.8</v>
      </c>
      <c r="G51" s="38">
        <v>540423</v>
      </c>
      <c r="H51" s="38">
        <v>193000</v>
      </c>
      <c r="I51" s="39">
        <f>H51/F51</f>
        <v>15078.125</v>
      </c>
      <c r="J51" s="42">
        <f>G51/H51</f>
        <v>2.800119170984456</v>
      </c>
    </row>
    <row r="52" spans="3:10" x14ac:dyDescent="0.4">
      <c r="C52" s="41">
        <v>2019</v>
      </c>
      <c r="D52" s="69"/>
      <c r="E52" s="69"/>
      <c r="F52" s="37">
        <f>9.9+4.2</f>
        <v>14.100000000000001</v>
      </c>
      <c r="G52" s="38">
        <v>546192</v>
      </c>
      <c r="H52" s="38">
        <v>197000</v>
      </c>
      <c r="I52" s="39">
        <f>H52/F52</f>
        <v>13971.631205673757</v>
      </c>
      <c r="J52" s="42">
        <f>G52/H52</f>
        <v>2.7725482233502539</v>
      </c>
    </row>
    <row r="53" spans="3:10" ht="15" thickBot="1" x14ac:dyDescent="0.45">
      <c r="C53" s="52">
        <v>2018</v>
      </c>
      <c r="D53" s="70"/>
      <c r="E53" s="70"/>
      <c r="F53" s="53">
        <f>9.9+4.3</f>
        <v>14.2</v>
      </c>
      <c r="G53" s="54">
        <v>550379</v>
      </c>
      <c r="H53" s="54">
        <v>199000</v>
      </c>
      <c r="I53" s="55">
        <f>H53/F53</f>
        <v>14014.084507042255</v>
      </c>
      <c r="J53" s="56">
        <f>G53/H53</f>
        <v>2.7657236180904521</v>
      </c>
    </row>
    <row r="54" spans="3:10" ht="15" thickBot="1" x14ac:dyDescent="0.45">
      <c r="C54" s="43" t="s">
        <v>9</v>
      </c>
      <c r="D54" s="71"/>
      <c r="E54" s="71"/>
      <c r="F54" s="44"/>
      <c r="G54" s="44"/>
      <c r="H54" s="44"/>
      <c r="I54" s="45">
        <f>AVERAGE(I49:I53)</f>
        <v>14506.241336016397</v>
      </c>
      <c r="J54" s="46">
        <f>AVERAGE(J49:J53)</f>
        <v>2.7840678397907319</v>
      </c>
    </row>
  </sheetData>
  <mergeCells count="5">
    <mergeCell ref="P9:P10"/>
    <mergeCell ref="G9:I9"/>
    <mergeCell ref="J9:K9"/>
    <mergeCell ref="D9:F9"/>
    <mergeCell ref="L9:O9"/>
  </mergeCells>
  <pageMargins left="0.7" right="0.7" top="0.75" bottom="0.75" header="0.3" footer="0.3"/>
  <pageSetup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7015-BFD4-492A-8947-8FFC305C771C}">
  <dimension ref="A4:I38"/>
  <sheetViews>
    <sheetView topLeftCell="A53" zoomScale="70" zoomScaleNormal="70" workbookViewId="0">
      <selection activeCell="D11" sqref="D11"/>
    </sheetView>
  </sheetViews>
  <sheetFormatPr defaultRowHeight="14.6" x14ac:dyDescent="0.4"/>
  <cols>
    <col min="2" max="2" width="10.84375" bestFit="1" customWidth="1"/>
    <col min="3" max="3" width="10.84375" customWidth="1"/>
    <col min="4" max="4" width="9.84375" bestFit="1" customWidth="1"/>
    <col min="5" max="5" width="20.15234375" customWidth="1"/>
    <col min="6" max="6" width="11.69140625" customWidth="1"/>
    <col min="7" max="7" width="14.3828125" customWidth="1"/>
    <col min="8" max="8" width="12.69140625" customWidth="1"/>
    <col min="9" max="9" width="14.23046875" style="35" customWidth="1"/>
  </cols>
  <sheetData>
    <row r="4" spans="1:9" ht="18.45" x14ac:dyDescent="0.4">
      <c r="B4" s="75"/>
      <c r="C4" s="75"/>
      <c r="D4" s="75"/>
      <c r="E4" s="75"/>
      <c r="F4" s="75"/>
      <c r="G4" s="75"/>
      <c r="H4" s="76"/>
    </row>
    <row r="5" spans="1:9" ht="15.9" x14ac:dyDescent="0.45">
      <c r="B5" s="76"/>
      <c r="C5" s="76"/>
      <c r="D5" s="77"/>
      <c r="E5" s="77"/>
      <c r="F5" s="76"/>
      <c r="G5" s="76"/>
    </row>
    <row r="6" spans="1:9" ht="15.9" x14ac:dyDescent="0.45">
      <c r="B6" s="76"/>
      <c r="C6" s="76"/>
      <c r="D6" s="77"/>
      <c r="E6" s="77"/>
      <c r="F6" s="76"/>
      <c r="G6" s="76"/>
    </row>
    <row r="7" spans="1:9" x14ac:dyDescent="0.4">
      <c r="B7" s="76"/>
      <c r="C7" s="76"/>
      <c r="D7" s="76"/>
      <c r="E7" s="76"/>
      <c r="F7" s="76"/>
      <c r="G7" s="78"/>
    </row>
    <row r="8" spans="1:9" ht="16.3" thickBot="1" x14ac:dyDescent="0.5">
      <c r="D8" s="22"/>
      <c r="E8" s="22"/>
      <c r="F8" s="22"/>
      <c r="G8" s="2"/>
    </row>
    <row r="9" spans="1:9" ht="38.5" customHeight="1" thickBot="1" x14ac:dyDescent="0.55000000000000004">
      <c r="A9" s="207" t="s">
        <v>2</v>
      </c>
      <c r="B9" s="212" t="s">
        <v>51</v>
      </c>
      <c r="C9" s="214" t="s">
        <v>109</v>
      </c>
      <c r="D9" s="209" t="s">
        <v>66</v>
      </c>
      <c r="E9" s="209"/>
      <c r="F9" s="209"/>
      <c r="G9" s="202" t="s">
        <v>102</v>
      </c>
      <c r="H9" s="202" t="s">
        <v>101</v>
      </c>
      <c r="I9" s="202" t="s">
        <v>104</v>
      </c>
    </row>
    <row r="10" spans="1:9" ht="94" customHeight="1" thickBot="1" x14ac:dyDescent="0.55000000000000004">
      <c r="A10" s="208"/>
      <c r="B10" s="213"/>
      <c r="C10" s="215"/>
      <c r="D10" s="194" t="s">
        <v>100</v>
      </c>
      <c r="E10" s="194" t="s">
        <v>103</v>
      </c>
      <c r="F10" s="194" t="s">
        <v>52</v>
      </c>
      <c r="G10" s="203"/>
      <c r="H10" s="203"/>
      <c r="I10" s="203"/>
    </row>
    <row r="11" spans="1:9" ht="16" customHeight="1" x14ac:dyDescent="0.45">
      <c r="A11" s="12">
        <f>'Fuel Use, Tanks, &amp; Sites'!A11</f>
        <v>2020</v>
      </c>
      <c r="B11" s="178">
        <f>'Data Entry'!C$28*'Data Entry'!D$28</f>
        <v>42</v>
      </c>
      <c r="C11" s="178">
        <f>'Data Entry'!$C$28*'Data Entry'!$E$28</f>
        <v>210</v>
      </c>
      <c r="D11" s="179">
        <f>'Fuel Use, Tanks, &amp; Sites'!P11</f>
        <v>122.89312307476305</v>
      </c>
      <c r="E11" s="81">
        <f>'Data Entry'!C26</f>
        <v>0.23599999999999999</v>
      </c>
      <c r="F11" s="179">
        <f t="shared" ref="F11:F32" si="0">E11*D11</f>
        <v>29.002777045644081</v>
      </c>
      <c r="G11" s="180">
        <f>'Fuel Use, Tanks, &amp; Sites'!F12*'Data Entry'!$C$31*2</f>
        <v>58.858964912617239</v>
      </c>
      <c r="H11" s="181">
        <f>B11+F11+G11</f>
        <v>129.86174195826132</v>
      </c>
      <c r="I11" s="195">
        <f>(H11)*'Data Entry'!$C$32</f>
        <v>12.986174195826132</v>
      </c>
    </row>
    <row r="12" spans="1:9" ht="15.9" x14ac:dyDescent="0.45">
      <c r="A12" s="12">
        <f>'Fuel Use, Tanks, &amp; Sites'!A12</f>
        <v>2022</v>
      </c>
      <c r="B12" s="178">
        <f>2*(1-'Data Entry'!$D$28-'Data Entry'!$E$28)*'Data Entry'!$C$28/'Data Entry'!C$29</f>
        <v>11.2</v>
      </c>
      <c r="C12" s="182">
        <f>C11-(2*'Data Entry'!$C$28*'Data Entry'!$E$28/'Data Entry'!$C$30)</f>
        <v>189</v>
      </c>
      <c r="D12" s="179">
        <f>'Fuel Use, Tanks, &amp; Sites'!P12</f>
        <v>103.44520338890118</v>
      </c>
      <c r="E12" s="82">
        <f>$E$11-(('Data Entry'!$C$26-'Data Entry'!$C$27)*('Fuel Use, Tanks, &amp; Sites'!A12-'Data Entry'!$C$7)/'Data Entry'!$C$8)</f>
        <v>0.2281</v>
      </c>
      <c r="F12" s="179">
        <f t="shared" si="0"/>
        <v>23.595850893008357</v>
      </c>
      <c r="G12" s="180">
        <f>'Fuel Use, Tanks, &amp; Sites'!F13*'Data Entry'!$C$31*2</f>
        <v>57.578650493965391</v>
      </c>
      <c r="H12" s="181">
        <f t="shared" ref="H12:H31" si="1">B12+F12+G12</f>
        <v>92.374501386973748</v>
      </c>
      <c r="I12" s="196">
        <f>(H12)*'Data Entry'!$C$32</f>
        <v>9.2374501386973744</v>
      </c>
    </row>
    <row r="13" spans="1:9" ht="15.9" x14ac:dyDescent="0.45">
      <c r="A13" s="12">
        <f>'Fuel Use, Tanks, &amp; Sites'!A13</f>
        <v>2024</v>
      </c>
      <c r="B13" s="182">
        <f>2*(1-'Data Entry'!$D$28-'Data Entry'!$E$28)*'Data Entry'!$C$28/'Data Entry'!C$29</f>
        <v>11.2</v>
      </c>
      <c r="C13" s="182">
        <f>C12-(2*'Data Entry'!$C$28*'Data Entry'!$E$28/'Data Entry'!$C$30)</f>
        <v>168</v>
      </c>
      <c r="D13" s="179">
        <f>'Fuel Use, Tanks, &amp; Sites'!P13</f>
        <v>115.94434085527168</v>
      </c>
      <c r="E13" s="82">
        <f>$E$11-(('Data Entry'!$C$26-'Data Entry'!$C$27)*('Fuel Use, Tanks, &amp; Sites'!A13-'Data Entry'!$C$7)/'Data Entry'!$C$8)</f>
        <v>0.22019999999999998</v>
      </c>
      <c r="F13" s="179">
        <f t="shared" si="0"/>
        <v>25.530943856330822</v>
      </c>
      <c r="G13" s="180">
        <f>'Fuel Use, Tanks, &amp; Sites'!F14*'Data Entry'!$C$31*2</f>
        <v>56.035550181799607</v>
      </c>
      <c r="H13" s="181">
        <f t="shared" si="1"/>
        <v>92.766494038130432</v>
      </c>
      <c r="I13" s="196">
        <f>(H13)*'Data Entry'!$C$32</f>
        <v>9.2766494038130443</v>
      </c>
    </row>
    <row r="14" spans="1:9" ht="15.9" x14ac:dyDescent="0.45">
      <c r="A14" s="12">
        <f>'Fuel Use, Tanks, &amp; Sites'!A14</f>
        <v>2026</v>
      </c>
      <c r="B14" s="182">
        <f>2*(1-'Data Entry'!$D$28-'Data Entry'!$E$28)*'Data Entry'!$C$28/'Data Entry'!C$29</f>
        <v>11.2</v>
      </c>
      <c r="C14" s="182">
        <f>C13-(2*'Data Entry'!$C$28*'Data Entry'!$E$28/'Data Entry'!$C$30)</f>
        <v>147</v>
      </c>
      <c r="D14" s="179">
        <f>'Fuel Use, Tanks, &amp; Sites'!P14</f>
        <v>134.69138166548566</v>
      </c>
      <c r="E14" s="82">
        <f>$E$11-(('Data Entry'!$C$26-'Data Entry'!$C$27)*('Fuel Use, Tanks, &amp; Sites'!A14-'Data Entry'!$C$7)/'Data Entry'!$C$8)</f>
        <v>0.21229999999999999</v>
      </c>
      <c r="F14" s="179">
        <f t="shared" si="0"/>
        <v>28.594980327582604</v>
      </c>
      <c r="G14" s="180">
        <f>'Fuel Use, Tanks, &amp; Sites'!F15*'Data Entry'!$C$31*2</f>
        <v>54.102078050307895</v>
      </c>
      <c r="H14" s="181">
        <f t="shared" si="1"/>
        <v>93.897058377890502</v>
      </c>
      <c r="I14" s="196">
        <f>(H14)*'Data Entry'!$C$32</f>
        <v>9.3897058377890499</v>
      </c>
    </row>
    <row r="15" spans="1:9" ht="15.9" x14ac:dyDescent="0.45">
      <c r="A15" s="12">
        <f>'Fuel Use, Tanks, &amp; Sites'!A15</f>
        <v>2028</v>
      </c>
      <c r="B15" s="182">
        <f>2*(1-'Data Entry'!$D$28-'Data Entry'!$E$28)*'Data Entry'!$C$28/'Data Entry'!C$29</f>
        <v>11.2</v>
      </c>
      <c r="C15" s="182">
        <f>C14-(2*'Data Entry'!$C$28*'Data Entry'!$E$28/'Data Entry'!$C$30)</f>
        <v>126</v>
      </c>
      <c r="D15" s="179">
        <f>'Fuel Use, Tanks, &amp; Sites'!P15</f>
        <v>161.71545817176695</v>
      </c>
      <c r="E15" s="82">
        <f>$E$11-(('Data Entry'!$C$26-'Data Entry'!$C$27)*('Fuel Use, Tanks, &amp; Sites'!A15-'Data Entry'!$C$7)/'Data Entry'!$C$8)</f>
        <v>0.2044</v>
      </c>
      <c r="F15" s="179">
        <f t="shared" si="0"/>
        <v>33.054639650309163</v>
      </c>
      <c r="G15" s="180">
        <f>'Fuel Use, Tanks, &amp; Sites'!F16*'Data Entry'!$C$31*2</f>
        <v>51.608789667375632</v>
      </c>
      <c r="H15" s="181">
        <f t="shared" si="1"/>
        <v>95.86342931768479</v>
      </c>
      <c r="I15" s="196">
        <f>(H15)*'Data Entry'!$C$32</f>
        <v>9.5863429317684794</v>
      </c>
    </row>
    <row r="16" spans="1:9" ht="15.9" x14ac:dyDescent="0.45">
      <c r="A16" s="12">
        <f>'Fuel Use, Tanks, &amp; Sites'!A16</f>
        <v>2030</v>
      </c>
      <c r="B16" s="182">
        <f>2*(1-'Data Entry'!$D$28-'Data Entry'!$E$28)*'Data Entry'!$C$28/'Data Entry'!C$29</f>
        <v>11.2</v>
      </c>
      <c r="C16" s="182">
        <f>C15-(2*'Data Entry'!$C$28*'Data Entry'!$E$28/'Data Entry'!$C$30)</f>
        <v>105</v>
      </c>
      <c r="D16" s="179">
        <f>'Fuel Use, Tanks, &amp; Sites'!P16</f>
        <v>198.45156381266924</v>
      </c>
      <c r="E16" s="82">
        <f>$E$11-(('Data Entry'!$C$26-'Data Entry'!$C$27)*('Fuel Use, Tanks, &amp; Sites'!A16-'Data Entry'!$C$7)/'Data Entry'!$C$8)</f>
        <v>0.19650000000000001</v>
      </c>
      <c r="F16" s="179">
        <f t="shared" si="0"/>
        <v>38.995732289189505</v>
      </c>
      <c r="G16" s="180">
        <f>'Fuel Use, Tanks, &amp; Sites'!F17*'Data Entry'!$C$31*2</f>
        <v>48.355846287796005</v>
      </c>
      <c r="H16" s="181">
        <f t="shared" si="1"/>
        <v>98.55157857698552</v>
      </c>
      <c r="I16" s="196">
        <f>(H16)*'Data Entry'!$C$32</f>
        <v>9.8551578576985523</v>
      </c>
    </row>
    <row r="17" spans="1:9" ht="15.9" x14ac:dyDescent="0.45">
      <c r="A17" s="12">
        <f>'Fuel Use, Tanks, &amp; Sites'!A17</f>
        <v>2032</v>
      </c>
      <c r="B17" s="182">
        <f>2*(1-'Data Entry'!$D$28-'Data Entry'!$E$28)*'Data Entry'!$C$28/'Data Entry'!C$29</f>
        <v>11.2</v>
      </c>
      <c r="C17" s="182">
        <f>C16-(2*'Data Entry'!$C$28*'Data Entry'!$E$28/'Data Entry'!$C$30)</f>
        <v>84</v>
      </c>
      <c r="D17" s="179">
        <f>'Fuel Use, Tanks, &amp; Sites'!P17</f>
        <v>244.09498648266373</v>
      </c>
      <c r="E17" s="82">
        <f>$E$11-(('Data Entry'!$C$26-'Data Entry'!$C$27)*('Fuel Use, Tanks, &amp; Sites'!A17-'Data Entry'!$C$7)/'Data Entry'!$C$8)</f>
        <v>0.18859999999999999</v>
      </c>
      <c r="F17" s="179">
        <f t="shared" si="0"/>
        <v>46.036314450630378</v>
      </c>
      <c r="G17" s="180">
        <f>'Fuel Use, Tanks, &amp; Sites'!F18*'Data Entry'!$C$31*2</f>
        <v>44.15750502102069</v>
      </c>
      <c r="H17" s="181">
        <f t="shared" si="1"/>
        <v>101.39381947165106</v>
      </c>
      <c r="I17" s="196">
        <f>(H17)*'Data Entry'!$C$32</f>
        <v>10.139381947165106</v>
      </c>
    </row>
    <row r="18" spans="1:9" ht="15.9" x14ac:dyDescent="0.45">
      <c r="A18" s="12">
        <f>'Fuel Use, Tanks, &amp; Sites'!A18</f>
        <v>2034</v>
      </c>
      <c r="B18" s="182">
        <f>2*(1-'Data Entry'!$D$28-'Data Entry'!$E$28)*'Data Entry'!$C$28/'Data Entry'!C$29</f>
        <v>11.2</v>
      </c>
      <c r="C18" s="182">
        <f>C17-(2*'Data Entry'!$C$28*'Data Entry'!$E$28/'Data Entry'!$C$30)</f>
        <v>63</v>
      </c>
      <c r="D18" s="179">
        <f>'Fuel Use, Tanks, &amp; Sites'!P18</f>
        <v>293.27728740544916</v>
      </c>
      <c r="E18" s="82">
        <f>$E$11-(('Data Entry'!$C$26-'Data Entry'!$C$27)*('Fuel Use, Tanks, &amp; Sites'!A18-'Data Entry'!$C$7)/'Data Entry'!$C$8)</f>
        <v>0.1807</v>
      </c>
      <c r="F18" s="179">
        <f t="shared" si="0"/>
        <v>52.995205834164665</v>
      </c>
      <c r="G18" s="180">
        <f>'Fuel Use, Tanks, &amp; Sites'!F19*'Data Entry'!$C$31*2</f>
        <v>38.933534323121911</v>
      </c>
      <c r="H18" s="181">
        <f t="shared" si="1"/>
        <v>103.12874015728659</v>
      </c>
      <c r="I18" s="196">
        <f>(H18)*'Data Entry'!$C$32</f>
        <v>10.31287401572866</v>
      </c>
    </row>
    <row r="19" spans="1:9" ht="15.9" x14ac:dyDescent="0.45">
      <c r="A19" s="12">
        <f>'Fuel Use, Tanks, &amp; Sites'!A19</f>
        <v>2036</v>
      </c>
      <c r="B19" s="182">
        <f>2*(1-'Data Entry'!$D$28-'Data Entry'!$E$28)*'Data Entry'!$C$28/'Data Entry'!C$29</f>
        <v>11.2</v>
      </c>
      <c r="C19" s="182">
        <f>C18-(2*'Data Entry'!$C$28*'Data Entry'!$E$28/'Data Entry'!$C$30)</f>
        <v>42</v>
      </c>
      <c r="D19" s="179">
        <f>'Fuel Use, Tanks, &amp; Sites'!P19</f>
        <v>334.73501005754997</v>
      </c>
      <c r="E19" s="82">
        <f>$E$11-(('Data Entry'!$C$26-'Data Entry'!$C$27)*('Fuel Use, Tanks, &amp; Sites'!A19-'Data Entry'!$C$7)/'Data Entry'!$C$8)</f>
        <v>0.17280000000000001</v>
      </c>
      <c r="F19" s="179">
        <f t="shared" si="0"/>
        <v>57.842209737944636</v>
      </c>
      <c r="G19" s="180">
        <f>'Fuel Use, Tanks, &amp; Sites'!F20*'Data Entry'!$C$31*2</f>
        <v>32.82816946520213</v>
      </c>
      <c r="H19" s="181">
        <f t="shared" si="1"/>
        <v>101.87037920314677</v>
      </c>
      <c r="I19" s="196">
        <f>(H19)*'Data Entry'!$C$32</f>
        <v>10.187037920314678</v>
      </c>
    </row>
    <row r="20" spans="1:9" ht="15.9" x14ac:dyDescent="0.45">
      <c r="A20" s="12">
        <f>'Fuel Use, Tanks, &amp; Sites'!A20</f>
        <v>2038</v>
      </c>
      <c r="B20" s="182">
        <f>2*(1-'Data Entry'!$D$28-'Data Entry'!$E$28)*'Data Entry'!$C$28/'Data Entry'!C$29</f>
        <v>11.2</v>
      </c>
      <c r="C20" s="182">
        <f>C19-(2*'Data Entry'!$C$28*'Data Entry'!$E$28/'Data Entry'!$C$30)</f>
        <v>21</v>
      </c>
      <c r="D20" s="179">
        <f>'Fuel Use, Tanks, &amp; Sites'!P20</f>
        <v>354.08147973208236</v>
      </c>
      <c r="E20" s="82">
        <f>$E$11-(('Data Entry'!$C$26-'Data Entry'!$C$27)*('Fuel Use, Tanks, &amp; Sites'!A20-'Data Entry'!$C$7)/'Data Entry'!$C$8)</f>
        <v>0.16489999999999999</v>
      </c>
      <c r="F20" s="179">
        <f t="shared" si="0"/>
        <v>58.388036007820375</v>
      </c>
      <c r="G20" s="180">
        <f>'Fuel Use, Tanks, &amp; Sites'!F21*'Data Entry'!$C$31*2</f>
        <v>26.274821565212505</v>
      </c>
      <c r="H20" s="181">
        <f t="shared" si="1"/>
        <v>95.862857573032883</v>
      </c>
      <c r="I20" s="196">
        <f>(H20)*'Data Entry'!$C$32</f>
        <v>9.5862857573032887</v>
      </c>
    </row>
    <row r="21" spans="1:9" ht="15.9" x14ac:dyDescent="0.45">
      <c r="A21" s="12">
        <f>'Fuel Use, Tanks, &amp; Sites'!A21</f>
        <v>2040</v>
      </c>
      <c r="B21" s="182">
        <f>2*(1-'Data Entry'!$D$28-'Data Entry'!$E$28)*'Data Entry'!$C$28/'Data Entry'!C$29</f>
        <v>11.2</v>
      </c>
      <c r="C21" s="182">
        <f>C20-(2*'Data Entry'!$C$28*'Data Entry'!$E$28/'Data Entry'!$C$30)</f>
        <v>0</v>
      </c>
      <c r="D21" s="179">
        <f>'Fuel Use, Tanks, &amp; Sites'!P21</f>
        <v>341.61787362844439</v>
      </c>
      <c r="E21" s="82">
        <f>$E$11-(('Data Entry'!$C$26-'Data Entry'!$C$27)*('Fuel Use, Tanks, &amp; Sites'!A21-'Data Entry'!$C$7)/'Data Entry'!$C$8)</f>
        <v>0.157</v>
      </c>
      <c r="F21" s="179">
        <f t="shared" si="0"/>
        <v>53.634006159665766</v>
      </c>
      <c r="G21" s="180">
        <f>'Fuel Use, Tanks, &amp; Sites'!F22*'Data Entry'!$C$31*2</f>
        <v>19.905212308295742</v>
      </c>
      <c r="H21" s="181">
        <f t="shared" si="1"/>
        <v>84.739218467961507</v>
      </c>
      <c r="I21" s="196">
        <f>(H21)*'Data Entry'!$C$32</f>
        <v>8.4739218467961503</v>
      </c>
    </row>
    <row r="22" spans="1:9" ht="15.9" x14ac:dyDescent="0.45">
      <c r="A22" s="12">
        <f>'Fuel Use, Tanks, &amp; Sites'!A22</f>
        <v>2042</v>
      </c>
      <c r="B22" s="182">
        <f>2*(1-'Data Entry'!$D$28-'Data Entry'!$E$28)*'Data Entry'!$C$28/'Data Entry'!C$29</f>
        <v>11.2</v>
      </c>
      <c r="C22" s="182"/>
      <c r="D22" s="179">
        <f>'Fuel Use, Tanks, &amp; Sites'!P22</f>
        <v>299.51805754550941</v>
      </c>
      <c r="E22" s="82">
        <f>$E$11-(('Data Entry'!$C$26-'Data Entry'!$C$27)*('Fuel Use, Tanks, &amp; Sites'!A22-'Data Entry'!$C$7)/'Data Entry'!$C$8)</f>
        <v>0.14910000000000001</v>
      </c>
      <c r="F22" s="179">
        <f t="shared" si="0"/>
        <v>44.658142380035457</v>
      </c>
      <c r="G22" s="180">
        <f>'Fuel Use, Tanks, &amp; Sites'!F23*'Data Entry'!$C$31*2</f>
        <v>14.313903280468512</v>
      </c>
      <c r="H22" s="181">
        <f t="shared" si="1"/>
        <v>70.172045660503969</v>
      </c>
      <c r="I22" s="196">
        <f>(H22)*'Data Entry'!$C$32</f>
        <v>7.0172045660503972</v>
      </c>
    </row>
    <row r="23" spans="1:9" ht="15.9" x14ac:dyDescent="0.45">
      <c r="A23" s="12">
        <f>'Fuel Use, Tanks, &amp; Sites'!A23</f>
        <v>2044</v>
      </c>
      <c r="B23" s="182">
        <f>2*(1-'Data Entry'!$D$28-'Data Entry'!$E$28)*'Data Entry'!$C$28/'Data Entry'!C$29</f>
        <v>11.2</v>
      </c>
      <c r="C23" s="182"/>
      <c r="D23" s="179">
        <f>'Fuel Use, Tanks, &amp; Sites'!P23</f>
        <v>240.68706504273854</v>
      </c>
      <c r="E23" s="82">
        <f>$E$11-(('Data Entry'!$C$26-'Data Entry'!$C$27)*('Fuel Use, Tanks, &amp; Sites'!A23-'Data Entry'!$C$7)/'Data Entry'!$C$8)</f>
        <v>0.14119999999999999</v>
      </c>
      <c r="F23" s="179">
        <f t="shared" si="0"/>
        <v>33.985013584034682</v>
      </c>
      <c r="G23" s="180">
        <f>'Fuel Use, Tanks, &amp; Sites'!F24*'Data Entry'!$C$31*2</f>
        <v>9.8433010124184257</v>
      </c>
      <c r="H23" s="181">
        <f t="shared" si="1"/>
        <v>55.0283145964531</v>
      </c>
      <c r="I23" s="196">
        <f>(H23)*'Data Entry'!$C$32</f>
        <v>5.5028314596453107</v>
      </c>
    </row>
    <row r="24" spans="1:9" ht="15.9" x14ac:dyDescent="0.45">
      <c r="A24" s="12">
        <f>'Fuel Use, Tanks, &amp; Sites'!A24</f>
        <v>2046</v>
      </c>
      <c r="B24" s="182">
        <f>2*(1-'Data Entry'!$D$28-'Data Entry'!$E$28)*'Data Entry'!$C$28/'Data Entry'!C$29</f>
        <v>11.2</v>
      </c>
      <c r="C24" s="182"/>
      <c r="D24" s="179">
        <f>'Fuel Use, Tanks, &amp; Sites'!P24</f>
        <v>180.3190801706007</v>
      </c>
      <c r="E24" s="82">
        <f>$E$11-(('Data Entry'!$C$26-'Data Entry'!$C$27)*('Fuel Use, Tanks, &amp; Sites'!A24-'Data Entry'!$C$7)/'Data Entry'!$C$8)</f>
        <v>0.1333</v>
      </c>
      <c r="F24" s="179">
        <f t="shared" si="0"/>
        <v>24.036533386741073</v>
      </c>
      <c r="G24" s="180">
        <f>'Fuel Use, Tanks, &amp; Sites'!F25*'Data Entry'!$C$31*2</f>
        <v>6.5353524191305965</v>
      </c>
      <c r="H24" s="181">
        <f t="shared" si="1"/>
        <v>41.771885805871669</v>
      </c>
      <c r="I24" s="196">
        <f>(H24)*'Data Entry'!$C$32</f>
        <v>4.1771885805871669</v>
      </c>
    </row>
    <row r="25" spans="1:9" ht="15.9" x14ac:dyDescent="0.45">
      <c r="A25" s="12">
        <f>'Fuel Use, Tanks, &amp; Sites'!A25</f>
        <v>2048</v>
      </c>
      <c r="B25" s="182">
        <f>2*(1-'Data Entry'!$D$28-'Data Entry'!$E$28)*'Data Entry'!$C$28/'Data Entry'!C$29</f>
        <v>11.2</v>
      </c>
      <c r="C25" s="182"/>
      <c r="D25" s="179">
        <f>'Fuel Use, Tanks, &amp; Sites'!P25</f>
        <v>128.60212178179651</v>
      </c>
      <c r="E25" s="82">
        <f>$E$11-(('Data Entry'!$C$26-'Data Entry'!$C$27)*('Fuel Use, Tanks, &amp; Sites'!A25-'Data Entry'!$C$7)/'Data Entry'!$C$8)</f>
        <v>0.12540000000000001</v>
      </c>
      <c r="F25" s="179">
        <f t="shared" si="0"/>
        <v>16.126706071437283</v>
      </c>
      <c r="G25" s="180">
        <f>'Fuel Use, Tanks, &amp; Sites'!F26*'Data Entry'!$C$31*2</f>
        <v>4.2286635076859724</v>
      </c>
      <c r="H25" s="181">
        <f t="shared" si="1"/>
        <v>31.555369579123255</v>
      </c>
      <c r="I25" s="196">
        <f>(H25)*'Data Entry'!$C$32</f>
        <v>3.1555369579123256</v>
      </c>
    </row>
    <row r="26" spans="1:9" ht="15.9" x14ac:dyDescent="0.45">
      <c r="A26" s="12">
        <f>'Fuel Use, Tanks, &amp; Sites'!A26</f>
        <v>2050</v>
      </c>
      <c r="B26" s="182">
        <f>2*(1-'Data Entry'!$D$28-'Data Entry'!$E$28)*'Data Entry'!$C$28/'Data Entry'!C$29</f>
        <v>11.2</v>
      </c>
      <c r="C26" s="182"/>
      <c r="D26" s="179">
        <f>'Fuel Use, Tanks, &amp; Sites'!P26</f>
        <v>89.180616942257828</v>
      </c>
      <c r="E26" s="82">
        <f>$E$11-(('Data Entry'!$C$26-'Data Entry'!$C$27)*('Fuel Use, Tanks, &amp; Sites'!A26-'Data Entry'!$C$7)/'Data Entry'!$C$8)</f>
        <v>0.11750000000000001</v>
      </c>
      <c r="F26" s="179">
        <f t="shared" si="0"/>
        <v>10.478722490715295</v>
      </c>
      <c r="G26" s="180">
        <f>'Fuel Use, Tanks, &amp; Sites'!F27*'Data Entry'!$C$31*2</f>
        <v>2.6873378039176754</v>
      </c>
      <c r="H26" s="181">
        <f t="shared" si="1"/>
        <v>24.36606029463297</v>
      </c>
      <c r="I26" s="196">
        <f>(H26)*'Data Entry'!$C$32</f>
        <v>2.436606029463297</v>
      </c>
    </row>
    <row r="27" spans="1:9" ht="15.9" x14ac:dyDescent="0.45">
      <c r="A27" s="12">
        <f>'Fuel Use, Tanks, &amp; Sites'!A27</f>
        <v>2052</v>
      </c>
      <c r="B27" s="182"/>
      <c r="C27" s="182"/>
      <c r="D27" s="179">
        <f>'Fuel Use, Tanks, &amp; Sites'!P27</f>
        <v>61.351068076538326</v>
      </c>
      <c r="E27" s="82">
        <f>$E$11-(('Data Entry'!$C$26-'Data Entry'!$C$27)*('Fuel Use, Tanks, &amp; Sites'!A27-'Data Entry'!$C$7)/'Data Entry'!$C$8)</f>
        <v>0.1096</v>
      </c>
      <c r="F27" s="179">
        <f t="shared" si="0"/>
        <v>6.7240770611886003</v>
      </c>
      <c r="G27" s="180">
        <f>'Fuel Use, Tanks, &amp; Sites'!F28*'Data Entry'!$C$31*2</f>
        <v>1.6871898204260856</v>
      </c>
      <c r="H27" s="181">
        <f t="shared" si="1"/>
        <v>8.4112668816146865</v>
      </c>
      <c r="I27" s="196">
        <f>(H27)*'Data Entry'!$C$32</f>
        <v>0.84112668816146874</v>
      </c>
    </row>
    <row r="28" spans="1:9" ht="15.9" x14ac:dyDescent="0.45">
      <c r="A28" s="12">
        <f>'Fuel Use, Tanks, &amp; Sites'!A28</f>
        <v>2054</v>
      </c>
      <c r="B28" s="180"/>
      <c r="C28" s="180"/>
      <c r="D28" s="179">
        <f>'Fuel Use, Tanks, &amp; Sites'!P28</f>
        <v>42.664242515416568</v>
      </c>
      <c r="E28" s="82">
        <f>$E$11-(('Data Entry'!$C$26-'Data Entry'!$C$27)*('Fuel Use, Tanks, &amp; Sites'!A28-'Data Entry'!$C$7)/'Data Entry'!$C$8)</f>
        <v>0.10170000000000001</v>
      </c>
      <c r="F28" s="179">
        <f t="shared" si="0"/>
        <v>4.3389534638178651</v>
      </c>
      <c r="G28" s="180">
        <f>'Fuel Use, Tanks, &amp; Sites'!F29*'Data Entry'!$C$31*2</f>
        <v>1.0507768683220151</v>
      </c>
      <c r="H28" s="181">
        <f t="shared" si="1"/>
        <v>5.3897303321398802</v>
      </c>
      <c r="I28" s="196">
        <f>(H28)*'Data Entry'!$C$32</f>
        <v>0.53897303321398804</v>
      </c>
    </row>
    <row r="29" spans="1:9" ht="15.9" x14ac:dyDescent="0.45">
      <c r="A29" s="12">
        <f>'Fuel Use, Tanks, &amp; Sites'!A29</f>
        <v>2056</v>
      </c>
      <c r="B29" s="180"/>
      <c r="C29" s="180"/>
      <c r="D29" s="179">
        <f>'Fuel Use, Tanks, &amp; Sites'!P29</f>
        <v>30.515763352272501</v>
      </c>
      <c r="E29" s="82">
        <f>$E$11-(('Data Entry'!$C$26-'Data Entry'!$C$27)*('Fuel Use, Tanks, &amp; Sites'!A29-'Data Entry'!$C$7)/'Data Entry'!$C$8)</f>
        <v>9.3800000000000022E-2</v>
      </c>
      <c r="F29" s="179">
        <f t="shared" si="0"/>
        <v>2.8623786024431612</v>
      </c>
      <c r="G29" s="180">
        <f>'Fuel Use, Tanks, &amp; Sites'!F30*'Data Entry'!$C$31*2</f>
        <v>0.65096936995978527</v>
      </c>
      <c r="H29" s="181">
        <f t="shared" si="1"/>
        <v>3.5133479724029466</v>
      </c>
      <c r="I29" s="196">
        <f>(H29)*'Data Entry'!$C$32</f>
        <v>0.35133479724029471</v>
      </c>
    </row>
    <row r="30" spans="1:9" ht="15.9" x14ac:dyDescent="0.45">
      <c r="A30" s="12">
        <f>'Fuel Use, Tanks, &amp; Sites'!A30</f>
        <v>2058</v>
      </c>
      <c r="B30" s="180"/>
      <c r="C30" s="180"/>
      <c r="D30" s="179">
        <f>'Fuel Use, Tanks, &amp; Sites'!P30</f>
        <v>22.779896252995364</v>
      </c>
      <c r="E30" s="82">
        <f>$E$11-(('Data Entry'!$C$26-'Data Entry'!$C$27)*('Fuel Use, Tanks, &amp; Sites'!A30-'Data Entry'!$C$7)/'Data Entry'!$C$8)</f>
        <v>8.5900000000000032E-2</v>
      </c>
      <c r="F30" s="179">
        <f t="shared" si="0"/>
        <v>1.9567930881323026</v>
      </c>
      <c r="G30" s="180">
        <f>'Fuel Use, Tanks, &amp; Sites'!F31*'Data Entry'!$C$31*2</f>
        <v>0.40188113859947583</v>
      </c>
      <c r="H30" s="181">
        <f t="shared" si="1"/>
        <v>2.3586742267317784</v>
      </c>
      <c r="I30" s="196">
        <f>(H30)*'Data Entry'!$C$32</f>
        <v>0.23586742267317784</v>
      </c>
    </row>
    <row r="31" spans="1:9" ht="15.9" x14ac:dyDescent="0.45">
      <c r="A31" s="12">
        <f>'Fuel Use, Tanks, &amp; Sites'!A31</f>
        <v>2060</v>
      </c>
      <c r="B31" s="180"/>
      <c r="C31" s="180"/>
      <c r="D31" s="179">
        <f>'Fuel Use, Tanks, &amp; Sites'!P31</f>
        <v>20.294997499273531</v>
      </c>
      <c r="E31" s="82">
        <f>$E$11-(('Data Entry'!$C$26-'Data Entry'!$C$27)*('Fuel Use, Tanks, &amp; Sites'!A31-'Data Entry'!$C$7)/'Data Entry'!$C$8)</f>
        <v>7.8000000000000014E-2</v>
      </c>
      <c r="F31" s="179">
        <f t="shared" si="0"/>
        <v>1.5830098049433357</v>
      </c>
      <c r="G31" s="180">
        <f>'Fuel Use, Tanks, &amp; Sites'!F32*'Data Entry'!$C$31*2</f>
        <v>0</v>
      </c>
      <c r="H31" s="181">
        <f t="shared" si="1"/>
        <v>1.5830098049433357</v>
      </c>
      <c r="I31" s="196">
        <f>(H31)*'Data Entry'!$C$32</f>
        <v>0.15830098049433358</v>
      </c>
    </row>
    <row r="32" spans="1:9" ht="15.9" x14ac:dyDescent="0.45">
      <c r="A32" s="12">
        <f>'Fuel Use, Tanks, &amp; Sites'!A32</f>
        <v>2062</v>
      </c>
      <c r="B32" s="180"/>
      <c r="C32" s="180"/>
      <c r="D32" s="84"/>
      <c r="E32" s="83">
        <f>'Data Entry'!C27</f>
        <v>7.8E-2</v>
      </c>
      <c r="F32" s="179">
        <f t="shared" si="0"/>
        <v>0</v>
      </c>
      <c r="G32" s="180">
        <f>'Fuel Use, Tanks, &amp; Sites'!F33*'Data Entry'!$C$31*2</f>
        <v>0</v>
      </c>
      <c r="H32" s="181">
        <f>B32+F32</f>
        <v>0</v>
      </c>
      <c r="I32" s="183"/>
    </row>
    <row r="33" spans="1:9" ht="15.9" x14ac:dyDescent="0.45">
      <c r="A33" s="12">
        <f>'Fuel Use, Tanks, &amp; Sites'!A33</f>
        <v>2064</v>
      </c>
      <c r="B33" s="183"/>
      <c r="C33" s="183"/>
      <c r="D33" s="84"/>
      <c r="E33" s="84"/>
      <c r="F33" s="84"/>
      <c r="G33" s="183"/>
      <c r="H33" s="173"/>
      <c r="I33" s="183"/>
    </row>
    <row r="34" spans="1:9" ht="15.9" x14ac:dyDescent="0.45">
      <c r="A34" s="12">
        <f>'Fuel Use, Tanks, &amp; Sites'!A34</f>
        <v>2066</v>
      </c>
      <c r="B34" s="183"/>
      <c r="C34" s="183"/>
      <c r="D34" s="84"/>
      <c r="E34" s="84"/>
      <c r="F34" s="84"/>
      <c r="G34" s="183"/>
      <c r="H34" s="173"/>
      <c r="I34" s="183"/>
    </row>
    <row r="35" spans="1:9" ht="15.9" x14ac:dyDescent="0.45">
      <c r="A35" s="12">
        <f>'Fuel Use, Tanks, &amp; Sites'!A35</f>
        <v>2068</v>
      </c>
      <c r="B35" s="183"/>
      <c r="C35" s="183"/>
      <c r="D35" s="84"/>
      <c r="E35" s="84"/>
      <c r="F35" s="84"/>
      <c r="G35" s="183"/>
      <c r="H35" s="173"/>
      <c r="I35" s="183"/>
    </row>
    <row r="36" spans="1:9" ht="16.3" thickBot="1" x14ac:dyDescent="0.5">
      <c r="A36" s="12">
        <f>'Fuel Use, Tanks, &amp; Sites'!A36</f>
        <v>2070</v>
      </c>
      <c r="B36" s="183"/>
      <c r="C36" s="183"/>
      <c r="D36" s="84"/>
      <c r="E36" s="84"/>
      <c r="F36" s="84"/>
      <c r="G36" s="183"/>
      <c r="H36" s="173"/>
      <c r="I36" s="183"/>
    </row>
    <row r="37" spans="1:9" ht="16.3" thickBot="1" x14ac:dyDescent="0.5">
      <c r="A37" s="16" t="s">
        <v>4</v>
      </c>
      <c r="B37" s="184">
        <f>SUM(B11:B36)</f>
        <v>209.99999999999994</v>
      </c>
      <c r="C37" s="184"/>
      <c r="D37" s="185">
        <f>SUM(D11:D36)</f>
        <v>3520.8606174544466</v>
      </c>
      <c r="E37" s="186"/>
      <c r="F37" s="187">
        <f>SUM(F11:F36)</f>
        <v>594.42102618577962</v>
      </c>
      <c r="G37" s="184">
        <f>SUM(G11:G36)</f>
        <v>530.03849749764333</v>
      </c>
      <c r="H37" s="188">
        <f>SUM(H11:H36)</f>
        <v>1334.4595236834225</v>
      </c>
      <c r="I37" s="184">
        <f>SUM(I11:I36)</f>
        <v>133.44595236834226</v>
      </c>
    </row>
    <row r="38" spans="1:9" ht="16.3" thickBot="1" x14ac:dyDescent="0.5">
      <c r="B38" s="210">
        <f>SUM(B37:C37)</f>
        <v>209.99999999999994</v>
      </c>
      <c r="C38" s="211"/>
    </row>
  </sheetData>
  <mergeCells count="8">
    <mergeCell ref="B38:C38"/>
    <mergeCell ref="B9:B10"/>
    <mergeCell ref="C9:C10"/>
    <mergeCell ref="A9:A10"/>
    <mergeCell ref="G9:G10"/>
    <mergeCell ref="H9:H10"/>
    <mergeCell ref="I9:I10"/>
    <mergeCell ref="D9:F9"/>
  </mergeCells>
  <pageMargins left="0.7" right="0.7" top="0.75" bottom="0.75" header="0.3" footer="0.3"/>
  <pageSetup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068EC-C1ED-4905-A0C9-09CC96886961}">
  <dimension ref="A1:AE39"/>
  <sheetViews>
    <sheetView topLeftCell="D16" zoomScale="60" zoomScaleNormal="60" workbookViewId="0">
      <selection activeCell="AA5" sqref="AA1:AA1048576"/>
    </sheetView>
  </sheetViews>
  <sheetFormatPr defaultRowHeight="14.6" x14ac:dyDescent="0.4"/>
  <cols>
    <col min="2" max="2" width="12.84375" customWidth="1"/>
    <col min="3" max="3" width="14.84375" customWidth="1"/>
    <col min="4" max="4" width="13.53515625" customWidth="1"/>
    <col min="5" max="5" width="7.69140625" customWidth="1"/>
    <col min="6" max="6" width="6.84375" customWidth="1"/>
    <col min="7" max="7" width="6.3828125" customWidth="1"/>
    <col min="8" max="8" width="6.69140625" customWidth="1"/>
    <col min="9" max="10" width="7" customWidth="1"/>
    <col min="11" max="11" width="6.53515625" customWidth="1"/>
    <col min="12" max="12" width="6.84375" customWidth="1"/>
    <col min="13" max="13" width="6.3828125" customWidth="1"/>
    <col min="14" max="14" width="7" customWidth="1"/>
    <col min="15" max="15" width="7.23046875" customWidth="1"/>
    <col min="16" max="25" width="5.61328125" customWidth="1"/>
    <col min="26" max="26" width="10.23046875" customWidth="1"/>
    <col min="27" max="27" width="9" customWidth="1"/>
    <col min="28" max="28" width="9.69140625" customWidth="1"/>
    <col min="29" max="29" width="7.921875" customWidth="1"/>
    <col min="31" max="31" width="11.4609375" customWidth="1"/>
  </cols>
  <sheetData>
    <row r="1" spans="1:31" ht="17.600000000000001" x14ac:dyDescent="0.4">
      <c r="C1" s="66" t="s">
        <v>12</v>
      </c>
    </row>
    <row r="8" spans="1:31" ht="16.3" thickBot="1" x14ac:dyDescent="0.5">
      <c r="C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1" ht="18.899999999999999" thickBot="1" x14ac:dyDescent="0.55000000000000004">
      <c r="A9" s="10"/>
      <c r="B9" s="148"/>
      <c r="C9" s="65"/>
      <c r="D9" s="65"/>
      <c r="E9" s="224" t="s">
        <v>34</v>
      </c>
      <c r="F9" s="225"/>
      <c r="G9" s="225"/>
      <c r="H9" s="225"/>
      <c r="I9" s="225"/>
      <c r="J9" s="225"/>
      <c r="K9" s="225"/>
      <c r="L9" s="225"/>
      <c r="M9" s="225"/>
      <c r="N9" s="225"/>
      <c r="O9" s="225"/>
      <c r="P9" s="225"/>
      <c r="Q9" s="225"/>
      <c r="R9" s="225"/>
      <c r="S9" s="225"/>
      <c r="T9" s="225"/>
      <c r="U9" s="225"/>
      <c r="V9" s="225"/>
      <c r="W9" s="225"/>
      <c r="X9" s="225"/>
      <c r="Y9" s="225"/>
      <c r="Z9" s="225"/>
      <c r="AA9" s="226"/>
      <c r="AB9" s="226"/>
      <c r="AC9" s="226"/>
      <c r="AD9" s="226"/>
      <c r="AE9" s="227"/>
    </row>
    <row r="10" spans="1:31" ht="18.899999999999999" thickBot="1" x14ac:dyDescent="0.55000000000000004">
      <c r="A10" s="146"/>
      <c r="B10" s="228" t="s">
        <v>63</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7"/>
      <c r="AA10" s="228" t="s">
        <v>64</v>
      </c>
      <c r="AB10" s="226"/>
      <c r="AC10" s="227"/>
      <c r="AD10" s="228" t="s">
        <v>69</v>
      </c>
      <c r="AE10" s="227"/>
    </row>
    <row r="11" spans="1:31" ht="32.5" customHeight="1" x14ac:dyDescent="0.4">
      <c r="A11" s="216" t="s">
        <v>2</v>
      </c>
      <c r="B11" s="207" t="s">
        <v>101</v>
      </c>
      <c r="C11" s="222" t="s">
        <v>106</v>
      </c>
      <c r="D11" s="217" t="s">
        <v>65</v>
      </c>
      <c r="E11" s="219" t="s">
        <v>108</v>
      </c>
      <c r="F11" s="220"/>
      <c r="G11" s="220"/>
      <c r="H11" s="220"/>
      <c r="I11" s="220"/>
      <c r="J11" s="220"/>
      <c r="K11" s="220"/>
      <c r="L11" s="220"/>
      <c r="M11" s="220"/>
      <c r="N11" s="220"/>
      <c r="O11" s="220"/>
      <c r="P11" s="220"/>
      <c r="Q11" s="220"/>
      <c r="R11" s="220"/>
      <c r="S11" s="220"/>
      <c r="T11" s="220"/>
      <c r="U11" s="220"/>
      <c r="V11" s="220"/>
      <c r="W11" s="220"/>
      <c r="X11" s="220"/>
      <c r="Y11" s="221"/>
      <c r="Z11" s="207" t="s">
        <v>71</v>
      </c>
      <c r="AA11" s="222" t="s">
        <v>109</v>
      </c>
      <c r="AB11" s="229" t="s">
        <v>68</v>
      </c>
      <c r="AC11" s="217" t="s">
        <v>70</v>
      </c>
      <c r="AD11" s="222" t="s">
        <v>41</v>
      </c>
      <c r="AE11" s="217" t="s">
        <v>13</v>
      </c>
    </row>
    <row r="12" spans="1:31" ht="36" customHeight="1" thickBot="1" x14ac:dyDescent="0.5">
      <c r="A12" s="216"/>
      <c r="B12" s="216"/>
      <c r="C12" s="223"/>
      <c r="D12" s="218"/>
      <c r="E12" s="125">
        <v>2020</v>
      </c>
      <c r="F12" s="125">
        <f t="shared" ref="F12:Y12" si="0">E12+2</f>
        <v>2022</v>
      </c>
      <c r="G12" s="125">
        <f t="shared" si="0"/>
        <v>2024</v>
      </c>
      <c r="H12" s="125">
        <f t="shared" si="0"/>
        <v>2026</v>
      </c>
      <c r="I12" s="125">
        <f t="shared" si="0"/>
        <v>2028</v>
      </c>
      <c r="J12" s="125">
        <f t="shared" si="0"/>
        <v>2030</v>
      </c>
      <c r="K12" s="125">
        <f t="shared" si="0"/>
        <v>2032</v>
      </c>
      <c r="L12" s="125">
        <f t="shared" si="0"/>
        <v>2034</v>
      </c>
      <c r="M12" s="125">
        <f t="shared" si="0"/>
        <v>2036</v>
      </c>
      <c r="N12" s="125">
        <f t="shared" si="0"/>
        <v>2038</v>
      </c>
      <c r="O12" s="125">
        <f t="shared" si="0"/>
        <v>2040</v>
      </c>
      <c r="P12" s="125">
        <f t="shared" si="0"/>
        <v>2042</v>
      </c>
      <c r="Q12" s="125">
        <f t="shared" si="0"/>
        <v>2044</v>
      </c>
      <c r="R12" s="125">
        <f t="shared" si="0"/>
        <v>2046</v>
      </c>
      <c r="S12" s="125">
        <f t="shared" si="0"/>
        <v>2048</v>
      </c>
      <c r="T12" s="125">
        <f t="shared" si="0"/>
        <v>2050</v>
      </c>
      <c r="U12" s="125">
        <f t="shared" si="0"/>
        <v>2052</v>
      </c>
      <c r="V12" s="125">
        <f t="shared" si="0"/>
        <v>2054</v>
      </c>
      <c r="W12" s="125">
        <f t="shared" si="0"/>
        <v>2056</v>
      </c>
      <c r="X12" s="125">
        <f t="shared" si="0"/>
        <v>2058</v>
      </c>
      <c r="Y12" s="125">
        <f t="shared" si="0"/>
        <v>2060</v>
      </c>
      <c r="Z12" s="208"/>
      <c r="AA12" s="223"/>
      <c r="AB12" s="230"/>
      <c r="AC12" s="218"/>
      <c r="AD12" s="223"/>
      <c r="AE12" s="218"/>
    </row>
    <row r="13" spans="1:31" ht="15.9" x14ac:dyDescent="0.45">
      <c r="A13" s="12">
        <f>'Fuel Use, Tanks, &amp; Sites'!A11</f>
        <v>2020</v>
      </c>
      <c r="B13" s="149">
        <f>'Releases &amp; Abandons'!H11</f>
        <v>129.86174195826132</v>
      </c>
      <c r="C13" s="29">
        <f>'Data Entry'!C35</f>
        <v>212221.5</v>
      </c>
      <c r="D13" s="130">
        <f>C$13*'Data Entry'!C$36*2/'Data Entry'!D$36</f>
        <v>106110.75</v>
      </c>
      <c r="E13" s="64">
        <f>$B$13*$D13/1000000</f>
        <v>13.779726835497577</v>
      </c>
      <c r="F13" s="64"/>
      <c r="G13" s="64"/>
      <c r="H13" s="64"/>
      <c r="I13" s="64"/>
      <c r="J13" s="64"/>
      <c r="K13" s="64"/>
      <c r="L13" s="64"/>
      <c r="M13" s="64"/>
      <c r="N13" s="64"/>
      <c r="O13" s="64"/>
      <c r="P13" s="64"/>
      <c r="Q13" s="64"/>
      <c r="R13" s="64"/>
      <c r="S13" s="64"/>
      <c r="T13" s="64"/>
      <c r="U13" s="64"/>
      <c r="V13" s="64"/>
      <c r="W13" s="64"/>
      <c r="X13" s="64"/>
      <c r="Y13" s="64"/>
      <c r="Z13" s="153">
        <f>SUM(E13:Y13)</f>
        <v>13.779726835497577</v>
      </c>
      <c r="AA13" s="28">
        <f>'Releases &amp; Abandons'!C11</f>
        <v>210</v>
      </c>
      <c r="AB13" s="150">
        <f>'Data Entry'!C38</f>
        <v>20000</v>
      </c>
      <c r="AC13" s="151">
        <f>AA13*AB$13/1000000</f>
        <v>4.2</v>
      </c>
      <c r="AD13" s="152">
        <f>Z13+AC13</f>
        <v>17.979726835497576</v>
      </c>
      <c r="AE13" s="127">
        <f>AD13</f>
        <v>17.979726835497576</v>
      </c>
    </row>
    <row r="14" spans="1:31" ht="15.9" x14ac:dyDescent="0.45">
      <c r="A14" s="12">
        <f>'Fuel Use, Tanks, &amp; Sites'!A12</f>
        <v>2022</v>
      </c>
      <c r="B14" s="149">
        <f>'Releases &amp; Abandons'!H12</f>
        <v>92.374501386973748</v>
      </c>
      <c r="C14" s="15"/>
      <c r="D14" s="130">
        <f>($C$13-$D$13)/('Data Entry'!$C$37-'Data Entry'!$D$36)*2</f>
        <v>21222.15</v>
      </c>
      <c r="E14" s="64">
        <f t="shared" ref="E14:E18" si="1">$B$13*$D14/1000000</f>
        <v>2.7559453670995158</v>
      </c>
      <c r="F14" s="64">
        <f>$B$14*$D13/1000000</f>
        <v>9.8019276230478258</v>
      </c>
      <c r="G14" s="64"/>
      <c r="H14" s="64"/>
      <c r="I14" s="64"/>
      <c r="J14" s="64"/>
      <c r="K14" s="64"/>
      <c r="L14" s="64"/>
      <c r="M14" s="64"/>
      <c r="N14" s="64"/>
      <c r="O14" s="64"/>
      <c r="P14" s="64"/>
      <c r="Q14" s="64"/>
      <c r="R14" s="64"/>
      <c r="S14" s="64"/>
      <c r="T14" s="64"/>
      <c r="U14" s="64"/>
      <c r="V14" s="64"/>
      <c r="W14" s="64"/>
      <c r="X14" s="64"/>
      <c r="Y14" s="64"/>
      <c r="Z14" s="153">
        <f t="shared" ref="Z14:Z38" si="2">SUM(E14:Y14)</f>
        <v>12.557872990147342</v>
      </c>
      <c r="AA14" s="28">
        <f>'Releases &amp; Abandons'!C12</f>
        <v>189</v>
      </c>
      <c r="AB14" s="64"/>
      <c r="AC14" s="151">
        <f t="shared" ref="AC14:AC22" si="3">AA14*AB$13/1000000</f>
        <v>3.78</v>
      </c>
      <c r="AD14" s="152">
        <f t="shared" ref="AD14:AD38" si="4">Z14+AC14</f>
        <v>16.337872990147343</v>
      </c>
      <c r="AE14" s="127">
        <f t="shared" ref="AE14:AE38" si="5">AE13+AD14</f>
        <v>34.317599825644919</v>
      </c>
    </row>
    <row r="15" spans="1:31" ht="15.9" x14ac:dyDescent="0.45">
      <c r="A15" s="12">
        <f>'Fuel Use, Tanks, &amp; Sites'!A13</f>
        <v>2024</v>
      </c>
      <c r="B15" s="149">
        <f>'Releases &amp; Abandons'!H13</f>
        <v>92.766494038130432</v>
      </c>
      <c r="C15" s="15"/>
      <c r="D15" s="131">
        <f>($C$13-$D$13)/('Data Entry'!$C$37-'Data Entry'!$D$36)*2</f>
        <v>21222.15</v>
      </c>
      <c r="E15" s="64">
        <f t="shared" si="1"/>
        <v>2.7559453670995158</v>
      </c>
      <c r="F15" s="64">
        <f t="shared" ref="F15:F19" si="6">$B$14*$D14/1000000</f>
        <v>1.9603855246095649</v>
      </c>
      <c r="G15" s="64">
        <f>$B$15*$D13/1000000</f>
        <v>9.8435222572565486</v>
      </c>
      <c r="H15" s="64"/>
      <c r="I15" s="64"/>
      <c r="J15" s="64"/>
      <c r="K15" s="64"/>
      <c r="L15" s="64"/>
      <c r="M15" s="64"/>
      <c r="N15" s="64"/>
      <c r="O15" s="64"/>
      <c r="P15" s="64"/>
      <c r="Q15" s="64"/>
      <c r="R15" s="64"/>
      <c r="S15" s="64"/>
      <c r="T15" s="64"/>
      <c r="U15" s="64"/>
      <c r="V15" s="64"/>
      <c r="W15" s="64"/>
      <c r="X15" s="64"/>
      <c r="Y15" s="64"/>
      <c r="Z15" s="153">
        <f t="shared" si="2"/>
        <v>14.55985314896563</v>
      </c>
      <c r="AA15" s="28">
        <f>'Releases &amp; Abandons'!C13</f>
        <v>168</v>
      </c>
      <c r="AB15" s="64"/>
      <c r="AC15" s="151">
        <f t="shared" si="3"/>
        <v>3.36</v>
      </c>
      <c r="AD15" s="152">
        <f t="shared" si="4"/>
        <v>17.919853148965629</v>
      </c>
      <c r="AE15" s="127">
        <f t="shared" si="5"/>
        <v>52.237452974610548</v>
      </c>
    </row>
    <row r="16" spans="1:31" ht="15.9" x14ac:dyDescent="0.45">
      <c r="A16" s="12">
        <f>'Fuel Use, Tanks, &amp; Sites'!A14</f>
        <v>2026</v>
      </c>
      <c r="B16" s="149">
        <f>'Releases &amp; Abandons'!H14</f>
        <v>93.897058377890502</v>
      </c>
      <c r="C16" s="15"/>
      <c r="D16" s="131">
        <f>($C$13-$D$13)/('Data Entry'!$C$37-'Data Entry'!$D$36)*2</f>
        <v>21222.15</v>
      </c>
      <c r="E16" s="64">
        <f t="shared" si="1"/>
        <v>2.7559453670995158</v>
      </c>
      <c r="F16" s="64">
        <f t="shared" si="6"/>
        <v>1.9603855246095649</v>
      </c>
      <c r="G16" s="64">
        <f t="shared" ref="G16:G20" si="7">$B$15*$D14/1000000</f>
        <v>1.9687044514513099</v>
      </c>
      <c r="H16" s="64">
        <f>$B16*$D$13/1000000</f>
        <v>9.9634872872717448</v>
      </c>
      <c r="I16" s="64"/>
      <c r="J16" s="64"/>
      <c r="K16" s="64"/>
      <c r="L16" s="64"/>
      <c r="M16" s="64"/>
      <c r="N16" s="64"/>
      <c r="O16" s="64"/>
      <c r="P16" s="64"/>
      <c r="Q16" s="64"/>
      <c r="R16" s="64"/>
      <c r="S16" s="64"/>
      <c r="T16" s="64"/>
      <c r="U16" s="64"/>
      <c r="V16" s="64"/>
      <c r="W16" s="64"/>
      <c r="X16" s="64"/>
      <c r="Y16" s="64"/>
      <c r="Z16" s="153">
        <f t="shared" si="2"/>
        <v>16.648522630432137</v>
      </c>
      <c r="AA16" s="28">
        <f>'Releases &amp; Abandons'!C14</f>
        <v>147</v>
      </c>
      <c r="AB16" s="64"/>
      <c r="AC16" s="151">
        <f t="shared" si="3"/>
        <v>2.94</v>
      </c>
      <c r="AD16" s="152">
        <f t="shared" si="4"/>
        <v>19.588522630432138</v>
      </c>
      <c r="AE16" s="127">
        <f t="shared" si="5"/>
        <v>71.825975605042686</v>
      </c>
    </row>
    <row r="17" spans="1:31" ht="15.9" x14ac:dyDescent="0.45">
      <c r="A17" s="12">
        <f>'Fuel Use, Tanks, &amp; Sites'!A15</f>
        <v>2028</v>
      </c>
      <c r="B17" s="149">
        <f>'Releases &amp; Abandons'!H15</f>
        <v>95.86342931768479</v>
      </c>
      <c r="C17" s="15"/>
      <c r="D17" s="131">
        <f>($C$13-$D$13)/('Data Entry'!$C$37-'Data Entry'!$D$36)*2</f>
        <v>21222.15</v>
      </c>
      <c r="E17" s="64">
        <f t="shared" si="1"/>
        <v>2.7559453670995158</v>
      </c>
      <c r="F17" s="64">
        <f t="shared" si="6"/>
        <v>1.9603855246095649</v>
      </c>
      <c r="G17" s="64">
        <f t="shared" si="7"/>
        <v>1.9687044514513099</v>
      </c>
      <c r="H17" s="64">
        <f t="shared" ref="H17:H21" si="8">$B$16*$D14/1000000</f>
        <v>1.9926974574543492</v>
      </c>
      <c r="I17" s="64">
        <f>$B$17*$D13/1000000</f>
        <v>10.17214038247152</v>
      </c>
      <c r="J17" s="64"/>
      <c r="K17" s="64"/>
      <c r="L17" s="64"/>
      <c r="M17" s="64"/>
      <c r="N17" s="64"/>
      <c r="O17" s="64"/>
      <c r="P17" s="64"/>
      <c r="Q17" s="64"/>
      <c r="R17" s="64"/>
      <c r="S17" s="64"/>
      <c r="T17" s="64"/>
      <c r="U17" s="64"/>
      <c r="V17" s="64"/>
      <c r="W17" s="64"/>
      <c r="X17" s="64"/>
      <c r="Y17" s="64"/>
      <c r="Z17" s="153">
        <f t="shared" si="2"/>
        <v>18.84987318308626</v>
      </c>
      <c r="AA17" s="28">
        <f>'Releases &amp; Abandons'!C15</f>
        <v>126</v>
      </c>
      <c r="AB17" s="64"/>
      <c r="AC17" s="151">
        <f t="shared" si="3"/>
        <v>2.52</v>
      </c>
      <c r="AD17" s="152">
        <f t="shared" si="4"/>
        <v>21.369873183086259</v>
      </c>
      <c r="AE17" s="127">
        <f t="shared" si="5"/>
        <v>93.195848788128941</v>
      </c>
    </row>
    <row r="18" spans="1:31" ht="15.9" x14ac:dyDescent="0.45">
      <c r="A18" s="12">
        <f>'Fuel Use, Tanks, &amp; Sites'!A16</f>
        <v>2030</v>
      </c>
      <c r="B18" s="149">
        <f>'Releases &amp; Abandons'!H16</f>
        <v>98.55157857698552</v>
      </c>
      <c r="C18" s="15"/>
      <c r="D18" s="131">
        <f>($C$13-$D$13)/('Data Entry'!$C$37-'Data Entry'!$D$36)*2</f>
        <v>21222.15</v>
      </c>
      <c r="E18" s="64">
        <f t="shared" si="1"/>
        <v>2.7559453670995158</v>
      </c>
      <c r="F18" s="64">
        <f t="shared" si="6"/>
        <v>1.9603855246095649</v>
      </c>
      <c r="G18" s="64">
        <f t="shared" si="7"/>
        <v>1.9687044514513099</v>
      </c>
      <c r="H18" s="64">
        <f t="shared" si="8"/>
        <v>1.9926974574543492</v>
      </c>
      <c r="I18" s="64">
        <f t="shared" ref="I18:I22" si="9">$B$17*$D14/1000000</f>
        <v>2.0344280764943043</v>
      </c>
      <c r="J18" s="64">
        <f>$B$18*$D13/1000000</f>
        <v>10.457381916487867</v>
      </c>
      <c r="K18" s="64"/>
      <c r="L18" s="64"/>
      <c r="M18" s="64"/>
      <c r="N18" s="64"/>
      <c r="O18" s="64"/>
      <c r="P18" s="64"/>
      <c r="Q18" s="64"/>
      <c r="R18" s="64"/>
      <c r="S18" s="64"/>
      <c r="T18" s="64"/>
      <c r="U18" s="64"/>
      <c r="V18" s="64"/>
      <c r="W18" s="64"/>
      <c r="X18" s="64"/>
      <c r="Y18" s="64"/>
      <c r="Z18" s="153">
        <f t="shared" si="2"/>
        <v>21.169542793596911</v>
      </c>
      <c r="AA18" s="28">
        <f>'Releases &amp; Abandons'!C16</f>
        <v>105</v>
      </c>
      <c r="AB18" s="64"/>
      <c r="AC18" s="151">
        <f t="shared" si="3"/>
        <v>2.1</v>
      </c>
      <c r="AD18" s="152">
        <f t="shared" si="4"/>
        <v>23.269542793596912</v>
      </c>
      <c r="AE18" s="127">
        <f t="shared" si="5"/>
        <v>116.46539158172585</v>
      </c>
    </row>
    <row r="19" spans="1:31" ht="15.9" x14ac:dyDescent="0.45">
      <c r="A19" s="12">
        <f>'Fuel Use, Tanks, &amp; Sites'!A17</f>
        <v>2032</v>
      </c>
      <c r="B19" s="149">
        <f>'Releases &amp; Abandons'!H17</f>
        <v>101.39381947165106</v>
      </c>
      <c r="C19" s="15"/>
      <c r="D19" s="14"/>
      <c r="E19" s="64"/>
      <c r="F19" s="64">
        <f t="shared" si="6"/>
        <v>1.9603855246095649</v>
      </c>
      <c r="G19" s="64">
        <f t="shared" si="7"/>
        <v>1.9687044514513099</v>
      </c>
      <c r="H19" s="64">
        <f t="shared" si="8"/>
        <v>1.9926974574543492</v>
      </c>
      <c r="I19" s="64">
        <f t="shared" si="9"/>
        <v>2.0344280764943043</v>
      </c>
      <c r="J19" s="64">
        <f t="shared" ref="J19:J23" si="10">$B$18*$D14/1000000</f>
        <v>2.0914763832975733</v>
      </c>
      <c r="K19" s="64">
        <f>$B$19*$D13/1000000</f>
        <v>10.758974229501497</v>
      </c>
      <c r="L19" s="64"/>
      <c r="M19" s="64"/>
      <c r="N19" s="64"/>
      <c r="O19" s="64"/>
      <c r="P19" s="64"/>
      <c r="Q19" s="64"/>
      <c r="R19" s="64"/>
      <c r="S19" s="64"/>
      <c r="T19" s="64"/>
      <c r="U19" s="64"/>
      <c r="V19" s="64"/>
      <c r="W19" s="64"/>
      <c r="X19" s="64"/>
      <c r="Y19" s="64"/>
      <c r="Z19" s="153">
        <f t="shared" si="2"/>
        <v>20.806666122808601</v>
      </c>
      <c r="AA19" s="28">
        <f>'Releases &amp; Abandons'!C17</f>
        <v>84</v>
      </c>
      <c r="AB19" s="64"/>
      <c r="AC19" s="151">
        <f t="shared" si="3"/>
        <v>1.68</v>
      </c>
      <c r="AD19" s="152">
        <f t="shared" si="4"/>
        <v>22.4866661228086</v>
      </c>
      <c r="AE19" s="127">
        <f t="shared" si="5"/>
        <v>138.95205770453447</v>
      </c>
    </row>
    <row r="20" spans="1:31" ht="15.9" x14ac:dyDescent="0.45">
      <c r="A20" s="12">
        <f>'Fuel Use, Tanks, &amp; Sites'!A18</f>
        <v>2034</v>
      </c>
      <c r="B20" s="149">
        <f>'Releases &amp; Abandons'!H18</f>
        <v>103.12874015728659</v>
      </c>
      <c r="C20" s="15"/>
      <c r="D20" s="14"/>
      <c r="E20" s="64"/>
      <c r="F20" s="64"/>
      <c r="G20" s="64">
        <f t="shared" si="7"/>
        <v>1.9687044514513099</v>
      </c>
      <c r="H20" s="64">
        <f t="shared" si="8"/>
        <v>1.9926974574543492</v>
      </c>
      <c r="I20" s="64">
        <f t="shared" si="9"/>
        <v>2.0344280764943043</v>
      </c>
      <c r="J20" s="64">
        <f t="shared" si="10"/>
        <v>2.0914763832975733</v>
      </c>
      <c r="K20" s="64">
        <f t="shared" ref="K20:K24" si="11">$B$19*$D14/1000000</f>
        <v>2.1517948459002993</v>
      </c>
      <c r="L20" s="64">
        <f>$B$20*$D13/1000000</f>
        <v>10.943067964644797</v>
      </c>
      <c r="M20" s="64"/>
      <c r="N20" s="64"/>
      <c r="O20" s="64"/>
      <c r="P20" s="64"/>
      <c r="Q20" s="64"/>
      <c r="R20" s="64"/>
      <c r="S20" s="64"/>
      <c r="T20" s="64"/>
      <c r="U20" s="64"/>
      <c r="V20" s="64"/>
      <c r="W20" s="64"/>
      <c r="X20" s="64"/>
      <c r="Y20" s="64"/>
      <c r="Z20" s="153">
        <f t="shared" si="2"/>
        <v>21.182169179242635</v>
      </c>
      <c r="AA20" s="28">
        <f>'Releases &amp; Abandons'!C18</f>
        <v>63</v>
      </c>
      <c r="AB20" s="64"/>
      <c r="AC20" s="151">
        <f t="shared" si="3"/>
        <v>1.26</v>
      </c>
      <c r="AD20" s="152">
        <f t="shared" si="4"/>
        <v>22.442169179242637</v>
      </c>
      <c r="AE20" s="127">
        <f t="shared" si="5"/>
        <v>161.39422688377709</v>
      </c>
    </row>
    <row r="21" spans="1:31" ht="15.9" x14ac:dyDescent="0.45">
      <c r="A21" s="12">
        <f>'Fuel Use, Tanks, &amp; Sites'!A19</f>
        <v>2036</v>
      </c>
      <c r="B21" s="149">
        <f>'Releases &amp; Abandons'!H19</f>
        <v>101.87037920314677</v>
      </c>
      <c r="C21" s="15"/>
      <c r="D21" s="14"/>
      <c r="E21" s="64"/>
      <c r="F21" s="64"/>
      <c r="G21" s="64"/>
      <c r="H21" s="64">
        <f t="shared" si="8"/>
        <v>1.9926974574543492</v>
      </c>
      <c r="I21" s="64">
        <f t="shared" si="9"/>
        <v>2.0344280764943043</v>
      </c>
      <c r="J21" s="64">
        <f t="shared" si="10"/>
        <v>2.0914763832975733</v>
      </c>
      <c r="K21" s="64">
        <f t="shared" si="11"/>
        <v>2.1517948459002993</v>
      </c>
      <c r="L21" s="64">
        <f t="shared" ref="L21:L25" si="12">$B$20*$D14/1000000</f>
        <v>2.1886135929289594</v>
      </c>
      <c r="M21" s="64">
        <f>$B$21*$D13/1000000</f>
        <v>10.809542340030305</v>
      </c>
      <c r="N21" s="64"/>
      <c r="O21" s="64"/>
      <c r="P21" s="64"/>
      <c r="Q21" s="64"/>
      <c r="R21" s="64"/>
      <c r="S21" s="64"/>
      <c r="T21" s="64"/>
      <c r="U21" s="64"/>
      <c r="V21" s="64"/>
      <c r="W21" s="64"/>
      <c r="X21" s="64"/>
      <c r="Y21" s="64"/>
      <c r="Z21" s="153">
        <f t="shared" si="2"/>
        <v>21.268552696105793</v>
      </c>
      <c r="AA21" s="28">
        <f>'Releases &amp; Abandons'!C19</f>
        <v>42</v>
      </c>
      <c r="AB21" s="64"/>
      <c r="AC21" s="151">
        <f t="shared" si="3"/>
        <v>0.84</v>
      </c>
      <c r="AD21" s="152">
        <f t="shared" si="4"/>
        <v>22.108552696105793</v>
      </c>
      <c r="AE21" s="127">
        <f t="shared" si="5"/>
        <v>183.50277957988288</v>
      </c>
    </row>
    <row r="22" spans="1:31" ht="15.9" x14ac:dyDescent="0.45">
      <c r="A22" s="12">
        <f>'Fuel Use, Tanks, &amp; Sites'!A20</f>
        <v>2038</v>
      </c>
      <c r="B22" s="149">
        <f>'Releases &amp; Abandons'!H20</f>
        <v>95.862857573032883</v>
      </c>
      <c r="C22" s="15"/>
      <c r="D22" s="14"/>
      <c r="E22" s="64"/>
      <c r="F22" s="64"/>
      <c r="G22" s="64"/>
      <c r="H22" s="64"/>
      <c r="I22" s="64">
        <f t="shared" si="9"/>
        <v>2.0344280764943043</v>
      </c>
      <c r="J22" s="64">
        <f t="shared" si="10"/>
        <v>2.0914763832975733</v>
      </c>
      <c r="K22" s="64">
        <f t="shared" si="11"/>
        <v>2.1517948459002993</v>
      </c>
      <c r="L22" s="64">
        <f t="shared" si="12"/>
        <v>2.1886135929289594</v>
      </c>
      <c r="M22" s="64">
        <f t="shared" ref="M22:M26" si="13">$B$21*$D14/1000000</f>
        <v>2.1619084680060614</v>
      </c>
      <c r="N22" s="64">
        <f>$B$22*$D13/1000000</f>
        <v>10.172079714217698</v>
      </c>
      <c r="O22" s="64"/>
      <c r="P22" s="64"/>
      <c r="Q22" s="64"/>
      <c r="R22" s="64"/>
      <c r="S22" s="64"/>
      <c r="T22" s="64"/>
      <c r="U22" s="64"/>
      <c r="V22" s="64"/>
      <c r="W22" s="64"/>
      <c r="X22" s="64"/>
      <c r="Y22" s="64"/>
      <c r="Z22" s="153">
        <f t="shared" si="2"/>
        <v>20.800301080844896</v>
      </c>
      <c r="AA22" s="28">
        <f>'Releases &amp; Abandons'!C20</f>
        <v>21</v>
      </c>
      <c r="AB22" s="64"/>
      <c r="AC22" s="151">
        <f t="shared" si="3"/>
        <v>0.42</v>
      </c>
      <c r="AD22" s="152">
        <f t="shared" si="4"/>
        <v>21.220301080844898</v>
      </c>
      <c r="AE22" s="127">
        <f t="shared" si="5"/>
        <v>204.72308066072779</v>
      </c>
    </row>
    <row r="23" spans="1:31" ht="15.9" x14ac:dyDescent="0.45">
      <c r="A23" s="12">
        <f>'Fuel Use, Tanks, &amp; Sites'!A21</f>
        <v>2040</v>
      </c>
      <c r="B23" s="149">
        <f>'Releases &amp; Abandons'!H21</f>
        <v>84.739218467961507</v>
      </c>
      <c r="C23" s="15"/>
      <c r="D23" s="14"/>
      <c r="E23" s="64"/>
      <c r="F23" s="64"/>
      <c r="G23" s="64"/>
      <c r="H23" s="64"/>
      <c r="I23" s="64"/>
      <c r="J23" s="64">
        <f t="shared" si="10"/>
        <v>2.0914763832975733</v>
      </c>
      <c r="K23" s="64">
        <f t="shared" si="11"/>
        <v>2.1517948459002993</v>
      </c>
      <c r="L23" s="64">
        <f t="shared" si="12"/>
        <v>2.1886135929289594</v>
      </c>
      <c r="M23" s="64">
        <f t="shared" si="13"/>
        <v>2.1619084680060614</v>
      </c>
      <c r="N23" s="64">
        <f t="shared" ref="N23:N27" si="14">$B$22*$D14/1000000</f>
        <v>2.0344159428435398</v>
      </c>
      <c r="O23" s="64">
        <f>$B$23*$D13/1000000</f>
        <v>8.9917420260492467</v>
      </c>
      <c r="P23" s="64"/>
      <c r="Q23" s="64"/>
      <c r="R23" s="64"/>
      <c r="S23" s="64"/>
      <c r="T23" s="64"/>
      <c r="U23" s="64"/>
      <c r="V23" s="64"/>
      <c r="W23" s="64"/>
      <c r="X23" s="64"/>
      <c r="Y23" s="64"/>
      <c r="Z23" s="153">
        <f t="shared" si="2"/>
        <v>19.619951259025679</v>
      </c>
      <c r="AA23" s="28">
        <f>'Releases &amp; Abandons'!C21</f>
        <v>0</v>
      </c>
      <c r="AB23" s="64"/>
      <c r="AC23" s="147"/>
      <c r="AD23" s="152">
        <f t="shared" si="4"/>
        <v>19.619951259025679</v>
      </c>
      <c r="AE23" s="127">
        <f t="shared" si="5"/>
        <v>224.34303191975346</v>
      </c>
    </row>
    <row r="24" spans="1:31" ht="15.9" x14ac:dyDescent="0.45">
      <c r="A24" s="12">
        <f>'Fuel Use, Tanks, &amp; Sites'!A22</f>
        <v>2042</v>
      </c>
      <c r="B24" s="149">
        <f>'Releases &amp; Abandons'!H22</f>
        <v>70.172045660503969</v>
      </c>
      <c r="C24" s="15"/>
      <c r="D24" s="14"/>
      <c r="E24" s="64"/>
      <c r="F24" s="64"/>
      <c r="G24" s="64"/>
      <c r="H24" s="64"/>
      <c r="I24" s="64"/>
      <c r="J24" s="64"/>
      <c r="K24" s="64">
        <f t="shared" si="11"/>
        <v>2.1517948459002993</v>
      </c>
      <c r="L24" s="64">
        <f t="shared" si="12"/>
        <v>2.1886135929289594</v>
      </c>
      <c r="M24" s="64">
        <f t="shared" si="13"/>
        <v>2.1619084680060614</v>
      </c>
      <c r="N24" s="64">
        <f t="shared" si="14"/>
        <v>2.0344159428435398</v>
      </c>
      <c r="O24" s="64">
        <f t="shared" ref="O24:O28" si="15">$B$23*$D14/1000000</f>
        <v>1.7983484052098493</v>
      </c>
      <c r="P24" s="64">
        <f>$B$24*$D13/1000000</f>
        <v>7.4460083940703221</v>
      </c>
      <c r="Q24" s="64"/>
      <c r="R24" s="64"/>
      <c r="S24" s="64"/>
      <c r="T24" s="64"/>
      <c r="U24" s="64"/>
      <c r="V24" s="64"/>
      <c r="W24" s="64"/>
      <c r="X24" s="64"/>
      <c r="Y24" s="64"/>
      <c r="Z24" s="153">
        <f t="shared" si="2"/>
        <v>17.781089648959032</v>
      </c>
      <c r="AA24" s="28">
        <f>'Releases &amp; Abandons'!C22</f>
        <v>0</v>
      </c>
      <c r="AB24" s="64"/>
      <c r="AC24" s="147"/>
      <c r="AD24" s="152">
        <f t="shared" si="4"/>
        <v>17.781089648959032</v>
      </c>
      <c r="AE24" s="127">
        <f t="shared" si="5"/>
        <v>242.1241215687125</v>
      </c>
    </row>
    <row r="25" spans="1:31" ht="15.9" x14ac:dyDescent="0.45">
      <c r="A25" s="12">
        <f>'Fuel Use, Tanks, &amp; Sites'!A23</f>
        <v>2044</v>
      </c>
      <c r="B25" s="149">
        <f>'Releases &amp; Abandons'!H23</f>
        <v>55.0283145964531</v>
      </c>
      <c r="C25" s="15"/>
      <c r="D25" s="14"/>
      <c r="E25" s="64"/>
      <c r="F25" s="64"/>
      <c r="G25" s="64"/>
      <c r="H25" s="64"/>
      <c r="I25" s="64"/>
      <c r="J25" s="64"/>
      <c r="K25" s="64"/>
      <c r="L25" s="64">
        <f t="shared" si="12"/>
        <v>2.1886135929289594</v>
      </c>
      <c r="M25" s="64">
        <f t="shared" si="13"/>
        <v>2.1619084680060614</v>
      </c>
      <c r="N25" s="64">
        <f t="shared" si="14"/>
        <v>2.0344159428435398</v>
      </c>
      <c r="O25" s="64">
        <f t="shared" si="15"/>
        <v>1.7983484052098493</v>
      </c>
      <c r="P25" s="64">
        <f t="shared" ref="P25:P29" si="16">$B$24*$D14/1000000</f>
        <v>1.4892016788140645</v>
      </c>
      <c r="Q25" s="64">
        <f>$B$25*$D13/1000000</f>
        <v>5.8390957330655855</v>
      </c>
      <c r="R25" s="64"/>
      <c r="S25" s="64"/>
      <c r="T25" s="64"/>
      <c r="U25" s="64"/>
      <c r="V25" s="64"/>
      <c r="W25" s="64"/>
      <c r="X25" s="64"/>
      <c r="Y25" s="64"/>
      <c r="Z25" s="153">
        <f t="shared" si="2"/>
        <v>15.511583820868058</v>
      </c>
      <c r="AA25" s="28">
        <f>'Releases &amp; Abandons'!C23</f>
        <v>0</v>
      </c>
      <c r="AB25" s="64"/>
      <c r="AC25" s="147"/>
      <c r="AD25" s="152">
        <f t="shared" si="4"/>
        <v>15.511583820868058</v>
      </c>
      <c r="AE25" s="127">
        <f t="shared" si="5"/>
        <v>257.63570538958055</v>
      </c>
    </row>
    <row r="26" spans="1:31" ht="15.9" x14ac:dyDescent="0.45">
      <c r="A26" s="12">
        <f>'Fuel Use, Tanks, &amp; Sites'!A24</f>
        <v>2046</v>
      </c>
      <c r="B26" s="149">
        <f>'Releases &amp; Abandons'!H24</f>
        <v>41.771885805871669</v>
      </c>
      <c r="C26" s="15"/>
      <c r="D26" s="14"/>
      <c r="E26" s="64"/>
      <c r="F26" s="64"/>
      <c r="G26" s="64"/>
      <c r="H26" s="64"/>
      <c r="I26" s="64"/>
      <c r="J26" s="64"/>
      <c r="K26" s="64"/>
      <c r="L26" s="64"/>
      <c r="M26" s="64">
        <f t="shared" si="13"/>
        <v>2.1619084680060614</v>
      </c>
      <c r="N26" s="64">
        <f t="shared" si="14"/>
        <v>2.0344159428435398</v>
      </c>
      <c r="O26" s="64">
        <f t="shared" si="15"/>
        <v>1.7983484052098493</v>
      </c>
      <c r="P26" s="64">
        <f t="shared" si="16"/>
        <v>1.4892016788140645</v>
      </c>
      <c r="Q26" s="64">
        <f t="shared" ref="Q26:Q30" si="17">$B$25*$D14/1000000</f>
        <v>1.1678191466131174</v>
      </c>
      <c r="R26" s="64">
        <f>$B$26*$D13/1000000</f>
        <v>4.4324461317753965</v>
      </c>
      <c r="S26" s="64"/>
      <c r="T26" s="64"/>
      <c r="U26" s="64"/>
      <c r="V26" s="64"/>
      <c r="W26" s="64"/>
      <c r="X26" s="64"/>
      <c r="Y26" s="64"/>
      <c r="Z26" s="153">
        <f t="shared" si="2"/>
        <v>13.084139773262029</v>
      </c>
      <c r="AA26" s="28">
        <f>'Releases &amp; Abandons'!C24</f>
        <v>0</v>
      </c>
      <c r="AB26" s="64"/>
      <c r="AC26" s="147"/>
      <c r="AD26" s="152">
        <f t="shared" si="4"/>
        <v>13.084139773262029</v>
      </c>
      <c r="AE26" s="127">
        <f t="shared" si="5"/>
        <v>270.7198451628426</v>
      </c>
    </row>
    <row r="27" spans="1:31" ht="15.9" x14ac:dyDescent="0.45">
      <c r="A27" s="12">
        <f>'Fuel Use, Tanks, &amp; Sites'!A25</f>
        <v>2048</v>
      </c>
      <c r="B27" s="149">
        <f>'Releases &amp; Abandons'!H25</f>
        <v>31.555369579123255</v>
      </c>
      <c r="C27" s="15"/>
      <c r="D27" s="14"/>
      <c r="E27" s="64"/>
      <c r="F27" s="64"/>
      <c r="G27" s="64"/>
      <c r="H27" s="64"/>
      <c r="I27" s="64"/>
      <c r="J27" s="64"/>
      <c r="K27" s="64"/>
      <c r="L27" s="64"/>
      <c r="M27" s="64"/>
      <c r="N27" s="64">
        <f t="shared" si="14"/>
        <v>2.0344159428435398</v>
      </c>
      <c r="O27" s="64">
        <f t="shared" si="15"/>
        <v>1.7983484052098493</v>
      </c>
      <c r="P27" s="64">
        <f t="shared" si="16"/>
        <v>1.4892016788140645</v>
      </c>
      <c r="Q27" s="64">
        <f t="shared" si="17"/>
        <v>1.1678191466131174</v>
      </c>
      <c r="R27" s="64">
        <f t="shared" ref="R27:R31" si="18">$B$26*$D14/1000000</f>
        <v>0.88648922635507954</v>
      </c>
      <c r="S27" s="64">
        <f>$B$27*$D13/1000000</f>
        <v>3.3483639325679531</v>
      </c>
      <c r="T27" s="64"/>
      <c r="U27" s="64"/>
      <c r="V27" s="64"/>
      <c r="W27" s="64"/>
      <c r="X27" s="64"/>
      <c r="Y27" s="64"/>
      <c r="Z27" s="153">
        <f t="shared" si="2"/>
        <v>10.724638332403604</v>
      </c>
      <c r="AA27" s="28">
        <f>'Releases &amp; Abandons'!C25</f>
        <v>0</v>
      </c>
      <c r="AB27" s="64"/>
      <c r="AC27" s="147"/>
      <c r="AD27" s="152">
        <f t="shared" si="4"/>
        <v>10.724638332403604</v>
      </c>
      <c r="AE27" s="127">
        <f t="shared" si="5"/>
        <v>281.44448349524623</v>
      </c>
    </row>
    <row r="28" spans="1:31" ht="15.9" x14ac:dyDescent="0.45">
      <c r="A28" s="12">
        <f>'Fuel Use, Tanks, &amp; Sites'!A26</f>
        <v>2050</v>
      </c>
      <c r="B28" s="149">
        <f>'Releases &amp; Abandons'!H26</f>
        <v>24.36606029463297</v>
      </c>
      <c r="C28" s="15"/>
      <c r="D28" s="14"/>
      <c r="E28" s="64"/>
      <c r="F28" s="64"/>
      <c r="G28" s="64"/>
      <c r="H28" s="64"/>
      <c r="I28" s="64"/>
      <c r="J28" s="64"/>
      <c r="K28" s="64"/>
      <c r="L28" s="64"/>
      <c r="M28" s="64"/>
      <c r="N28" s="64"/>
      <c r="O28" s="64">
        <f t="shared" si="15"/>
        <v>1.7983484052098493</v>
      </c>
      <c r="P28" s="64">
        <f t="shared" si="16"/>
        <v>1.4892016788140645</v>
      </c>
      <c r="Q28" s="64">
        <f t="shared" si="17"/>
        <v>1.1678191466131174</v>
      </c>
      <c r="R28" s="64">
        <f t="shared" si="18"/>
        <v>0.88648922635507954</v>
      </c>
      <c r="S28" s="64">
        <f t="shared" ref="S28:S32" si="19">$B$27*$D14/1000000</f>
        <v>0.66967278651359063</v>
      </c>
      <c r="T28" s="64">
        <f>$B$28*$D13/1000000</f>
        <v>2.5855009324087255</v>
      </c>
      <c r="U28" s="64"/>
      <c r="V28" s="64"/>
      <c r="W28" s="64"/>
      <c r="X28" s="64"/>
      <c r="Y28" s="64"/>
      <c r="Z28" s="153">
        <f t="shared" si="2"/>
        <v>8.5970321759144266</v>
      </c>
      <c r="AA28" s="28">
        <f>'Releases &amp; Abandons'!C26</f>
        <v>0</v>
      </c>
      <c r="AB28" s="64"/>
      <c r="AC28" s="147"/>
      <c r="AD28" s="152">
        <f t="shared" si="4"/>
        <v>8.5970321759144266</v>
      </c>
      <c r="AE28" s="127">
        <f t="shared" si="5"/>
        <v>290.04151567116065</v>
      </c>
    </row>
    <row r="29" spans="1:31" ht="15.9" x14ac:dyDescent="0.45">
      <c r="A29" s="12">
        <f>'Fuel Use, Tanks, &amp; Sites'!A27</f>
        <v>2052</v>
      </c>
      <c r="B29" s="149">
        <f>'Releases &amp; Abandons'!H27</f>
        <v>8.4112668816146865</v>
      </c>
      <c r="C29" s="15"/>
      <c r="D29" s="14"/>
      <c r="E29" s="64"/>
      <c r="F29" s="64"/>
      <c r="G29" s="64"/>
      <c r="H29" s="64"/>
      <c r="I29" s="64"/>
      <c r="J29" s="64"/>
      <c r="K29" s="64"/>
      <c r="L29" s="64"/>
      <c r="M29" s="64"/>
      <c r="N29" s="64"/>
      <c r="O29" s="64"/>
      <c r="P29" s="64">
        <f t="shared" si="16"/>
        <v>1.4892016788140645</v>
      </c>
      <c r="Q29" s="64">
        <f t="shared" si="17"/>
        <v>1.1678191466131174</v>
      </c>
      <c r="R29" s="64">
        <f t="shared" si="18"/>
        <v>0.88648922635507954</v>
      </c>
      <c r="S29" s="64">
        <f t="shared" si="19"/>
        <v>0.66967278651359063</v>
      </c>
      <c r="T29" s="64">
        <f t="shared" ref="T29:T33" si="20">$B$28*$D14/1000000</f>
        <v>0.51710018648174505</v>
      </c>
      <c r="U29" s="64">
        <f>$B$29*$D13/1000000</f>
        <v>0.8925258372582956</v>
      </c>
      <c r="V29" s="64"/>
      <c r="W29" s="64"/>
      <c r="X29" s="64"/>
      <c r="Y29" s="64"/>
      <c r="Z29" s="153">
        <f t="shared" si="2"/>
        <v>5.6228088620358925</v>
      </c>
      <c r="AA29" s="28">
        <f>'Releases &amp; Abandons'!C27</f>
        <v>0</v>
      </c>
      <c r="AB29" s="64"/>
      <c r="AC29" s="147"/>
      <c r="AD29" s="152">
        <f t="shared" si="4"/>
        <v>5.6228088620358925</v>
      </c>
      <c r="AE29" s="127">
        <f t="shared" si="5"/>
        <v>295.66432453319652</v>
      </c>
    </row>
    <row r="30" spans="1:31" ht="15.9" x14ac:dyDescent="0.45">
      <c r="A30" s="12">
        <f>'Fuel Use, Tanks, &amp; Sites'!A28</f>
        <v>2054</v>
      </c>
      <c r="B30" s="149">
        <f>'Releases &amp; Abandons'!H28</f>
        <v>5.3897303321398802</v>
      </c>
      <c r="C30" s="15"/>
      <c r="D30" s="14"/>
      <c r="E30" s="64"/>
      <c r="F30" s="64"/>
      <c r="G30" s="64"/>
      <c r="H30" s="64"/>
      <c r="I30" s="64"/>
      <c r="J30" s="64"/>
      <c r="K30" s="64"/>
      <c r="L30" s="64"/>
      <c r="M30" s="64"/>
      <c r="N30" s="64"/>
      <c r="O30" s="64"/>
      <c r="P30" s="64"/>
      <c r="Q30" s="64">
        <f t="shared" si="17"/>
        <v>1.1678191466131174</v>
      </c>
      <c r="R30" s="64">
        <f t="shared" si="18"/>
        <v>0.88648922635507954</v>
      </c>
      <c r="S30" s="64">
        <f t="shared" si="19"/>
        <v>0.66967278651359063</v>
      </c>
      <c r="T30" s="64">
        <f t="shared" si="20"/>
        <v>0.51710018648174505</v>
      </c>
      <c r="U30" s="64">
        <f t="shared" ref="U30:U34" si="21">$B$29*$D14/1000000</f>
        <v>0.17850516745165912</v>
      </c>
      <c r="V30" s="64">
        <f>$B$30*$D13/1000000</f>
        <v>0.57190832784111179</v>
      </c>
      <c r="W30" s="64"/>
      <c r="X30" s="64"/>
      <c r="Y30" s="64"/>
      <c r="Z30" s="153">
        <f t="shared" si="2"/>
        <v>3.9914948412563036</v>
      </c>
      <c r="AA30" s="28">
        <f>'Releases &amp; Abandons'!C28</f>
        <v>0</v>
      </c>
      <c r="AB30" s="64"/>
      <c r="AC30" s="147"/>
      <c r="AD30" s="152">
        <f t="shared" si="4"/>
        <v>3.9914948412563036</v>
      </c>
      <c r="AE30" s="127">
        <f t="shared" si="5"/>
        <v>299.65581937445285</v>
      </c>
    </row>
    <row r="31" spans="1:31" ht="15.9" x14ac:dyDescent="0.45">
      <c r="A31" s="12">
        <f>'Fuel Use, Tanks, &amp; Sites'!A29</f>
        <v>2056</v>
      </c>
      <c r="B31" s="149">
        <f>'Releases &amp; Abandons'!H29</f>
        <v>3.5133479724029466</v>
      </c>
      <c r="C31" s="15"/>
      <c r="D31" s="14"/>
      <c r="E31" s="64"/>
      <c r="F31" s="64"/>
      <c r="G31" s="64"/>
      <c r="H31" s="64"/>
      <c r="I31" s="64"/>
      <c r="J31" s="64"/>
      <c r="K31" s="64"/>
      <c r="L31" s="64"/>
      <c r="M31" s="64"/>
      <c r="N31" s="64"/>
      <c r="O31" s="64"/>
      <c r="P31" s="64"/>
      <c r="Q31" s="64"/>
      <c r="R31" s="64">
        <f t="shared" si="18"/>
        <v>0.88648922635507954</v>
      </c>
      <c r="S31" s="64">
        <f t="shared" si="19"/>
        <v>0.66967278651359063</v>
      </c>
      <c r="T31" s="64">
        <f t="shared" si="20"/>
        <v>0.51710018648174505</v>
      </c>
      <c r="U31" s="64">
        <f t="shared" si="21"/>
        <v>0.17850516745165912</v>
      </c>
      <c r="V31" s="64">
        <f t="shared" ref="V31:V35" si="22">$B$30*$D14/1000000</f>
        <v>0.11438166556822237</v>
      </c>
      <c r="W31" s="64">
        <f>$B$31*$D13/1000000</f>
        <v>0.37280398836265599</v>
      </c>
      <c r="X31" s="64"/>
      <c r="Y31" s="64"/>
      <c r="Z31" s="153">
        <f t="shared" si="2"/>
        <v>2.7389530207329522</v>
      </c>
      <c r="AA31" s="28">
        <f>'Releases &amp; Abandons'!C29</f>
        <v>0</v>
      </c>
      <c r="AB31" s="64"/>
      <c r="AC31" s="147"/>
      <c r="AD31" s="152">
        <f t="shared" si="4"/>
        <v>2.7389530207329522</v>
      </c>
      <c r="AE31" s="127">
        <f t="shared" si="5"/>
        <v>302.39477239518578</v>
      </c>
    </row>
    <row r="32" spans="1:31" ht="15.9" x14ac:dyDescent="0.45">
      <c r="A32" s="12">
        <f>'Fuel Use, Tanks, &amp; Sites'!A30</f>
        <v>2058</v>
      </c>
      <c r="B32" s="149">
        <f>'Releases &amp; Abandons'!H30</f>
        <v>2.3586742267317784</v>
      </c>
      <c r="C32" s="15"/>
      <c r="D32" s="14"/>
      <c r="E32" s="64"/>
      <c r="F32" s="64"/>
      <c r="G32" s="64"/>
      <c r="H32" s="64"/>
      <c r="I32" s="64"/>
      <c r="J32" s="64"/>
      <c r="K32" s="64"/>
      <c r="L32" s="64"/>
      <c r="M32" s="64"/>
      <c r="N32" s="64"/>
      <c r="O32" s="64"/>
      <c r="P32" s="64"/>
      <c r="Q32" s="64"/>
      <c r="R32" s="64"/>
      <c r="S32" s="64">
        <f t="shared" si="19"/>
        <v>0.66967278651359063</v>
      </c>
      <c r="T32" s="64">
        <f t="shared" si="20"/>
        <v>0.51710018648174505</v>
      </c>
      <c r="U32" s="64">
        <f t="shared" si="21"/>
        <v>0.17850516745165912</v>
      </c>
      <c r="V32" s="64">
        <f t="shared" si="22"/>
        <v>0.11438166556822237</v>
      </c>
      <c r="W32" s="64">
        <f t="shared" ref="W32:W36" si="23">$B$31*$D14/1000000</f>
        <v>7.4560797672531209E-2</v>
      </c>
      <c r="X32" s="64">
        <f>$B$32*$D13/1000000</f>
        <v>0.25028069120417906</v>
      </c>
      <c r="Y32" s="64"/>
      <c r="Z32" s="153">
        <f t="shared" si="2"/>
        <v>1.8045012948919277</v>
      </c>
      <c r="AA32" s="28">
        <f>'Releases &amp; Abandons'!C30</f>
        <v>0</v>
      </c>
      <c r="AB32" s="64"/>
      <c r="AC32" s="147"/>
      <c r="AD32" s="152">
        <f t="shared" si="4"/>
        <v>1.8045012948919277</v>
      </c>
      <c r="AE32" s="127">
        <f t="shared" si="5"/>
        <v>304.19927369007769</v>
      </c>
    </row>
    <row r="33" spans="1:31" ht="15.9" x14ac:dyDescent="0.45">
      <c r="A33" s="12">
        <f>'Fuel Use, Tanks, &amp; Sites'!A31</f>
        <v>2060</v>
      </c>
      <c r="B33" s="149">
        <f>'Releases &amp; Abandons'!H31</f>
        <v>1.5830098049433357</v>
      </c>
      <c r="C33" s="15"/>
      <c r="D33" s="14"/>
      <c r="E33" s="64"/>
      <c r="F33" s="64"/>
      <c r="G33" s="64"/>
      <c r="H33" s="64"/>
      <c r="I33" s="64"/>
      <c r="J33" s="64"/>
      <c r="K33" s="64"/>
      <c r="L33" s="64"/>
      <c r="M33" s="64"/>
      <c r="N33" s="64"/>
      <c r="O33" s="64"/>
      <c r="P33" s="64"/>
      <c r="Q33" s="64"/>
      <c r="R33" s="64"/>
      <c r="S33" s="64"/>
      <c r="T33" s="64">
        <f t="shared" si="20"/>
        <v>0.51710018648174505</v>
      </c>
      <c r="U33" s="64">
        <f t="shared" si="21"/>
        <v>0.17850516745165912</v>
      </c>
      <c r="V33" s="64">
        <f t="shared" si="22"/>
        <v>0.11438166556822237</v>
      </c>
      <c r="W33" s="64">
        <f t="shared" si="23"/>
        <v>7.4560797672531209E-2</v>
      </c>
      <c r="X33" s="64">
        <f t="shared" ref="X33:X37" si="24">$B$32*$D14/1000000</f>
        <v>5.005613824083581E-2</v>
      </c>
      <c r="Y33" s="64">
        <f>$B$33*$D13/1000000</f>
        <v>0.16797435765989105</v>
      </c>
      <c r="Z33" s="153">
        <f t="shared" si="2"/>
        <v>1.1025783130748845</v>
      </c>
      <c r="AA33" s="28">
        <f>'Releases &amp; Abandons'!C31</f>
        <v>0</v>
      </c>
      <c r="AB33" s="64"/>
      <c r="AC33" s="147"/>
      <c r="AD33" s="152">
        <f t="shared" si="4"/>
        <v>1.1025783130748845</v>
      </c>
      <c r="AE33" s="127">
        <f t="shared" si="5"/>
        <v>305.30185200315259</v>
      </c>
    </row>
    <row r="34" spans="1:31" ht="15.9" x14ac:dyDescent="0.45">
      <c r="A34" s="12">
        <f>'Fuel Use, Tanks, &amp; Sites'!A32</f>
        <v>2062</v>
      </c>
      <c r="B34" s="149">
        <f>'Releases &amp; Abandons'!H32</f>
        <v>0</v>
      </c>
      <c r="C34" s="15"/>
      <c r="D34" s="14"/>
      <c r="E34" s="64"/>
      <c r="F34" s="64"/>
      <c r="G34" s="64"/>
      <c r="H34" s="64"/>
      <c r="I34" s="64"/>
      <c r="J34" s="64"/>
      <c r="K34" s="64"/>
      <c r="L34" s="64"/>
      <c r="M34" s="64"/>
      <c r="N34" s="64"/>
      <c r="O34" s="64"/>
      <c r="P34" s="64"/>
      <c r="Q34" s="64"/>
      <c r="R34" s="64"/>
      <c r="S34" s="64"/>
      <c r="T34" s="64"/>
      <c r="U34" s="64">
        <f t="shared" si="21"/>
        <v>0.17850516745165912</v>
      </c>
      <c r="V34" s="64">
        <f t="shared" si="22"/>
        <v>0.11438166556822237</v>
      </c>
      <c r="W34" s="64">
        <f t="shared" si="23"/>
        <v>7.4560797672531209E-2</v>
      </c>
      <c r="X34" s="64">
        <f t="shared" si="24"/>
        <v>5.005613824083581E-2</v>
      </c>
      <c r="Y34" s="64">
        <f t="shared" ref="Y34:Y38" si="25">$B$33*$D14/1000000</f>
        <v>3.359487153197821E-2</v>
      </c>
      <c r="Z34" s="153">
        <f t="shared" si="2"/>
        <v>0.45109864046522674</v>
      </c>
      <c r="AA34" s="64"/>
      <c r="AB34" s="64"/>
      <c r="AC34" s="147"/>
      <c r="AD34" s="152">
        <f t="shared" si="4"/>
        <v>0.45109864046522674</v>
      </c>
      <c r="AE34" s="127">
        <f t="shared" si="5"/>
        <v>305.75295064361779</v>
      </c>
    </row>
    <row r="35" spans="1:31" ht="15.9" x14ac:dyDescent="0.45">
      <c r="A35" s="12">
        <f>'Fuel Use, Tanks, &amp; Sites'!A33</f>
        <v>2064</v>
      </c>
      <c r="B35" s="149">
        <f>'Releases &amp; Abandons'!H33</f>
        <v>0</v>
      </c>
      <c r="C35" s="15"/>
      <c r="D35" s="14"/>
      <c r="E35" s="64"/>
      <c r="F35" s="64"/>
      <c r="G35" s="64"/>
      <c r="H35" s="64"/>
      <c r="I35" s="64"/>
      <c r="J35" s="64"/>
      <c r="K35" s="64"/>
      <c r="L35" s="64"/>
      <c r="M35" s="64"/>
      <c r="N35" s="64"/>
      <c r="O35" s="64"/>
      <c r="P35" s="64"/>
      <c r="Q35" s="64"/>
      <c r="R35" s="64"/>
      <c r="S35" s="64"/>
      <c r="T35" s="64"/>
      <c r="U35" s="64"/>
      <c r="V35" s="64">
        <f t="shared" si="22"/>
        <v>0.11438166556822237</v>
      </c>
      <c r="W35" s="64">
        <f t="shared" si="23"/>
        <v>7.4560797672531209E-2</v>
      </c>
      <c r="X35" s="64">
        <f t="shared" si="24"/>
        <v>5.005613824083581E-2</v>
      </c>
      <c r="Y35" s="64">
        <f t="shared" si="25"/>
        <v>3.359487153197821E-2</v>
      </c>
      <c r="Z35" s="153">
        <f t="shared" si="2"/>
        <v>0.27259347301356762</v>
      </c>
      <c r="AA35" s="64"/>
      <c r="AB35" s="64"/>
      <c r="AC35" s="147"/>
      <c r="AD35" s="152">
        <f t="shared" si="4"/>
        <v>0.27259347301356762</v>
      </c>
      <c r="AE35" s="127">
        <f t="shared" si="5"/>
        <v>306.02554411663135</v>
      </c>
    </row>
    <row r="36" spans="1:31" ht="15.9" x14ac:dyDescent="0.45">
      <c r="A36" s="12">
        <f>'Fuel Use, Tanks, &amp; Sites'!A34</f>
        <v>2066</v>
      </c>
      <c r="B36" s="149">
        <f>'Releases &amp; Abandons'!H34</f>
        <v>0</v>
      </c>
      <c r="C36" s="15"/>
      <c r="D36" s="14"/>
      <c r="E36" s="64"/>
      <c r="F36" s="64"/>
      <c r="G36" s="64"/>
      <c r="H36" s="64"/>
      <c r="I36" s="64"/>
      <c r="J36" s="64"/>
      <c r="K36" s="64"/>
      <c r="L36" s="64"/>
      <c r="M36" s="64"/>
      <c r="N36" s="64"/>
      <c r="O36" s="64"/>
      <c r="P36" s="64"/>
      <c r="Q36" s="64"/>
      <c r="R36" s="64"/>
      <c r="S36" s="64"/>
      <c r="T36" s="64"/>
      <c r="U36" s="64"/>
      <c r="V36" s="64"/>
      <c r="W36" s="64">
        <f t="shared" si="23"/>
        <v>7.4560797672531209E-2</v>
      </c>
      <c r="X36" s="64">
        <f t="shared" si="24"/>
        <v>5.005613824083581E-2</v>
      </c>
      <c r="Y36" s="64">
        <f t="shared" si="25"/>
        <v>3.359487153197821E-2</v>
      </c>
      <c r="Z36" s="153">
        <f t="shared" si="2"/>
        <v>0.15821180744534524</v>
      </c>
      <c r="AA36" s="64"/>
      <c r="AB36" s="64"/>
      <c r="AC36" s="147"/>
      <c r="AD36" s="152">
        <f t="shared" si="4"/>
        <v>0.15821180744534524</v>
      </c>
      <c r="AE36" s="127">
        <f t="shared" si="5"/>
        <v>306.18375592407671</v>
      </c>
    </row>
    <row r="37" spans="1:31" ht="15.9" x14ac:dyDescent="0.45">
      <c r="A37" s="12">
        <f>'Fuel Use, Tanks, &amp; Sites'!A35</f>
        <v>2068</v>
      </c>
      <c r="B37" s="149">
        <f>'Releases &amp; Abandons'!H35</f>
        <v>0</v>
      </c>
      <c r="C37" s="15"/>
      <c r="D37" s="14"/>
      <c r="E37" s="64"/>
      <c r="F37" s="64"/>
      <c r="G37" s="64"/>
      <c r="H37" s="64"/>
      <c r="I37" s="64"/>
      <c r="J37" s="64"/>
      <c r="K37" s="64"/>
      <c r="L37" s="64"/>
      <c r="M37" s="64"/>
      <c r="N37" s="64"/>
      <c r="O37" s="64"/>
      <c r="P37" s="64"/>
      <c r="Q37" s="64"/>
      <c r="R37" s="64"/>
      <c r="S37" s="64"/>
      <c r="T37" s="64"/>
      <c r="U37" s="64"/>
      <c r="V37" s="64"/>
      <c r="W37" s="64"/>
      <c r="X37" s="64">
        <f t="shared" si="24"/>
        <v>5.005613824083581E-2</v>
      </c>
      <c r="Y37" s="64">
        <f t="shared" si="25"/>
        <v>3.359487153197821E-2</v>
      </c>
      <c r="Z37" s="153">
        <f t="shared" si="2"/>
        <v>8.365100977281402E-2</v>
      </c>
      <c r="AA37" s="64"/>
      <c r="AB37" s="64"/>
      <c r="AC37" s="147"/>
      <c r="AD37" s="152">
        <f t="shared" si="4"/>
        <v>8.365100977281402E-2</v>
      </c>
      <c r="AE37" s="127">
        <f t="shared" si="5"/>
        <v>306.26740693384954</v>
      </c>
    </row>
    <row r="38" spans="1:31" ht="16.3" thickBot="1" x14ac:dyDescent="0.5">
      <c r="A38" s="12">
        <f>'Fuel Use, Tanks, &amp; Sites'!A36</f>
        <v>2070</v>
      </c>
      <c r="B38" s="149">
        <f>'Releases &amp; Abandons'!H36</f>
        <v>0</v>
      </c>
      <c r="C38" s="15"/>
      <c r="D38" s="14"/>
      <c r="E38" s="64"/>
      <c r="F38" s="64"/>
      <c r="G38" s="64"/>
      <c r="H38" s="64"/>
      <c r="I38" s="64"/>
      <c r="J38" s="64"/>
      <c r="K38" s="64"/>
      <c r="L38" s="64"/>
      <c r="M38" s="64"/>
      <c r="N38" s="64"/>
      <c r="O38" s="64"/>
      <c r="P38" s="64"/>
      <c r="Q38" s="64"/>
      <c r="R38" s="64"/>
      <c r="S38" s="64"/>
      <c r="T38" s="64"/>
      <c r="U38" s="64"/>
      <c r="V38" s="64"/>
      <c r="W38" s="64"/>
      <c r="X38" s="64"/>
      <c r="Y38" s="64">
        <f t="shared" si="25"/>
        <v>3.359487153197821E-2</v>
      </c>
      <c r="Z38" s="153">
        <f t="shared" si="2"/>
        <v>3.359487153197821E-2</v>
      </c>
      <c r="AA38" s="64"/>
      <c r="AB38" s="64"/>
      <c r="AC38" s="147"/>
      <c r="AD38" s="152">
        <f t="shared" si="4"/>
        <v>3.359487153197821E-2</v>
      </c>
      <c r="AE38" s="127">
        <f t="shared" si="5"/>
        <v>306.30100180538153</v>
      </c>
    </row>
    <row r="39" spans="1:31" ht="16.3" thickBot="1" x14ac:dyDescent="0.5">
      <c r="A39" s="16" t="s">
        <v>4</v>
      </c>
      <c r="B39" s="91"/>
      <c r="C39" s="19"/>
      <c r="D39" s="30">
        <f>SUM(D13:D18)</f>
        <v>212221.49999999997</v>
      </c>
      <c r="E39" s="17"/>
      <c r="F39" s="17"/>
      <c r="G39" s="17"/>
      <c r="H39" s="17"/>
      <c r="I39" s="17"/>
      <c r="J39" s="17"/>
      <c r="K39" s="17"/>
      <c r="L39" s="17"/>
      <c r="M39" s="17"/>
      <c r="N39" s="17"/>
      <c r="O39" s="17"/>
      <c r="P39" s="17"/>
      <c r="Q39" s="17"/>
      <c r="R39" s="17"/>
      <c r="S39" s="17"/>
      <c r="T39" s="17"/>
      <c r="U39" s="17"/>
      <c r="V39" s="17"/>
      <c r="W39" s="17"/>
      <c r="X39" s="17"/>
      <c r="Y39" s="17"/>
      <c r="Z39" s="154">
        <f>SUM(Z13:Z38)</f>
        <v>283.20100180538145</v>
      </c>
      <c r="AA39" s="19"/>
      <c r="AB39" s="17"/>
      <c r="AC39" s="129">
        <f>SUM(AC13:AC38)</f>
        <v>23.100000000000005</v>
      </c>
      <c r="AD39" s="128">
        <f>SUM(AD13:AD38)</f>
        <v>306.30100180538153</v>
      </c>
      <c r="AE39" s="129"/>
    </row>
  </sheetData>
  <mergeCells count="15">
    <mergeCell ref="E9:AE9"/>
    <mergeCell ref="AA10:AC10"/>
    <mergeCell ref="AD10:AE10"/>
    <mergeCell ref="B10:Z10"/>
    <mergeCell ref="B11:B12"/>
    <mergeCell ref="C11:C12"/>
    <mergeCell ref="AB11:AB12"/>
    <mergeCell ref="AC11:AC12"/>
    <mergeCell ref="AD11:AD12"/>
    <mergeCell ref="AE11:AE12"/>
    <mergeCell ref="A11:A12"/>
    <mergeCell ref="D11:D12"/>
    <mergeCell ref="E11:Y11"/>
    <mergeCell ref="Z11:Z12"/>
    <mergeCell ref="AA11:AA12"/>
  </mergeCells>
  <pageMargins left="0.7" right="0.7" top="0.75" bottom="0.75" header="0.3" footer="0.3"/>
  <pageSetup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4B0C-3A2E-452E-9CBE-2D7E2410DFC7}">
  <dimension ref="A1:O39"/>
  <sheetViews>
    <sheetView topLeftCell="A8" zoomScale="50" zoomScaleNormal="50" workbookViewId="0">
      <selection activeCell="I11" sqref="I11"/>
    </sheetView>
  </sheetViews>
  <sheetFormatPr defaultRowHeight="14.6" x14ac:dyDescent="0.4"/>
  <cols>
    <col min="2" max="2" width="10" customWidth="1"/>
    <col min="3" max="3" width="11" customWidth="1"/>
    <col min="4" max="4" width="11.69140625" customWidth="1"/>
    <col min="5" max="5" width="9.15234375" bestFit="1" customWidth="1"/>
    <col min="6" max="6" width="12.3828125" customWidth="1"/>
    <col min="7" max="7" width="12.921875" customWidth="1"/>
    <col min="8" max="8" width="17.61328125" customWidth="1"/>
    <col min="9" max="9" width="11.07421875" customWidth="1"/>
    <col min="10" max="10" width="11.53515625" customWidth="1"/>
    <col min="11" max="11" width="16.921875" customWidth="1"/>
    <col min="12" max="12" width="9.921875" customWidth="1"/>
    <col min="13" max="13" width="12.4609375" customWidth="1"/>
    <col min="14" max="14" width="13.84375" customWidth="1"/>
    <col min="15" max="15" width="13.23046875" customWidth="1"/>
  </cols>
  <sheetData>
    <row r="1" spans="1:15" ht="15" thickBot="1" x14ac:dyDescent="0.45"/>
    <row r="2" spans="1:15" ht="18" thickBot="1" x14ac:dyDescent="0.45">
      <c r="A2" s="132" t="s">
        <v>56</v>
      </c>
    </row>
    <row r="8" spans="1:15" s="1" customFormat="1" ht="37.5" customHeight="1" thickBot="1" x14ac:dyDescent="0.55000000000000004">
      <c r="C8" s="134"/>
      <c r="D8" s="134"/>
      <c r="E8" s="134"/>
      <c r="F8" s="134"/>
      <c r="G8" s="134"/>
      <c r="H8" s="134"/>
      <c r="I8" s="134"/>
      <c r="J8" s="134"/>
      <c r="K8" s="134"/>
      <c r="O8" s="135"/>
    </row>
    <row r="9" spans="1:15" ht="27.55" customHeight="1" thickBot="1" x14ac:dyDescent="0.55000000000000004">
      <c r="A9" s="133"/>
      <c r="B9" s="204" t="s">
        <v>59</v>
      </c>
      <c r="C9" s="205"/>
      <c r="D9" s="205"/>
      <c r="E9" s="205"/>
      <c r="F9" s="205"/>
      <c r="G9" s="206"/>
      <c r="H9" s="204" t="s">
        <v>58</v>
      </c>
      <c r="I9" s="205"/>
      <c r="J9" s="205"/>
      <c r="K9" s="205"/>
      <c r="L9" s="231" t="s">
        <v>60</v>
      </c>
      <c r="M9" s="209"/>
      <c r="N9" s="205" t="s">
        <v>61</v>
      </c>
      <c r="O9" s="206"/>
    </row>
    <row r="10" spans="1:15" ht="79.3" customHeight="1" thickBot="1" x14ac:dyDescent="0.55000000000000004">
      <c r="A10" s="85" t="s">
        <v>2</v>
      </c>
      <c r="B10" s="126" t="s">
        <v>35</v>
      </c>
      <c r="C10" s="191" t="s">
        <v>111</v>
      </c>
      <c r="D10" s="126" t="s">
        <v>115</v>
      </c>
      <c r="E10" s="190" t="s">
        <v>116</v>
      </c>
      <c r="F10" s="126" t="s">
        <v>114</v>
      </c>
      <c r="G10" s="197" t="s">
        <v>112</v>
      </c>
      <c r="H10" s="126" t="s">
        <v>55</v>
      </c>
      <c r="I10" s="126" t="s">
        <v>57</v>
      </c>
      <c r="J10" s="126" t="s">
        <v>54</v>
      </c>
      <c r="K10" s="126" t="s">
        <v>53</v>
      </c>
      <c r="L10" s="126" t="str">
        <f>'Corrective Action Costs '!AD11</f>
        <v>Period CA Costs</v>
      </c>
      <c r="M10" s="126" t="s">
        <v>110</v>
      </c>
      <c r="N10" s="126" t="str">
        <f>'Corrective Action Costs '!$AE$11</f>
        <v>Cumulative CA Costs</v>
      </c>
      <c r="O10" s="126" t="s">
        <v>1</v>
      </c>
    </row>
    <row r="11" spans="1:15" ht="15.9" x14ac:dyDescent="0.45">
      <c r="A11" s="86">
        <v>2020</v>
      </c>
      <c r="B11" s="88">
        <f>'Data Entry'!C41</f>
        <v>0.1</v>
      </c>
      <c r="C11" s="200">
        <f>'Data Entry'!C42</f>
        <v>2.7199999999999998E-2</v>
      </c>
      <c r="D11" s="33">
        <f>(42*'Fuel Use, Tanks, &amp; Sites'!$C11*365*$C11)*2</f>
        <v>157.97468354430382</v>
      </c>
      <c r="E11" s="198">
        <f>'Data Entry'!C43</f>
        <v>250</v>
      </c>
      <c r="F11" s="136">
        <f>(E11*('Fuel Use, Tanks, &amp; Sites'!$K11 +'Fuel Use, Tanks, &amp; Sites'!$O11)/1000000)*2</f>
        <v>4.3310000000000004</v>
      </c>
      <c r="G11" s="26">
        <f>F11+D11</f>
        <v>162.3056835443038</v>
      </c>
      <c r="H11" s="80" t="s">
        <v>38</v>
      </c>
      <c r="I11" s="26">
        <f>IF(G11&gt;60, 60, G11)</f>
        <v>60</v>
      </c>
      <c r="J11" s="80">
        <f>'Data Entry'!C45*2</f>
        <v>38</v>
      </c>
      <c r="K11" s="26">
        <f>I11-J11</f>
        <v>22</v>
      </c>
      <c r="L11" s="27">
        <f>'Corrective Action Costs '!AD13</f>
        <v>17.979726835497576</v>
      </c>
      <c r="M11" s="31">
        <f>K11-'Corrective Action Costs '!AD13</f>
        <v>4.0202731645024237</v>
      </c>
      <c r="N11" s="31">
        <f>'Corrective Action Costs '!$AE13</f>
        <v>17.979726835497576</v>
      </c>
      <c r="O11" s="33">
        <f>B11+M11</f>
        <v>4.1202731645024233</v>
      </c>
    </row>
    <row r="12" spans="1:15" ht="15.9" x14ac:dyDescent="0.45">
      <c r="A12" s="86">
        <v>2022</v>
      </c>
      <c r="B12" s="20"/>
      <c r="C12" s="201">
        <f t="shared" ref="C12:C36" si="0">C11</f>
        <v>2.7199999999999998E-2</v>
      </c>
      <c r="D12" s="33">
        <f>(42*'Fuel Use, Tanks, &amp; Sites'!$C12*365*$C12)*2</f>
        <v>155.70874901680594</v>
      </c>
      <c r="E12" s="199">
        <f t="shared" ref="E12:E36" si="1">E11</f>
        <v>250</v>
      </c>
      <c r="F12" s="136">
        <f>(E12*('Fuel Use, Tanks, &amp; Sites'!$K12 +'Fuel Use, Tanks, &amp; Sites'!$O12)/1000000)*2</f>
        <v>4.2103029009030237</v>
      </c>
      <c r="G12" s="26">
        <f t="shared" ref="G12:G36" si="2">F12+D12</f>
        <v>159.91905191770897</v>
      </c>
      <c r="H12" s="80" t="s">
        <v>38</v>
      </c>
      <c r="I12" s="26">
        <f t="shared" ref="I12:I36" si="3">IF(G12&gt;60, 60, G12)</f>
        <v>60</v>
      </c>
      <c r="J12" s="80">
        <f>I12*J$11/$I$11</f>
        <v>38</v>
      </c>
      <c r="K12" s="26">
        <f t="shared" ref="K12:K31" si="4">I12-J12</f>
        <v>22</v>
      </c>
      <c r="L12" s="27">
        <f>'Corrective Action Costs '!AD14</f>
        <v>16.337872990147343</v>
      </c>
      <c r="M12" s="31">
        <f>K12-'Corrective Action Costs '!AD14</f>
        <v>5.6621270098526573</v>
      </c>
      <c r="N12" s="31">
        <f>'Corrective Action Costs '!$AE14</f>
        <v>34.317599825644919</v>
      </c>
      <c r="O12" s="33">
        <f>O11+M12</f>
        <v>9.7824001743550806</v>
      </c>
    </row>
    <row r="13" spans="1:15" ht="15.9" x14ac:dyDescent="0.45">
      <c r="A13" s="86">
        <v>2024</v>
      </c>
      <c r="B13" s="20"/>
      <c r="C13" s="201">
        <f t="shared" si="0"/>
        <v>2.7199999999999998E-2</v>
      </c>
      <c r="D13" s="33">
        <f>(42*'Fuel Use, Tanks, &amp; Sites'!$C13*365*$C13)*2</f>
        <v>154.38013652638239</v>
      </c>
      <c r="E13" s="199">
        <f t="shared" si="1"/>
        <v>250</v>
      </c>
      <c r="F13" s="136">
        <f>(E13*('Fuel Use, Tanks, &amp; Sites'!$K13 +'Fuel Use, Tanks, &amp; Sites'!$O13)/1000000)*2</f>
        <v>4.1156770771891527</v>
      </c>
      <c r="G13" s="26">
        <f t="shared" si="2"/>
        <v>158.49581360357155</v>
      </c>
      <c r="H13" s="80" t="s">
        <v>38</v>
      </c>
      <c r="I13" s="26">
        <f t="shared" si="3"/>
        <v>60</v>
      </c>
      <c r="J13" s="80">
        <f t="shared" ref="J13:J31" si="5">I13*J$11/$I$11</f>
        <v>38</v>
      </c>
      <c r="K13" s="26">
        <f t="shared" si="4"/>
        <v>22</v>
      </c>
      <c r="L13" s="27">
        <f>'Corrective Action Costs '!AD15</f>
        <v>17.919853148965629</v>
      </c>
      <c r="M13" s="31">
        <f>K13-'Corrective Action Costs '!AD15</f>
        <v>4.080146851034371</v>
      </c>
      <c r="N13" s="31">
        <f>'Corrective Action Costs '!$AE15</f>
        <v>52.237452974610548</v>
      </c>
      <c r="O13" s="33">
        <f t="shared" ref="O13:O36" si="6">O12+M13</f>
        <v>13.862547025389452</v>
      </c>
    </row>
    <row r="14" spans="1:15" ht="15.9" x14ac:dyDescent="0.45">
      <c r="A14" s="86">
        <v>2026</v>
      </c>
      <c r="B14" s="20"/>
      <c r="C14" s="201">
        <f t="shared" si="0"/>
        <v>2.7199999999999998E-2</v>
      </c>
      <c r="D14" s="33">
        <f>(42*'Fuel Use, Tanks, &amp; Sites'!$C14*365*$C14)*2</f>
        <v>152.30088915674855</v>
      </c>
      <c r="E14" s="199">
        <f t="shared" si="1"/>
        <v>250</v>
      </c>
      <c r="F14" s="136">
        <f>(E14*('Fuel Use, Tanks, &amp; Sites'!$K14 +'Fuel Use, Tanks, &amp; Sites'!$O14)/1000000)*2</f>
        <v>4.0026554580179647</v>
      </c>
      <c r="G14" s="26">
        <f t="shared" si="2"/>
        <v>156.30354461476651</v>
      </c>
      <c r="H14" s="80" t="s">
        <v>38</v>
      </c>
      <c r="I14" s="26">
        <f t="shared" si="3"/>
        <v>60</v>
      </c>
      <c r="J14" s="80">
        <f t="shared" si="5"/>
        <v>38</v>
      </c>
      <c r="K14" s="26">
        <f t="shared" si="4"/>
        <v>22</v>
      </c>
      <c r="L14" s="27">
        <f>'Corrective Action Costs '!AD16</f>
        <v>19.588522630432138</v>
      </c>
      <c r="M14" s="31">
        <f>K14-'Corrective Action Costs '!AD16</f>
        <v>2.4114773695678622</v>
      </c>
      <c r="N14" s="31">
        <f>'Corrective Action Costs '!$AE16</f>
        <v>71.825975605042686</v>
      </c>
      <c r="O14" s="33">
        <f t="shared" si="6"/>
        <v>16.274024394957316</v>
      </c>
    </row>
    <row r="15" spans="1:15" ht="15.9" x14ac:dyDescent="0.45">
      <c r="A15" s="86">
        <v>2028</v>
      </c>
      <c r="B15" s="20"/>
      <c r="C15" s="201">
        <f t="shared" si="0"/>
        <v>2.7199999999999998E-2</v>
      </c>
      <c r="D15" s="33">
        <f>(42*'Fuel Use, Tanks, &amp; Sites'!$C15*365*$C15)*2</f>
        <v>149.08814416464395</v>
      </c>
      <c r="E15" s="199">
        <f t="shared" si="1"/>
        <v>250</v>
      </c>
      <c r="F15" s="136">
        <f>(E15*('Fuel Use, Tanks, &amp; Sites'!$K15 +'Fuel Use, Tanks, &amp; Sites'!$O15)/1000000)*2</f>
        <v>3.862306648469112</v>
      </c>
      <c r="G15" s="26">
        <f t="shared" si="2"/>
        <v>152.95045081311306</v>
      </c>
      <c r="H15" s="80" t="s">
        <v>38</v>
      </c>
      <c r="I15" s="26">
        <f t="shared" si="3"/>
        <v>60</v>
      </c>
      <c r="J15" s="80">
        <f t="shared" si="5"/>
        <v>38</v>
      </c>
      <c r="K15" s="26">
        <f t="shared" si="4"/>
        <v>22</v>
      </c>
      <c r="L15" s="27">
        <f>'Corrective Action Costs '!AD17</f>
        <v>21.369873183086259</v>
      </c>
      <c r="M15" s="31">
        <f>K15-'Corrective Action Costs '!AD17</f>
        <v>0.63012681691374084</v>
      </c>
      <c r="N15" s="31">
        <f>'Corrective Action Costs '!$AE17</f>
        <v>93.195848788128941</v>
      </c>
      <c r="O15" s="33">
        <f t="shared" si="6"/>
        <v>16.904151211871056</v>
      </c>
    </row>
    <row r="16" spans="1:15" ht="15.9" x14ac:dyDescent="0.45">
      <c r="A16" s="86">
        <v>2030</v>
      </c>
      <c r="B16" s="20"/>
      <c r="C16" s="201">
        <f t="shared" si="0"/>
        <v>2.7199999999999998E-2</v>
      </c>
      <c r="D16" s="33">
        <f>(42*'Fuel Use, Tanks, &amp; Sites'!$C16*365*$C16)*2</f>
        <v>144.22049569551157</v>
      </c>
      <c r="E16" s="199">
        <f t="shared" si="1"/>
        <v>250</v>
      </c>
      <c r="F16" s="136">
        <f>(E16*('Fuel Use, Tanks, &amp; Sites'!$K16 +'Fuel Use, Tanks, &amp; Sites'!$O16)/1000000)*2</f>
        <v>3.6827690334730749</v>
      </c>
      <c r="G16" s="26">
        <f t="shared" si="2"/>
        <v>147.90326472898465</v>
      </c>
      <c r="H16" s="80" t="s">
        <v>38</v>
      </c>
      <c r="I16" s="26">
        <f t="shared" si="3"/>
        <v>60</v>
      </c>
      <c r="J16" s="80">
        <f t="shared" si="5"/>
        <v>38</v>
      </c>
      <c r="K16" s="26">
        <f t="shared" si="4"/>
        <v>22</v>
      </c>
      <c r="L16" s="27">
        <f>'Corrective Action Costs '!AD18</f>
        <v>23.269542793596912</v>
      </c>
      <c r="M16" s="31">
        <f>K16-'Corrective Action Costs '!AD18</f>
        <v>-1.2695427935969121</v>
      </c>
      <c r="N16" s="31">
        <f>'Corrective Action Costs '!$AE18</f>
        <v>116.46539158172585</v>
      </c>
      <c r="O16" s="33">
        <f t="shared" si="6"/>
        <v>15.634608418274144</v>
      </c>
    </row>
    <row r="17" spans="1:15" ht="15.9" x14ac:dyDescent="0.45">
      <c r="A17" s="86">
        <v>2032</v>
      </c>
      <c r="B17" s="20"/>
      <c r="C17" s="201">
        <f t="shared" si="0"/>
        <v>2.7199999999999998E-2</v>
      </c>
      <c r="D17" s="33">
        <f>(42*'Fuel Use, Tanks, &amp; Sites'!$C17*365*$C17)*2</f>
        <v>137.06059314170918</v>
      </c>
      <c r="E17" s="199">
        <f t="shared" si="1"/>
        <v>250</v>
      </c>
      <c r="F17" s="136">
        <f>(E17*('Fuel Use, Tanks, &amp; Sites'!$K17 +'Fuel Use, Tanks, &amp; Sites'!$O17)/1000000)*2</f>
        <v>3.4500533054908784</v>
      </c>
      <c r="G17" s="26">
        <f t="shared" si="2"/>
        <v>140.51064644720006</v>
      </c>
      <c r="H17" s="80" t="s">
        <v>38</v>
      </c>
      <c r="I17" s="26">
        <f t="shared" si="3"/>
        <v>60</v>
      </c>
      <c r="J17" s="80">
        <f t="shared" si="5"/>
        <v>38</v>
      </c>
      <c r="K17" s="26">
        <f t="shared" si="4"/>
        <v>22</v>
      </c>
      <c r="L17" s="27">
        <f>'Corrective Action Costs '!AD19</f>
        <v>22.4866661228086</v>
      </c>
      <c r="M17" s="31">
        <f>K17-'Corrective Action Costs '!AD19</f>
        <v>-0.48666612280860022</v>
      </c>
      <c r="N17" s="31">
        <f>'Corrective Action Costs '!$AE19</f>
        <v>138.95205770453447</v>
      </c>
      <c r="O17" s="33">
        <f t="shared" si="6"/>
        <v>15.147942295465544</v>
      </c>
    </row>
    <row r="18" spans="1:15" ht="15.9" x14ac:dyDescent="0.45">
      <c r="A18" s="86">
        <v>2034</v>
      </c>
      <c r="B18" s="20"/>
      <c r="C18" s="201">
        <f t="shared" si="0"/>
        <v>2.7199999999999998E-2</v>
      </c>
      <c r="D18" s="33">
        <f>(42*'Fuel Use, Tanks, &amp; Sites'!$C18*365*$C18)*2</f>
        <v>126.97467058930476</v>
      </c>
      <c r="E18" s="199">
        <f t="shared" si="1"/>
        <v>250</v>
      </c>
      <c r="F18" s="136">
        <f>(E18*('Fuel Use, Tanks, &amp; Sites'!$K18 +'Fuel Use, Tanks, &amp; Sites'!$O18)/1000000)*2</f>
        <v>3.1511569088050604</v>
      </c>
      <c r="G18" s="26">
        <f t="shared" si="2"/>
        <v>130.12582749810983</v>
      </c>
      <c r="H18" s="80" t="s">
        <v>38</v>
      </c>
      <c r="I18" s="26">
        <f t="shared" si="3"/>
        <v>60</v>
      </c>
      <c r="J18" s="80">
        <f t="shared" si="5"/>
        <v>38</v>
      </c>
      <c r="K18" s="26">
        <f t="shared" si="4"/>
        <v>22</v>
      </c>
      <c r="L18" s="27">
        <f>'Corrective Action Costs '!AD20</f>
        <v>22.442169179242637</v>
      </c>
      <c r="M18" s="31">
        <f>K18-'Corrective Action Costs '!AD20</f>
        <v>-0.44216917924263655</v>
      </c>
      <c r="N18" s="31">
        <f>'Corrective Action Costs '!$AE20</f>
        <v>161.39422688377709</v>
      </c>
      <c r="O18" s="33">
        <f t="shared" si="6"/>
        <v>14.705773116222908</v>
      </c>
    </row>
    <row r="19" spans="1:15" ht="15.9" x14ac:dyDescent="0.45">
      <c r="A19" s="86">
        <v>2036</v>
      </c>
      <c r="B19" s="20"/>
      <c r="C19" s="201">
        <f t="shared" si="0"/>
        <v>2.7199999999999998E-2</v>
      </c>
      <c r="D19" s="33">
        <f>(42*'Fuel Use, Tanks, &amp; Sites'!$C19*365*$C19)*2</f>
        <v>113.59954081717053</v>
      </c>
      <c r="E19" s="199">
        <f t="shared" si="1"/>
        <v>250</v>
      </c>
      <c r="F19" s="136">
        <f>(E19*('Fuel Use, Tanks, &amp; Sites'!$K19 +'Fuel Use, Tanks, &amp; Sites'!$O19)/1000000)*2</f>
        <v>2.7804633963088752</v>
      </c>
      <c r="G19" s="26">
        <f t="shared" si="2"/>
        <v>116.38000421347941</v>
      </c>
      <c r="H19" s="80" t="s">
        <v>38</v>
      </c>
      <c r="I19" s="26">
        <f t="shared" si="3"/>
        <v>60</v>
      </c>
      <c r="J19" s="80">
        <f t="shared" si="5"/>
        <v>38</v>
      </c>
      <c r="K19" s="26">
        <f t="shared" si="4"/>
        <v>22</v>
      </c>
      <c r="L19" s="27">
        <f>'Corrective Action Costs '!AD21</f>
        <v>22.108552696105793</v>
      </c>
      <c r="M19" s="31">
        <f>K19-'Corrective Action Costs '!AD21</f>
        <v>-0.10855269610579299</v>
      </c>
      <c r="N19" s="31">
        <f>'Corrective Action Costs '!$AE21</f>
        <v>183.50277957988288</v>
      </c>
      <c r="O19" s="33">
        <f t="shared" si="6"/>
        <v>14.597220420117115</v>
      </c>
    </row>
    <row r="20" spans="1:15" ht="15.9" x14ac:dyDescent="0.45">
      <c r="A20" s="86">
        <v>2038</v>
      </c>
      <c r="B20" s="20"/>
      <c r="C20" s="201">
        <f t="shared" si="0"/>
        <v>2.7199999999999998E-2</v>
      </c>
      <c r="D20" s="33">
        <f>(42*'Fuel Use, Tanks, &amp; Sites'!$C20*365*$C20)*2</f>
        <v>97.215054174201939</v>
      </c>
      <c r="E20" s="199">
        <f t="shared" si="1"/>
        <v>250</v>
      </c>
      <c r="F20" s="136">
        <f>(E20*('Fuel Use, Tanks, &amp; Sites'!$K20 +'Fuel Use, Tanks, &amp; Sites'!$O20)/1000000)*2</f>
        <v>2.3480696666959755</v>
      </c>
      <c r="G20" s="26">
        <f t="shared" si="2"/>
        <v>99.563123840897916</v>
      </c>
      <c r="H20" s="80" t="s">
        <v>38</v>
      </c>
      <c r="I20" s="26">
        <f t="shared" si="3"/>
        <v>60</v>
      </c>
      <c r="J20" s="80">
        <f t="shared" si="5"/>
        <v>38</v>
      </c>
      <c r="K20" s="26">
        <f t="shared" si="4"/>
        <v>22</v>
      </c>
      <c r="L20" s="27">
        <f>'Corrective Action Costs '!AD22</f>
        <v>21.220301080844898</v>
      </c>
      <c r="M20" s="31">
        <f>K20-'Corrective Action Costs '!AD22</f>
        <v>0.77969891915510203</v>
      </c>
      <c r="N20" s="31">
        <f>'Corrective Action Costs '!$AE22</f>
        <v>204.72308066072779</v>
      </c>
      <c r="O20" s="33">
        <f t="shared" si="6"/>
        <v>15.376919339272217</v>
      </c>
    </row>
    <row r="21" spans="1:15" ht="15.9" x14ac:dyDescent="0.45">
      <c r="A21" s="86">
        <v>2040</v>
      </c>
      <c r="B21" s="20"/>
      <c r="C21" s="201">
        <f t="shared" si="0"/>
        <v>2.7199999999999998E-2</v>
      </c>
      <c r="D21" s="33">
        <f>(42*'Fuel Use, Tanks, &amp; Sites'!$C21*365*$C21)*2</f>
        <v>78.987341772151908</v>
      </c>
      <c r="E21" s="199">
        <f t="shared" si="1"/>
        <v>250</v>
      </c>
      <c r="F21" s="136">
        <f>(E21*('Fuel Use, Tanks, &amp; Sites'!$K21 +'Fuel Use, Tanks, &amp; Sites'!$O21)/1000000)*2</f>
        <v>1.8843157894736837</v>
      </c>
      <c r="G21" s="26">
        <f t="shared" si="2"/>
        <v>80.871657561625597</v>
      </c>
      <c r="H21" s="80" t="s">
        <v>38</v>
      </c>
      <c r="I21" s="26">
        <f t="shared" si="3"/>
        <v>60</v>
      </c>
      <c r="J21" s="80">
        <f t="shared" si="5"/>
        <v>38</v>
      </c>
      <c r="K21" s="26">
        <f t="shared" si="4"/>
        <v>22</v>
      </c>
      <c r="L21" s="27">
        <f>'Corrective Action Costs '!AD23</f>
        <v>19.619951259025679</v>
      </c>
      <c r="M21" s="31">
        <f>K21-'Corrective Action Costs '!AD23</f>
        <v>2.3800487409743205</v>
      </c>
      <c r="N21" s="31">
        <f>'Corrective Action Costs '!$AE23</f>
        <v>224.34303191975346</v>
      </c>
      <c r="O21" s="33">
        <f t="shared" si="6"/>
        <v>17.756968080246537</v>
      </c>
    </row>
    <row r="22" spans="1:15" ht="15.9" x14ac:dyDescent="0.45">
      <c r="A22" s="86">
        <v>2042</v>
      </c>
      <c r="B22" s="20"/>
      <c r="C22" s="201">
        <f t="shared" si="0"/>
        <v>2.7199999999999998E-2</v>
      </c>
      <c r="D22" s="33">
        <f>(42*'Fuel Use, Tanks, &amp; Sites'!$C22*365*$C22)*2</f>
        <v>60.759629370101862</v>
      </c>
      <c r="E22" s="199">
        <f t="shared" si="1"/>
        <v>250</v>
      </c>
      <c r="F22" s="136">
        <f>(E22*('Fuel Use, Tanks, &amp; Sites'!$K22 +'Fuel Use, Tanks, &amp; Sites'!$O22)/1000000)*2</f>
        <v>1.4334241646743666</v>
      </c>
      <c r="G22" s="26">
        <f t="shared" si="2"/>
        <v>62.193053534776226</v>
      </c>
      <c r="H22" s="80" t="s">
        <v>38</v>
      </c>
      <c r="I22" s="26">
        <f t="shared" si="3"/>
        <v>60</v>
      </c>
      <c r="J22" s="80">
        <f t="shared" si="5"/>
        <v>38</v>
      </c>
      <c r="K22" s="26">
        <f t="shared" si="4"/>
        <v>22</v>
      </c>
      <c r="L22" s="27">
        <f>'Corrective Action Costs '!AD24</f>
        <v>17.781089648959032</v>
      </c>
      <c r="M22" s="31">
        <f>K22-'Corrective Action Costs '!AD24</f>
        <v>4.218910351040968</v>
      </c>
      <c r="N22" s="31">
        <f>'Corrective Action Costs '!$AE24</f>
        <v>242.1241215687125</v>
      </c>
      <c r="O22" s="33">
        <f t="shared" si="6"/>
        <v>21.975878431287505</v>
      </c>
    </row>
    <row r="23" spans="1:15" ht="15.9" x14ac:dyDescent="0.45">
      <c r="A23" s="86">
        <v>2044</v>
      </c>
      <c r="B23" s="20"/>
      <c r="C23" s="201">
        <f t="shared" si="0"/>
        <v>2.7199999999999998E-2</v>
      </c>
      <c r="D23" s="33">
        <f>(42*'Fuel Use, Tanks, &amp; Sites'!$C23*365*$C23)*2</f>
        <v>44.37514272713328</v>
      </c>
      <c r="E23" s="199">
        <f t="shared" si="1"/>
        <v>250</v>
      </c>
      <c r="F23" s="136">
        <f>(E23*('Fuel Use, Tanks, &amp; Sites'!$K23 +'Fuel Use, Tanks, &amp; Sites'!$O23)/1000000)*2</f>
        <v>1.0370158746814295</v>
      </c>
      <c r="G23" s="26">
        <f t="shared" si="2"/>
        <v>45.41215860181471</v>
      </c>
      <c r="H23" s="80" t="s">
        <v>38</v>
      </c>
      <c r="I23" s="26">
        <f t="shared" si="3"/>
        <v>45.41215860181471</v>
      </c>
      <c r="J23" s="80">
        <f t="shared" si="5"/>
        <v>28.761033781149315</v>
      </c>
      <c r="K23" s="26">
        <f t="shared" si="4"/>
        <v>16.651124820665395</v>
      </c>
      <c r="L23" s="27">
        <f>'Corrective Action Costs '!AD25</f>
        <v>15.511583820868058</v>
      </c>
      <c r="M23" s="31">
        <f>K23-'Corrective Action Costs '!AD25</f>
        <v>1.1395409997973367</v>
      </c>
      <c r="N23" s="31">
        <f>'Corrective Action Costs '!$AE25</f>
        <v>257.63570538958055</v>
      </c>
      <c r="O23" s="33">
        <f t="shared" si="6"/>
        <v>23.115419431084842</v>
      </c>
    </row>
    <row r="24" spans="1:15" ht="15.9" x14ac:dyDescent="0.45">
      <c r="A24" s="86">
        <v>2046</v>
      </c>
      <c r="B24" s="20"/>
      <c r="C24" s="201">
        <f t="shared" si="0"/>
        <v>2.7199999999999998E-2</v>
      </c>
      <c r="D24" s="33">
        <f>(42*'Fuel Use, Tanks, &amp; Sites'!$C24*365*$C24)*2</f>
        <v>31.000012954999043</v>
      </c>
      <c r="E24" s="199">
        <f t="shared" si="1"/>
        <v>250</v>
      </c>
      <c r="F24" s="136">
        <f>(E24*('Fuel Use, Tanks, &amp; Sites'!$K24 +'Fuel Use, Tanks, &amp; Sites'!$O24)/1000000)*2</f>
        <v>0.71906039676608857</v>
      </c>
      <c r="G24" s="26">
        <f t="shared" si="2"/>
        <v>31.719073351765132</v>
      </c>
      <c r="H24" s="26"/>
      <c r="I24" s="26">
        <f t="shared" si="3"/>
        <v>31.719073351765132</v>
      </c>
      <c r="J24" s="80">
        <f t="shared" si="5"/>
        <v>20.088746456117917</v>
      </c>
      <c r="K24" s="26">
        <f t="shared" si="4"/>
        <v>11.630326895647215</v>
      </c>
      <c r="L24" s="27">
        <f>'Corrective Action Costs '!AD26</f>
        <v>13.084139773262029</v>
      </c>
      <c r="M24" s="31">
        <f>K24-'Corrective Action Costs '!AD26</f>
        <v>-1.4538128776148138</v>
      </c>
      <c r="N24" s="31">
        <f>'Corrective Action Costs '!$AE26</f>
        <v>270.7198451628426</v>
      </c>
      <c r="O24" s="33">
        <f t="shared" si="6"/>
        <v>21.66160655347003</v>
      </c>
    </row>
    <row r="25" spans="1:15" ht="15.9" x14ac:dyDescent="0.45">
      <c r="A25" s="86">
        <v>2048</v>
      </c>
      <c r="B25" s="20"/>
      <c r="C25" s="201">
        <f t="shared" si="0"/>
        <v>2.7199999999999998E-2</v>
      </c>
      <c r="D25" s="33">
        <f>(42*'Fuel Use, Tanks, &amp; Sites'!$C25*365*$C25)*2</f>
        <v>20.914090402594649</v>
      </c>
      <c r="E25" s="199">
        <f t="shared" si="1"/>
        <v>250</v>
      </c>
      <c r="F25" s="136">
        <f>(E25*('Fuel Use, Tanks, &amp; Sites'!$K25 +'Fuel Use, Tanks, &amp; Sites'!$O25)/1000000)*2</f>
        <v>0.48249413994868057</v>
      </c>
      <c r="G25" s="26">
        <f t="shared" si="2"/>
        <v>21.39658454254333</v>
      </c>
      <c r="H25" s="26"/>
      <c r="I25" s="26">
        <f t="shared" si="3"/>
        <v>21.39658454254333</v>
      </c>
      <c r="J25" s="80">
        <f t="shared" si="5"/>
        <v>13.551170210277443</v>
      </c>
      <c r="K25" s="26">
        <f t="shared" si="4"/>
        <v>7.8454143322658876</v>
      </c>
      <c r="L25" s="27">
        <f>'Corrective Action Costs '!AD27</f>
        <v>10.724638332403604</v>
      </c>
      <c r="M25" s="31">
        <f>K25-'Corrective Action Costs '!AD27</f>
        <v>-2.8792240001377163</v>
      </c>
      <c r="N25" s="31">
        <f>'Corrective Action Costs '!$AE27</f>
        <v>281.44448349524623</v>
      </c>
      <c r="O25" s="33">
        <f t="shared" si="6"/>
        <v>18.782382553332312</v>
      </c>
    </row>
    <row r="26" spans="1:15" ht="15.9" x14ac:dyDescent="0.45">
      <c r="A26" s="86">
        <v>2050</v>
      </c>
      <c r="B26" s="20"/>
      <c r="C26" s="201">
        <f t="shared" si="0"/>
        <v>2.7199999999999998E-2</v>
      </c>
      <c r="D26" s="33">
        <f>(42*'Fuel Use, Tanks, &amp; Sites'!$C26*365*$C26)*2</f>
        <v>13.754187848792236</v>
      </c>
      <c r="E26" s="199">
        <f t="shared" si="1"/>
        <v>250</v>
      </c>
      <c r="F26" s="136">
        <f>(E26*('Fuel Use, Tanks, &amp; Sites'!$K26 +'Fuel Use, Tanks, &amp; Sites'!$O26)/1000000)*2</f>
        <v>0.31601904388784663</v>
      </c>
      <c r="G26" s="26">
        <f t="shared" si="2"/>
        <v>14.070206892680083</v>
      </c>
      <c r="H26" s="26"/>
      <c r="I26" s="26">
        <f t="shared" si="3"/>
        <v>14.070206892680083</v>
      </c>
      <c r="J26" s="80">
        <f t="shared" si="5"/>
        <v>8.9111310320307187</v>
      </c>
      <c r="K26" s="26">
        <f t="shared" si="4"/>
        <v>5.1590758606493647</v>
      </c>
      <c r="L26" s="27">
        <f>'Corrective Action Costs '!AD28</f>
        <v>8.5970321759144266</v>
      </c>
      <c r="M26" s="31">
        <f>K26-'Corrective Action Costs '!AD28</f>
        <v>-3.4379563152650618</v>
      </c>
      <c r="N26" s="31">
        <f>'Corrective Action Costs '!$AE28</f>
        <v>290.04151567116065</v>
      </c>
      <c r="O26" s="33">
        <f t="shared" si="6"/>
        <v>15.34442623806725</v>
      </c>
    </row>
    <row r="27" spans="1:15" ht="15.9" x14ac:dyDescent="0.45">
      <c r="A27" s="86">
        <v>2052</v>
      </c>
      <c r="B27" s="20"/>
      <c r="C27" s="201">
        <f t="shared" si="0"/>
        <v>2.7199999999999998E-2</v>
      </c>
      <c r="D27" s="33">
        <f>(42*'Fuel Use, Tanks, &amp; Sites'!$C27*365*$C27)*2</f>
        <v>8.8865393796598422</v>
      </c>
      <c r="E27" s="199">
        <f t="shared" si="1"/>
        <v>250</v>
      </c>
      <c r="F27" s="136">
        <f>(E27*('Fuel Use, Tanks, &amp; Sites'!$K27 +'Fuel Use, Tanks, &amp; Sites'!$O27)/1000000)*2</f>
        <v>0.20312165259152876</v>
      </c>
      <c r="G27" s="26">
        <f t="shared" si="2"/>
        <v>9.0896610322513709</v>
      </c>
      <c r="H27" s="26"/>
      <c r="I27" s="26">
        <f t="shared" si="3"/>
        <v>9.0896610322513709</v>
      </c>
      <c r="J27" s="80">
        <f t="shared" si="5"/>
        <v>5.7567853204258679</v>
      </c>
      <c r="K27" s="26">
        <f t="shared" si="4"/>
        <v>3.332875711825503</v>
      </c>
      <c r="L27" s="27">
        <f>'Corrective Action Costs '!AD29</f>
        <v>5.6228088620358925</v>
      </c>
      <c r="M27" s="31">
        <f>K27-'Corrective Action Costs '!AD29</f>
        <v>-2.2899331502103895</v>
      </c>
      <c r="N27" s="31">
        <f>'Corrective Action Costs '!$AE29</f>
        <v>295.66432453319652</v>
      </c>
      <c r="O27" s="33">
        <f t="shared" si="6"/>
        <v>13.05449308785686</v>
      </c>
    </row>
    <row r="28" spans="1:15" ht="15.9" x14ac:dyDescent="0.45">
      <c r="A28" s="86">
        <v>2054</v>
      </c>
      <c r="B28" s="20"/>
      <c r="C28" s="201">
        <f t="shared" si="0"/>
        <v>2.7199999999999998E-2</v>
      </c>
      <c r="D28" s="33">
        <f>(42*'Fuel Use, Tanks, &amp; Sites'!$C28*365*$C28)*2</f>
        <v>5.673794387555259</v>
      </c>
      <c r="E28" s="199">
        <f t="shared" si="1"/>
        <v>250</v>
      </c>
      <c r="F28" s="136">
        <f>(E28*('Fuel Use, Tanks, &amp; Sites'!$K28 +'Fuel Use, Tanks, &amp; Sites'!$O28)/1000000)*2</f>
        <v>0.12810831403162259</v>
      </c>
      <c r="G28" s="26">
        <f t="shared" si="2"/>
        <v>5.8019027015868812</v>
      </c>
      <c r="H28" s="26"/>
      <c r="I28" s="26">
        <f t="shared" si="3"/>
        <v>5.8019027015868812</v>
      </c>
      <c r="J28" s="80">
        <f t="shared" si="5"/>
        <v>3.6745383776716918</v>
      </c>
      <c r="K28" s="26">
        <f t="shared" si="4"/>
        <v>2.1273643239151894</v>
      </c>
      <c r="L28" s="27">
        <f>'Corrective Action Costs '!AD30</f>
        <v>3.9914948412563036</v>
      </c>
      <c r="M28" s="31">
        <f>K28-'Corrective Action Costs '!AD30</f>
        <v>-1.8641305173411142</v>
      </c>
      <c r="N28" s="31">
        <f>'Corrective Action Costs '!$AE30</f>
        <v>299.65581937445285</v>
      </c>
      <c r="O28" s="33">
        <f t="shared" si="6"/>
        <v>11.190362570515745</v>
      </c>
    </row>
    <row r="29" spans="1:15" ht="15.9" x14ac:dyDescent="0.45">
      <c r="A29" s="86">
        <v>2056</v>
      </c>
      <c r="B29" s="20"/>
      <c r="C29" s="201">
        <f t="shared" si="0"/>
        <v>2.7199999999999998E-2</v>
      </c>
      <c r="D29" s="33">
        <f>(42*'Fuel Use, Tanks, &amp; Sites'!$C29*365*$C29)*2</f>
        <v>3.5945470179214642</v>
      </c>
      <c r="E29" s="199">
        <f t="shared" si="1"/>
        <v>250</v>
      </c>
      <c r="F29" s="136">
        <f>(E29*('Fuel Use, Tanks, &amp; Sites'!$K29 +'Fuel Use, Tanks, &amp; Sites'!$O29)/1000000)*2</f>
        <v>7.855751133538709E-2</v>
      </c>
      <c r="G29" s="26">
        <f t="shared" si="2"/>
        <v>3.6731045292568512</v>
      </c>
      <c r="H29" s="26"/>
      <c r="I29" s="26">
        <f t="shared" si="3"/>
        <v>3.6731045292568512</v>
      </c>
      <c r="J29" s="80">
        <f t="shared" si="5"/>
        <v>2.3262995351960059</v>
      </c>
      <c r="K29" s="26">
        <f t="shared" si="4"/>
        <v>1.3468049940608453</v>
      </c>
      <c r="L29" s="27">
        <f>'Corrective Action Costs '!AD31</f>
        <v>2.7389530207329522</v>
      </c>
      <c r="M29" s="31">
        <f>K29-'Corrective Action Costs '!AD31</f>
        <v>-1.3921480266721069</v>
      </c>
      <c r="N29" s="31">
        <f>'Corrective Action Costs '!$AE31</f>
        <v>302.39477239518578</v>
      </c>
      <c r="O29" s="33">
        <f t="shared" si="6"/>
        <v>9.7982145438436383</v>
      </c>
    </row>
    <row r="30" spans="1:15" ht="15.9" x14ac:dyDescent="0.45">
      <c r="A30" s="86">
        <v>2058</v>
      </c>
      <c r="B30" s="20"/>
      <c r="C30" s="201">
        <f t="shared" si="0"/>
        <v>2.7199999999999998E-2</v>
      </c>
      <c r="D30" s="33">
        <f>(42*'Fuel Use, Tanks, &amp; Sites'!$C30*365*$C30)*2</f>
        <v>2.2659345274978691</v>
      </c>
      <c r="E30" s="199">
        <f t="shared" si="1"/>
        <v>250</v>
      </c>
      <c r="F30" s="136">
        <f>(E30*('Fuel Use, Tanks, &amp; Sites'!$K30 +'Fuel Use, Tanks, &amp; Sites'!$O30)/1000000)*2</f>
        <v>4.5569795313701686E-2</v>
      </c>
      <c r="G30" s="26">
        <f t="shared" si="2"/>
        <v>2.3115043228115706</v>
      </c>
      <c r="H30" s="26"/>
      <c r="I30" s="26">
        <f t="shared" si="3"/>
        <v>2.3115043228115706</v>
      </c>
      <c r="J30" s="80">
        <f t="shared" si="5"/>
        <v>1.4639527377806614</v>
      </c>
      <c r="K30" s="26">
        <f t="shared" si="4"/>
        <v>0.84755158503090922</v>
      </c>
      <c r="L30" s="27">
        <f>'Corrective Action Costs '!AD32</f>
        <v>1.8045012948919277</v>
      </c>
      <c r="M30" s="31">
        <f>K30-'Corrective Action Costs '!AD32</f>
        <v>-0.95694970986101846</v>
      </c>
      <c r="N30" s="31">
        <f>'Corrective Action Costs '!$AE32</f>
        <v>304.19927369007769</v>
      </c>
      <c r="O30" s="33">
        <f t="shared" si="6"/>
        <v>8.8412648339826205</v>
      </c>
    </row>
    <row r="31" spans="1:15" ht="15.9" x14ac:dyDescent="0.45">
      <c r="A31" s="86">
        <v>2060</v>
      </c>
      <c r="B31" s="20"/>
      <c r="C31" s="201">
        <f t="shared" si="0"/>
        <v>2.7199999999999998E-2</v>
      </c>
      <c r="D31" s="33">
        <f>(42*'Fuel Use, Tanks, &amp; Sites'!$C31*365*$C31)*2</f>
        <v>1.4238730023739441</v>
      </c>
      <c r="E31" s="199">
        <f t="shared" si="1"/>
        <v>250</v>
      </c>
      <c r="F31" s="136">
        <f>(E31*('Fuel Use, Tanks, &amp; Sites'!$K31 +'Fuel Use, Tanks, &amp; Sites'!$O31)/1000000)*2</f>
        <v>2.8132877016236339E-2</v>
      </c>
      <c r="G31" s="26">
        <f t="shared" si="2"/>
        <v>1.4520058793901804</v>
      </c>
      <c r="H31" s="26"/>
      <c r="I31" s="26">
        <f t="shared" si="3"/>
        <v>1.4520058793901804</v>
      </c>
      <c r="J31" s="80">
        <f t="shared" si="5"/>
        <v>0.91960372361378095</v>
      </c>
      <c r="K31" s="26">
        <f t="shared" si="4"/>
        <v>0.53240215577639949</v>
      </c>
      <c r="L31" s="27">
        <f>'Corrective Action Costs '!AD33</f>
        <v>1.1025783130748845</v>
      </c>
      <c r="M31" s="31">
        <f>K31-'Corrective Action Costs '!AD33</f>
        <v>-0.57017615729848503</v>
      </c>
      <c r="N31" s="31">
        <f>'Corrective Action Costs '!$AE33</f>
        <v>305.30185200315259</v>
      </c>
      <c r="O31" s="33">
        <f t="shared" si="6"/>
        <v>8.2710886766841352</v>
      </c>
    </row>
    <row r="32" spans="1:15" ht="15.9" x14ac:dyDescent="0.45">
      <c r="A32" s="86">
        <v>2062</v>
      </c>
      <c r="B32" s="20"/>
      <c r="C32" s="201">
        <f t="shared" si="0"/>
        <v>2.7199999999999998E-2</v>
      </c>
      <c r="D32" s="33">
        <f>(42*'Fuel Use, Tanks, &amp; Sites'!$C32*365*$C32)*2</f>
        <v>0</v>
      </c>
      <c r="E32" s="199">
        <f t="shared" si="1"/>
        <v>250</v>
      </c>
      <c r="F32" s="136">
        <f>(E32*('Fuel Use, Tanks, &amp; Sites'!$K32 +'Fuel Use, Tanks, &amp; Sites'!$O32)/1000000)*2</f>
        <v>0</v>
      </c>
      <c r="G32" s="26">
        <f t="shared" si="2"/>
        <v>0</v>
      </c>
      <c r="H32" s="26"/>
      <c r="I32" s="26">
        <f t="shared" si="3"/>
        <v>0</v>
      </c>
      <c r="J32" s="26"/>
      <c r="K32" s="26">
        <f t="shared" ref="K32:K36" si="7">I32*$K$11/$I$11</f>
        <v>0</v>
      </c>
      <c r="L32" s="27">
        <f>'Corrective Action Costs '!AD34</f>
        <v>0.45109864046522674</v>
      </c>
      <c r="M32" s="137">
        <f>K32-'Corrective Action Costs '!AD34</f>
        <v>-0.45109864046522674</v>
      </c>
      <c r="N32" s="31">
        <f>'Corrective Action Costs '!$AE34</f>
        <v>305.75295064361779</v>
      </c>
      <c r="O32" s="33">
        <f t="shared" si="6"/>
        <v>7.8199900362189085</v>
      </c>
    </row>
    <row r="33" spans="1:15" ht="15.9" x14ac:dyDescent="0.45">
      <c r="A33" s="86">
        <v>2064</v>
      </c>
      <c r="B33" s="20"/>
      <c r="C33" s="201">
        <f t="shared" si="0"/>
        <v>2.7199999999999998E-2</v>
      </c>
      <c r="D33" s="33">
        <f>(42*'Fuel Use, Tanks, &amp; Sites'!$C33*365*$C33)*2</f>
        <v>0</v>
      </c>
      <c r="E33" s="199">
        <f t="shared" si="1"/>
        <v>250</v>
      </c>
      <c r="F33" s="136">
        <f>(E33*('Fuel Use, Tanks, &amp; Sites'!$K33 +'Fuel Use, Tanks, &amp; Sites'!$O33)/1000000)*2</f>
        <v>0</v>
      </c>
      <c r="G33" s="26">
        <f t="shared" si="2"/>
        <v>0</v>
      </c>
      <c r="H33" s="26"/>
      <c r="I33" s="26">
        <f t="shared" si="3"/>
        <v>0</v>
      </c>
      <c r="J33" s="26"/>
      <c r="K33" s="26">
        <f t="shared" si="7"/>
        <v>0</v>
      </c>
      <c r="L33" s="27">
        <f>'Corrective Action Costs '!AD35</f>
        <v>0.27259347301356762</v>
      </c>
      <c r="M33" s="137">
        <f>K33-'Corrective Action Costs '!AD35</f>
        <v>-0.27259347301356762</v>
      </c>
      <c r="N33" s="31">
        <f>'Corrective Action Costs '!$AE35</f>
        <v>306.02554411663135</v>
      </c>
      <c r="O33" s="33">
        <f t="shared" si="6"/>
        <v>7.547396563205341</v>
      </c>
    </row>
    <row r="34" spans="1:15" ht="15.9" x14ac:dyDescent="0.45">
      <c r="A34" s="86">
        <v>2066</v>
      </c>
      <c r="B34" s="20"/>
      <c r="C34" s="201">
        <f t="shared" si="0"/>
        <v>2.7199999999999998E-2</v>
      </c>
      <c r="D34" s="33">
        <f>(42*'Fuel Use, Tanks, &amp; Sites'!$C34*365*$C34)*2</f>
        <v>0</v>
      </c>
      <c r="E34" s="199">
        <f t="shared" si="1"/>
        <v>250</v>
      </c>
      <c r="F34" s="136">
        <f>(E34*('Fuel Use, Tanks, &amp; Sites'!$K34 +'Fuel Use, Tanks, &amp; Sites'!$O34)/1000000)*2</f>
        <v>0</v>
      </c>
      <c r="G34" s="26">
        <f t="shared" si="2"/>
        <v>0</v>
      </c>
      <c r="H34" s="26"/>
      <c r="I34" s="26">
        <f t="shared" si="3"/>
        <v>0</v>
      </c>
      <c r="J34" s="26"/>
      <c r="K34" s="26">
        <f t="shared" si="7"/>
        <v>0</v>
      </c>
      <c r="L34" s="27">
        <f>'Corrective Action Costs '!AD36</f>
        <v>0.15821180744534524</v>
      </c>
      <c r="M34" s="137">
        <f>K34-'Corrective Action Costs '!AD36</f>
        <v>-0.15821180744534524</v>
      </c>
      <c r="N34" s="31">
        <f>'Corrective Action Costs '!$AE36</f>
        <v>306.18375592407671</v>
      </c>
      <c r="O34" s="33">
        <f t="shared" si="6"/>
        <v>7.3891847557599961</v>
      </c>
    </row>
    <row r="35" spans="1:15" ht="15.9" x14ac:dyDescent="0.45">
      <c r="A35" s="86">
        <v>2068</v>
      </c>
      <c r="B35" s="20"/>
      <c r="C35" s="201">
        <f t="shared" si="0"/>
        <v>2.7199999999999998E-2</v>
      </c>
      <c r="D35" s="33">
        <f>(42*'Fuel Use, Tanks, &amp; Sites'!$C35*365*$C35)*2</f>
        <v>0</v>
      </c>
      <c r="E35" s="199">
        <f t="shared" si="1"/>
        <v>250</v>
      </c>
      <c r="F35" s="136">
        <f>(E35*('Fuel Use, Tanks, &amp; Sites'!$K35 +'Fuel Use, Tanks, &amp; Sites'!$O35)/1000000)*2</f>
        <v>0</v>
      </c>
      <c r="G35" s="26">
        <f t="shared" si="2"/>
        <v>0</v>
      </c>
      <c r="H35" s="26"/>
      <c r="I35" s="26">
        <f t="shared" si="3"/>
        <v>0</v>
      </c>
      <c r="J35" s="26"/>
      <c r="K35" s="26">
        <f t="shared" si="7"/>
        <v>0</v>
      </c>
      <c r="L35" s="27">
        <f>'Corrective Action Costs '!AD37</f>
        <v>8.365100977281402E-2</v>
      </c>
      <c r="M35" s="137">
        <f>K35-'Corrective Action Costs '!AD37</f>
        <v>-8.365100977281402E-2</v>
      </c>
      <c r="N35" s="31">
        <f>'Corrective Action Costs '!$AE37</f>
        <v>306.26740693384954</v>
      </c>
      <c r="O35" s="33">
        <f t="shared" si="6"/>
        <v>7.3055337459871819</v>
      </c>
    </row>
    <row r="36" spans="1:15" ht="16.3" thickBot="1" x14ac:dyDescent="0.5">
      <c r="A36" s="86">
        <v>2070</v>
      </c>
      <c r="B36" s="20"/>
      <c r="C36" s="201">
        <f t="shared" si="0"/>
        <v>2.7199999999999998E-2</v>
      </c>
      <c r="D36" s="33">
        <f>(42*'Fuel Use, Tanks, &amp; Sites'!$C36*365*$C36)*2</f>
        <v>0</v>
      </c>
      <c r="E36" s="199">
        <f t="shared" si="1"/>
        <v>250</v>
      </c>
      <c r="F36" s="136">
        <f>(E36*('Fuel Use, Tanks, &amp; Sites'!$K36 +'Fuel Use, Tanks, &amp; Sites'!$O36)/1000000)*2</f>
        <v>0</v>
      </c>
      <c r="G36" s="26">
        <f t="shared" si="2"/>
        <v>0</v>
      </c>
      <c r="H36" s="26"/>
      <c r="I36" s="26">
        <f t="shared" si="3"/>
        <v>0</v>
      </c>
      <c r="J36" s="26"/>
      <c r="K36" s="26">
        <f t="shared" si="7"/>
        <v>0</v>
      </c>
      <c r="L36" s="27">
        <f>'Corrective Action Costs '!AD38</f>
        <v>3.359487153197821E-2</v>
      </c>
      <c r="M36" s="137">
        <f>K36-'Corrective Action Costs '!AD38</f>
        <v>-3.359487153197821E-2</v>
      </c>
      <c r="N36" s="31">
        <f>'Corrective Action Costs '!$AE38</f>
        <v>306.30100180538153</v>
      </c>
      <c r="O36" s="33">
        <f t="shared" si="6"/>
        <v>7.2719388744552038</v>
      </c>
    </row>
    <row r="37" spans="1:15" ht="16.3" thickBot="1" x14ac:dyDescent="0.5">
      <c r="A37" s="87" t="s">
        <v>4</v>
      </c>
      <c r="B37" s="21"/>
      <c r="C37" s="19"/>
      <c r="D37" s="60">
        <f>SUM(D11:D36)</f>
        <v>1660.1580502175639</v>
      </c>
      <c r="E37" s="17"/>
      <c r="F37" s="60">
        <f>SUM(F11:F36)</f>
        <v>42.290273955073687</v>
      </c>
      <c r="G37" s="74"/>
      <c r="H37" s="74"/>
      <c r="I37" s="74"/>
      <c r="J37" s="74"/>
      <c r="K37" s="74"/>
      <c r="L37" s="32">
        <f>SUM(L11:L36)</f>
        <v>306.30100180538153</v>
      </c>
      <c r="M37" s="32">
        <f>SUM(M11:M36)</f>
        <v>7.1719388744552024</v>
      </c>
      <c r="N37" s="32"/>
      <c r="O37" s="21"/>
    </row>
    <row r="39" spans="1:15" x14ac:dyDescent="0.4">
      <c r="M39" s="34"/>
      <c r="N39" s="34"/>
    </row>
  </sheetData>
  <mergeCells count="4">
    <mergeCell ref="H9:K9"/>
    <mergeCell ref="N9:O9"/>
    <mergeCell ref="L9:M9"/>
    <mergeCell ref="B9:G9"/>
  </mergeCells>
  <pageMargins left="0.7" right="0.7" top="0.75" bottom="0.75" header="0.3" footer="0.3"/>
  <pageSetup orientation="portrait" horizontalDpi="0" verticalDpi="0" r:id="rId1"/>
  <ignoredErrors>
    <ignoredError sqref="D12:D36"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Entry</vt:lpstr>
      <vt:lpstr>Fuel Use, Tanks, &amp; Sites</vt:lpstr>
      <vt:lpstr>Releases &amp; Abandons</vt:lpstr>
      <vt:lpstr>Corrective Action Costs </vt:lpstr>
      <vt:lpstr>Funding &amp; Surplus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Schruben, Thomas</dc:creator>
  <cp:lastModifiedBy>Zelenski, Elizabeth</cp:lastModifiedBy>
  <dcterms:created xsi:type="dcterms:W3CDTF">2023-06-12T19:08:09Z</dcterms:created>
  <dcterms:modified xsi:type="dcterms:W3CDTF">2024-12-17T14:01:05Z</dcterms:modified>
</cp:coreProperties>
</file>