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aaWork\00-workathome\LMOP\000000-NCPBTO41-Mar2024-Mar2025\BenefitsCalculator\Dec2024\"/>
    </mc:Choice>
  </mc:AlternateContent>
  <xr:revisionPtr revIDLastSave="0" documentId="8_{058D5443-0039-4724-BCCA-7BEF90244A07}" xr6:coauthVersionLast="47" xr6:coauthVersionMax="47" xr10:uidLastSave="{00000000-0000-0000-0000-000000000000}"/>
  <bookViews>
    <workbookView xWindow="-108" yWindow="-108" windowWidth="23256" windowHeight="12456" xr2:uid="{04ADEB13-6520-452F-9528-6062A2219FF1}"/>
  </bookViews>
  <sheets>
    <sheet name="ReadMe" sheetId="9" r:id="rId1"/>
    <sheet name="Tool" sheetId="1" r:id="rId2"/>
    <sheet name="CO2 Emission Factors" sheetId="6" r:id="rId3"/>
    <sheet name="Calculations and References" sheetId="2" r:id="rId4"/>
    <sheet name="Equivalencies" sheetId="7" r:id="rId5"/>
  </sheets>
  <externalReferences>
    <externalReference r:id="rId6"/>
    <externalReference r:id="rId7"/>
  </externalReferences>
  <definedNames>
    <definedName name="anscount" hidden="1">1</definedName>
    <definedName name="ECN_para5">[1]LOOKUP!$A$26</definedName>
    <definedName name="Emission_Factor">#REF!</definedName>
    <definedName name="mTable">[2]MULTIPLIERS!$A$4:$Y$54</definedName>
    <definedName name="_xlnm.Print_Area" localSheetId="3">'Calculations and References'!$A$1:$AC$76</definedName>
    <definedName name="_xlnm.Print_Area" localSheetId="2">'CO2 Emission Factors'!$A$1:$S$27</definedName>
    <definedName name="_xlnm.Print_Area" localSheetId="4">Equivalencies!$A$1:$N$28</definedName>
    <definedName name="_xlnm.Print_Area" localSheetId="0">ReadMe!$A$1:$O$38</definedName>
    <definedName name="_xlnm.Print_Area" localSheetId="1">Tool!$A$1:$U$72</definedName>
    <definedName name="_xlnm.Print_Titles" localSheetId="3">'Calculations and References'!$1:$1</definedName>
    <definedName name="Step3">Tool!$B$31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5" i="1" l="1"/>
  <c r="M49" i="1" l="1"/>
  <c r="P67" i="1"/>
  <c r="L57" i="1"/>
  <c r="B22" i="1" l="1"/>
  <c r="T27" i="2"/>
  <c r="B23" i="1" l="1"/>
  <c r="B30" i="1"/>
  <c r="C65" i="1" l="1"/>
  <c r="D12" i="2" l="1"/>
  <c r="K43" i="1"/>
  <c r="M37" i="1"/>
  <c r="C67" i="1" l="1"/>
  <c r="C64" i="1"/>
  <c r="Q64" i="1" l="1"/>
  <c r="N64" i="1"/>
  <c r="J64" i="1"/>
  <c r="K57" i="2" l="1"/>
  <c r="K56" i="2"/>
  <c r="T16" i="2"/>
  <c r="D16" i="2"/>
  <c r="T22" i="2" l="1"/>
  <c r="D32" i="2"/>
  <c r="K45" i="2"/>
  <c r="AG32" i="2" l="1"/>
  <c r="L59" i="1" s="1"/>
  <c r="AG31" i="2"/>
  <c r="T11" i="2"/>
  <c r="I57" i="1" s="1"/>
  <c r="D25" i="2"/>
  <c r="I58" i="1" l="1"/>
  <c r="P57" i="1"/>
  <c r="L65" i="1"/>
  <c r="L63" i="1"/>
  <c r="L64" i="1"/>
  <c r="P59" i="1"/>
  <c r="I65" i="1" l="1"/>
  <c r="I63" i="1"/>
  <c r="P58" i="1"/>
  <c r="I64" i="1"/>
  <c r="P64" i="1" l="1"/>
  <c r="P65" i="1"/>
  <c r="P6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Jeanette Alvis</author>
  </authors>
  <commentList>
    <comment ref="I54" authorId="0" shapeId="0" xr:uid="{B8F0A7C5-CF48-4886-A768-A2792A800EA1}">
      <text>
        <r>
          <rPr>
            <sz val="9"/>
            <color indexed="81"/>
            <rFont val="Tahoma"/>
            <family val="2"/>
          </rPr>
          <t>For landfills not required to collect &amp; combust LFG</t>
        </r>
      </text>
    </comment>
    <comment ref="L54" authorId="0" shapeId="0" xr:uid="{D60EC02D-5096-4310-B244-9FB0FD7D7F1F}">
      <text>
        <r>
          <rPr>
            <sz val="9"/>
            <color indexed="81"/>
            <rFont val="Tahoma"/>
            <family val="2"/>
          </rPr>
          <t>For all landfills</t>
        </r>
      </text>
    </comment>
    <comment ref="P54" authorId="1" shapeId="0" xr:uid="{822D66D3-2140-4FFC-B74A-A8001BAB0BE3}">
      <text>
        <r>
          <rPr>
            <sz val="9"/>
            <color indexed="81"/>
            <rFont val="Tahoma"/>
            <family val="2"/>
          </rPr>
          <t>For landfills not required to collect &amp; combust LFG</t>
        </r>
      </text>
    </comment>
  </commentList>
</comments>
</file>

<file path=xl/sharedStrings.xml><?xml version="1.0" encoding="utf-8"?>
<sst xmlns="http://schemas.openxmlformats.org/spreadsheetml/2006/main" count="233" uniqueCount="203">
  <si>
    <t>or</t>
  </si>
  <si>
    <t>hours/year</t>
  </si>
  <si>
    <t>metric tons/short ton</t>
  </si>
  <si>
    <t>days/year</t>
  </si>
  <si>
    <t>Calculations and References</t>
  </si>
  <si>
    <t>pounds/short ton</t>
  </si>
  <si>
    <t>pounds methane/standard cubic foot methane</t>
  </si>
  <si>
    <t>Btu/standard cubic foot natural gas</t>
  </si>
  <si>
    <t>kilowatts/megawatt</t>
  </si>
  <si>
    <t>Btu/kilowatt-hour (weighted average for engines, gas turbines, and boiler/steam turbines)</t>
  </si>
  <si>
    <t>pounds carbon dioxide/standard cubic foot natural gas</t>
  </si>
  <si>
    <t>standard cubic feet/million standard cubic feet</t>
  </si>
  <si>
    <t>metric tons/million metric tons</t>
  </si>
  <si>
    <t>hours/day</t>
  </si>
  <si>
    <t>minutes/hour</t>
  </si>
  <si>
    <t>Conversion Factors</t>
  </si>
  <si>
    <t>Methane Conversions</t>
  </si>
  <si>
    <t>Heating Values and Heat Rates</t>
  </si>
  <si>
    <t>Emission Factors</t>
  </si>
  <si>
    <r>
      <t>Btu/standard cubic foot methane</t>
    </r>
    <r>
      <rPr>
        <sz val="8"/>
        <rFont val="Arial"/>
        <family val="2"/>
      </rPr>
      <t/>
    </r>
  </si>
  <si>
    <t>References</t>
  </si>
  <si>
    <t>kilowatt-hours per household (average annual electricity usage)</t>
  </si>
  <si>
    <t>gross capacity factor for generation units of electricity projects (to account for availability and operating load)</t>
  </si>
  <si>
    <t>net capacity factor for generation units of electricity projects (to account for availability, operating load, and parasitic losses)</t>
  </si>
  <si>
    <t>Capacity and Other Factors</t>
  </si>
  <si>
    <t>Emission Reductions and Environmental and Energy Benefits for Landfill Gas Energy Projects</t>
  </si>
  <si>
    <t>Environmental Benefits</t>
  </si>
  <si>
    <t>factor for power delivered to households for electricity projects (to account for transmission and distribution losses)</t>
  </si>
  <si>
    <t>cubic feet of natural gas per household (average annual household heating usage; transmission and distribution losses considered negligible)</t>
  </si>
  <si>
    <t>metric tons carbon dioxide sequestered annually by one acre of average U.S. forest</t>
  </si>
  <si>
    <t>metric tons carbon dioxide emitted per railcar of coal burned</t>
  </si>
  <si>
    <t>metric tons carbon dioxide emitted per barrel of oil consumed</t>
  </si>
  <si>
    <t>metric tons carbon dioxide emitted per gallon of gasoline consumed</t>
  </si>
  <si>
    <t>Regional Grid Carbon Dioxide Avoided Emission Factors</t>
  </si>
  <si>
    <t>National Average</t>
  </si>
  <si>
    <t>varies</t>
  </si>
  <si>
    <t>Texas</t>
  </si>
  <si>
    <t>Southwest</t>
  </si>
  <si>
    <t>Southeast</t>
  </si>
  <si>
    <t>Rocky Mountains</t>
  </si>
  <si>
    <t>Northwest</t>
  </si>
  <si>
    <t>California</t>
  </si>
  <si>
    <t xml:space="preserve">These LFG electricity avoided emission factors are based on the AVERT factors for Uniform Energy Efficiency (EE). Uniform EE is a local (distributed) energy resource that replaces centrally generated power and the factors include an upward adjustment to account for avoided line loss. These factors represent consistent energy savings throughout the year. Similarly, most LFG electricity projects are a local distribution-level resource that provides a constant energy savings. </t>
  </si>
  <si>
    <t>Carolinas</t>
  </si>
  <si>
    <t>Central</t>
  </si>
  <si>
    <t>Florida</t>
  </si>
  <si>
    <t>Mid-Atlantic</t>
  </si>
  <si>
    <t>Midwest</t>
  </si>
  <si>
    <t>New England</t>
  </si>
  <si>
    <t>New York</t>
  </si>
  <si>
    <t>Tennessee</t>
  </si>
  <si>
    <t>https://www.epa.gov/sites/default/files/2020-11/documents/appa.pdf</t>
  </si>
  <si>
    <t>(PDF, 32 pp, 104K)</t>
  </si>
  <si>
    <t>https://www.eia.gov/consumption/residential/data/2020/index.php?view=consumption</t>
  </si>
  <si>
    <t>Yes</t>
  </si>
  <si>
    <t>Btu/million Btu</t>
  </si>
  <si>
    <t>N/A</t>
  </si>
  <si>
    <t>Environmental and Energy Benefit Equivalencies</t>
  </si>
  <si>
    <t>pounds carbon dioxide/million Btu diesel</t>
  </si>
  <si>
    <t>RNG Technology Methane Capture Rate Table</t>
  </si>
  <si>
    <t>Technology</t>
  </si>
  <si>
    <t>Efficiency Range</t>
  </si>
  <si>
    <t>Single Pass Membrane</t>
  </si>
  <si>
    <t>Multiple Pass Membrane</t>
  </si>
  <si>
    <t>Pressure Swing Adsorption (PSA)</t>
  </si>
  <si>
    <t>Solvent Scrubbing</t>
  </si>
  <si>
    <t>Physical Solvents</t>
  </si>
  <si>
    <t>Amine Solvents</t>
  </si>
  <si>
    <t>Water Scrubbing</t>
  </si>
  <si>
    <t>65 - 80%</t>
  </si>
  <si>
    <t>96 - 99%</t>
  </si>
  <si>
    <t>95 - 98%</t>
  </si>
  <si>
    <t>97 - 99%</t>
  </si>
  <si>
    <t>mmscfd</t>
  </si>
  <si>
    <t>scfm</t>
  </si>
  <si>
    <t>No</t>
  </si>
  <si>
    <t>Environmental Equivalencies:</t>
  </si>
  <si>
    <t>Energy Benefit Equivalencies:</t>
  </si>
  <si>
    <t>Reference</t>
  </si>
  <si>
    <t>Electricity Generation Projects</t>
  </si>
  <si>
    <t>Direct Equivalent Emissions Reduced Calculation:</t>
  </si>
  <si>
    <t>Avoided Equivalent Emissions Reduced Calculation:</t>
  </si>
  <si>
    <t>Direct-Use Projects and RNG Non-Vehicle Fuel Projects</t>
  </si>
  <si>
    <t>RNG Vehicle Fuel Projects</t>
  </si>
  <si>
    <t>Global Warming Potential (GWP)</t>
  </si>
  <si>
    <t>https://www.eia.gov/environment/emissions/co2_vol_mass.php</t>
  </si>
  <si>
    <t>https://greet.anl.gov/</t>
  </si>
  <si>
    <t>kilowatt-hours/megawatt-hours</t>
  </si>
  <si>
    <t>Btu-electricity/kilowatt-hour</t>
  </si>
  <si>
    <t>[Ref: The Greenhouse gases, Regulated Emissions, and Energy use in Technologies Model (GREET). December 2023. Argonne National Laboratory.]</t>
  </si>
  <si>
    <t>Avoided Equivalent Emissions Reduced Calculation for Direct-Use Projects:</t>
  </si>
  <si>
    <t>Avoided Equivalent Emissions Reduced Calculation for RNG Non-Vehicle Fuel Projects:</t>
  </si>
  <si>
    <t>Direct Equivalent Emissions Reduced Calculation for Both:</t>
  </si>
  <si>
    <t>Optional Grid Emissions from Grid Electricity Usage for RNG Conversion Process</t>
  </si>
  <si>
    <t>Equation:</t>
  </si>
  <si>
    <t>megajoules/kilowatt-hour</t>
  </si>
  <si>
    <t>metric tons carbon dioxide emitted per gallon of diesel consumed</t>
  </si>
  <si>
    <t>pounds carbon dioxide/kilowatt-hour (estimated national average electric power plant emission rate for 2023 from EPA's AVERT)</t>
  </si>
  <si>
    <t>standard cubic feet methane/standard cubic foot LFG</t>
  </si>
  <si>
    <t>gross capacity factor for direct-use projects (to account for availability of LFG)</t>
  </si>
  <si>
    <t>Factors for RNG Conversion Efficiency</t>
  </si>
  <si>
    <t>MMTCO2E/yr = megawatts (MW) of generating capacity * 0.85 [net capacity factor] * (8,760 hours/year) * (1,000 kilowatts/megawatt) * (regional or national grid factor for 2023 in pounds CO2/kilowatt-hour) / (2,000 pounds/short ton) * (0.9072 metric tons/short ton) / (1E+06 metric tons/million metric tons)</t>
  </si>
  <si>
    <t>Enter project size</t>
  </si>
  <si>
    <t>MW</t>
  </si>
  <si>
    <t xml:space="preserve">Select a region for the project's location or 
use the national average value: </t>
  </si>
  <si>
    <t>3a</t>
  </si>
  <si>
    <t>3b</t>
  </si>
  <si>
    <t>3c</t>
  </si>
  <si>
    <r>
      <rPr>
        <sz val="10.5"/>
        <color rgb="FF194C65"/>
        <rFont val="Calibri"/>
        <family val="2"/>
        <scheme val="minor"/>
      </rPr>
      <t xml:space="preserve">Or, will RNG be injected into a pipeline for vehicle fuel creation OFF SITE? 
</t>
    </r>
    <r>
      <rPr>
        <i/>
        <sz val="10"/>
        <color rgb="FF194C65"/>
        <rFont val="Calibri"/>
        <family val="2"/>
        <scheme val="minor"/>
      </rPr>
      <t>(N/A, Yes, No)</t>
    </r>
  </si>
  <si>
    <r>
      <rPr>
        <sz val="10.5"/>
        <color rgb="FF194C65"/>
        <rFont val="Calibri"/>
        <family val="2"/>
        <scheme val="minor"/>
      </rPr>
      <t xml:space="preserve">For an RNG project, will vehicle fuel (CNG) be created ON SITE? </t>
    </r>
    <r>
      <rPr>
        <sz val="11"/>
        <color rgb="FF194C65"/>
        <rFont val="Calibri"/>
        <family val="2"/>
        <scheme val="minor"/>
      </rPr>
      <t xml:space="preserve">
</t>
    </r>
    <r>
      <rPr>
        <i/>
        <sz val="10"/>
        <color rgb="FF194C65"/>
        <rFont val="Calibri"/>
        <family val="2"/>
        <scheme val="minor"/>
      </rPr>
      <t>(N/A, Yes, No)</t>
    </r>
  </si>
  <si>
    <t>Percentage from local electric grid</t>
  </si>
  <si>
    <r>
      <t xml:space="preserve">Enter the percent of electricity from the </t>
    </r>
    <r>
      <rPr>
        <b/>
        <sz val="11"/>
        <color rgb="FF194C65"/>
        <rFont val="Calibri"/>
        <family val="2"/>
        <scheme val="minor"/>
      </rPr>
      <t xml:space="preserve">grid </t>
    </r>
    <r>
      <rPr>
        <sz val="11"/>
        <color rgb="FF194C65"/>
        <rFont val="Calibri"/>
        <family val="2"/>
        <scheme val="minor"/>
      </rPr>
      <t>(0 to 100):</t>
    </r>
  </si>
  <si>
    <t>Enter the methane recovery rate (65 to 99 percent) for the conversion of LFG into RNG based on the cleaning technologies used for your project</t>
  </si>
  <si>
    <t xml:space="preserve"> (Default is 90%)</t>
  </si>
  <si>
    <r>
      <rPr>
        <b/>
        <sz val="16"/>
        <color theme="0"/>
        <rFont val="Calibri"/>
        <family val="2"/>
        <scheme val="minor"/>
      </rPr>
      <t>S</t>
    </r>
    <r>
      <rPr>
        <b/>
        <sz val="14"/>
        <color theme="0"/>
        <rFont val="Calibri"/>
        <family val="2"/>
        <scheme val="minor"/>
      </rPr>
      <t>TEP</t>
    </r>
    <r>
      <rPr>
        <b/>
        <sz val="16"/>
        <color theme="0"/>
        <rFont val="Calibri"/>
        <family val="2"/>
        <scheme val="minor"/>
      </rPr>
      <t xml:space="preserve"> 1</t>
    </r>
  </si>
  <si>
    <r>
      <t>S</t>
    </r>
    <r>
      <rPr>
        <b/>
        <sz val="14"/>
        <color theme="0"/>
        <rFont val="Calibri"/>
        <family val="2"/>
        <scheme val="minor"/>
      </rPr>
      <t>TEP</t>
    </r>
    <r>
      <rPr>
        <b/>
        <sz val="16"/>
        <color theme="0"/>
        <rFont val="Calibri"/>
        <family val="2"/>
        <scheme val="minor"/>
      </rPr>
      <t xml:space="preserve"> 2</t>
    </r>
  </si>
  <si>
    <r>
      <t>S</t>
    </r>
    <r>
      <rPr>
        <b/>
        <sz val="14"/>
        <color theme="0"/>
        <rFont val="Calibri"/>
        <family val="2"/>
        <scheme val="minor"/>
      </rPr>
      <t>TEP</t>
    </r>
    <r>
      <rPr>
        <b/>
        <sz val="16"/>
        <color theme="0"/>
        <rFont val="Calibri"/>
        <family val="2"/>
        <scheme val="minor"/>
      </rPr>
      <t xml:space="preserve"> 3</t>
    </r>
  </si>
  <si>
    <r>
      <t>R</t>
    </r>
    <r>
      <rPr>
        <b/>
        <sz val="14"/>
        <color theme="0"/>
        <rFont val="Calibri"/>
        <family val="2"/>
        <scheme val="minor"/>
      </rPr>
      <t>ESULTS</t>
    </r>
  </si>
  <si>
    <r>
      <t>MMTCO</t>
    </r>
    <r>
      <rPr>
        <vertAlign val="subscript"/>
        <sz val="11"/>
        <rFont val="Calibri"/>
        <family val="2"/>
        <scheme val="minor"/>
      </rPr>
      <t>2</t>
    </r>
    <r>
      <rPr>
        <sz val="11"/>
        <rFont val="Calibri"/>
        <family val="2"/>
        <scheme val="minor"/>
      </rPr>
      <t>E/yr</t>
    </r>
  </si>
  <si>
    <r>
      <t>tons CH</t>
    </r>
    <r>
      <rPr>
        <vertAlign val="subscript"/>
        <sz val="11"/>
        <rFont val="Calibri"/>
        <family val="2"/>
        <scheme val="minor"/>
      </rPr>
      <t>4</t>
    </r>
    <r>
      <rPr>
        <sz val="11"/>
        <rFont val="Calibri"/>
        <family val="2"/>
        <scheme val="minor"/>
      </rPr>
      <t>/yr</t>
    </r>
  </si>
  <si>
    <r>
      <t>tons CO</t>
    </r>
    <r>
      <rPr>
        <vertAlign val="subscript"/>
        <sz val="11"/>
        <rFont val="Calibri"/>
        <family val="2"/>
        <scheme val="minor"/>
      </rPr>
      <t>2</t>
    </r>
    <r>
      <rPr>
        <sz val="11"/>
        <rFont val="Calibri"/>
        <family val="2"/>
        <scheme val="minor"/>
      </rPr>
      <t>/yr</t>
    </r>
  </si>
  <si>
    <r>
      <t xml:space="preserve">For an </t>
    </r>
    <r>
      <rPr>
        <b/>
        <sz val="12"/>
        <color rgb="FF194C65"/>
        <rFont val="Calibri"/>
        <family val="2"/>
        <scheme val="minor"/>
      </rPr>
      <t>Electricity</t>
    </r>
    <r>
      <rPr>
        <sz val="11"/>
        <color rgb="FF194C65"/>
        <rFont val="Calibri"/>
        <family val="2"/>
        <scheme val="minor"/>
      </rPr>
      <t xml:space="preserve"> project, 
enter generation:</t>
    </r>
  </si>
  <si>
    <r>
      <t xml:space="preserve">For a </t>
    </r>
    <r>
      <rPr>
        <b/>
        <sz val="12"/>
        <color rgb="FF194C65"/>
        <rFont val="Calibri"/>
        <family val="2"/>
        <scheme val="minor"/>
      </rPr>
      <t>Direct-use</t>
    </r>
    <r>
      <rPr>
        <sz val="11"/>
        <color rgb="FF194C65"/>
        <rFont val="Calibri"/>
        <family val="2"/>
        <scheme val="minor"/>
      </rPr>
      <t xml:space="preserve"> project, 
enter raw LFG flow used in project:</t>
    </r>
  </si>
  <si>
    <r>
      <t xml:space="preserve">Tons of </t>
    </r>
    <r>
      <rPr>
        <b/>
        <sz val="11"/>
        <color rgb="FF194C65"/>
        <rFont val="Calibri"/>
        <family val="2"/>
        <scheme val="minor"/>
      </rPr>
      <t>methane</t>
    </r>
    <r>
      <rPr>
        <sz val="11"/>
        <color rgb="FF194C65"/>
        <rFont val="Calibri"/>
        <family val="2"/>
        <scheme val="minor"/>
      </rPr>
      <t xml:space="preserve"> per year:</t>
    </r>
  </si>
  <si>
    <t>-</t>
  </si>
  <si>
    <r>
      <rPr>
        <b/>
        <sz val="13"/>
        <color rgb="FF194C65"/>
        <rFont val="Calibri"/>
        <family val="2"/>
        <scheme val="minor"/>
      </rPr>
      <t>T</t>
    </r>
    <r>
      <rPr>
        <b/>
        <sz val="12"/>
        <color rgb="FF194C65"/>
        <rFont val="Calibri"/>
        <family val="2"/>
        <scheme val="minor"/>
      </rPr>
      <t>OTAL</t>
    </r>
    <r>
      <rPr>
        <b/>
        <sz val="11"/>
        <color rgb="FF194C65"/>
        <rFont val="Calibri"/>
        <family val="2"/>
        <scheme val="minor"/>
      </rPr>
      <t xml:space="preserve">
</t>
    </r>
    <r>
      <rPr>
        <i/>
        <sz val="10"/>
        <color rgb="FF194C65"/>
        <rFont val="Calibri"/>
        <family val="2"/>
        <scheme val="minor"/>
      </rPr>
      <t>Total = Direct + Avoided</t>
    </r>
  </si>
  <si>
    <t>acres</t>
  </si>
  <si>
    <r>
      <rPr>
        <b/>
        <sz val="14"/>
        <color rgb="FF194C65"/>
        <rFont val="Calibri"/>
        <family val="2"/>
        <scheme val="minor"/>
      </rPr>
      <t>A</t>
    </r>
    <r>
      <rPr>
        <b/>
        <sz val="12"/>
        <color rgb="FF194C65"/>
        <rFont val="Calibri"/>
        <family val="2"/>
        <scheme val="minor"/>
      </rPr>
      <t>NNUAL EQUIVALENT EMISSIONS REDUCED</t>
    </r>
  </si>
  <si>
    <r>
      <rPr>
        <b/>
        <sz val="14"/>
        <color rgb="FF194C65"/>
        <rFont val="Calibri"/>
        <family val="2"/>
        <scheme val="minor"/>
      </rPr>
      <t>E</t>
    </r>
    <r>
      <rPr>
        <b/>
        <sz val="12"/>
        <color rgb="FF194C65"/>
        <rFont val="Calibri"/>
        <family val="2"/>
        <scheme val="minor"/>
      </rPr>
      <t>QUIVALENT TO ANY ONE OF THE FOLLOWING ANNUAL BENEFITS:</t>
    </r>
  </si>
  <si>
    <t>gallons</t>
  </si>
  <si>
    <t>Household Energy Benefits (for non-vehicle fuel projects only)</t>
  </si>
  <si>
    <t>homes</t>
  </si>
  <si>
    <r>
      <rPr>
        <b/>
        <sz val="13"/>
        <color rgb="FF194C65"/>
        <rFont val="Calibri"/>
        <family val="2"/>
        <scheme val="minor"/>
      </rPr>
      <t>D</t>
    </r>
    <r>
      <rPr>
        <b/>
        <sz val="12"/>
        <color rgb="FF194C65"/>
        <rFont val="Calibri"/>
        <family val="2"/>
        <scheme val="minor"/>
      </rPr>
      <t>IRECT</t>
    </r>
    <r>
      <rPr>
        <b/>
        <sz val="11"/>
        <color rgb="FF194C65"/>
        <rFont val="Calibri"/>
        <family val="2"/>
        <scheme val="minor"/>
      </rPr>
      <t xml:space="preserve"> 
</t>
    </r>
    <r>
      <rPr>
        <i/>
        <sz val="10"/>
        <color rgb="FF194C65"/>
        <rFont val="Calibri"/>
        <family val="2"/>
        <scheme val="minor"/>
      </rPr>
      <t>Reduction of methane emitted 
directly from the landfill</t>
    </r>
  </si>
  <si>
    <t>Select No if RNG will be injected into a pipeline</t>
  </si>
  <si>
    <t>Select No if RNG injected into pipeline will not be used for vehicle fuel</t>
  </si>
  <si>
    <t>Emission Reductions and Benefits</t>
  </si>
  <si>
    <t>Make selections for RNG project</t>
  </si>
  <si>
    <t>(Fill a value into only one of these five yellow cells and leave others blank)</t>
  </si>
  <si>
    <r>
      <rPr>
        <sz val="12"/>
        <color rgb="FF194C65"/>
        <rFont val="Calibri"/>
        <family val="2"/>
      </rPr>
      <t>—</t>
    </r>
    <r>
      <rPr>
        <b/>
        <sz val="12"/>
        <color rgb="FF194C65"/>
        <rFont val="Calibri"/>
        <family val="2"/>
        <scheme val="minor"/>
      </rPr>
      <t>Electricity generation projects</t>
    </r>
    <r>
      <rPr>
        <sz val="12"/>
        <color rgb="FF194C65"/>
        <rFont val="Calibri"/>
        <family val="2"/>
        <scheme val="minor"/>
      </rPr>
      <t xml:space="preserve"> displace the use of grid electricity. Users can select a specific region of the country or use a national average for the CO</t>
    </r>
    <r>
      <rPr>
        <vertAlign val="subscript"/>
        <sz val="12"/>
        <color rgb="FF194C65"/>
        <rFont val="Calibri"/>
        <family val="2"/>
        <scheme val="minor"/>
      </rPr>
      <t>2</t>
    </r>
    <r>
      <rPr>
        <sz val="12"/>
        <color rgb="FF194C65"/>
        <rFont val="Calibri"/>
        <family val="2"/>
        <scheme val="minor"/>
      </rPr>
      <t xml:space="preserve"> emissions avoided.</t>
    </r>
  </si>
  <si>
    <r>
      <t xml:space="preserve">—For </t>
    </r>
    <r>
      <rPr>
        <b/>
        <sz val="12"/>
        <color rgb="FF194C65"/>
        <rFont val="Calibri"/>
        <family val="2"/>
        <scheme val="minor"/>
      </rPr>
      <t>direct-use projects</t>
    </r>
    <r>
      <rPr>
        <sz val="12"/>
        <color rgb="FF194C65"/>
        <rFont val="Calibri"/>
        <family val="2"/>
        <scheme val="minor"/>
      </rPr>
      <t>, this calculator assumes they displace natural gas usage.</t>
    </r>
  </si>
  <si>
    <r>
      <t>2023 Avoided CO</t>
    </r>
    <r>
      <rPr>
        <b/>
        <vertAlign val="subscript"/>
        <sz val="9"/>
        <rFont val="Calibri"/>
        <family val="2"/>
        <scheme val="minor"/>
      </rPr>
      <t>2</t>
    </r>
    <r>
      <rPr>
        <b/>
        <sz val="9"/>
        <rFont val="Calibri"/>
        <family val="2"/>
        <scheme val="minor"/>
      </rPr>
      <t xml:space="preserve"> Rate 
</t>
    </r>
    <r>
      <rPr>
        <i/>
        <sz val="9"/>
        <rFont val="Calibri"/>
        <family val="2"/>
        <scheme val="minor"/>
      </rPr>
      <t>(lbs/MWh, Uniform EE)</t>
    </r>
  </si>
  <si>
    <t>AVERT 
Region</t>
  </si>
  <si>
    <r>
      <t>MMTCO</t>
    </r>
    <r>
      <rPr>
        <vertAlign val="subscript"/>
        <sz val="10"/>
        <rFont val="Calibri"/>
        <family val="2"/>
        <scheme val="minor"/>
      </rPr>
      <t>2</t>
    </r>
    <r>
      <rPr>
        <sz val="10"/>
        <rFont val="Calibri"/>
        <family val="2"/>
        <scheme val="minor"/>
      </rPr>
      <t>E/yr = million standard cubic feet per day (mmscfd) of LFG utilized * (365 days/year) * (1E+06 standard cubic feet/million standard cubic feet) * (0.5 standard cubic feet methane/standard cubic foot LFG) * (0.0423 pounds methane/standard cubic foot methane) / (2,000 pounds/short ton) * (0.9072 metric tons/short ton) / (1E+06 metric tons/million metric tons) * 28 [GWP of methane]</t>
    </r>
  </si>
  <si>
    <r>
      <t>MMTCO</t>
    </r>
    <r>
      <rPr>
        <vertAlign val="subscript"/>
        <sz val="10"/>
        <rFont val="Calibri"/>
        <family val="2"/>
        <scheme val="minor"/>
      </rPr>
      <t>2</t>
    </r>
    <r>
      <rPr>
        <sz val="10"/>
        <rFont val="Calibri"/>
        <family val="2"/>
        <scheme val="minor"/>
      </rPr>
      <t xml:space="preserve">E/yr = million standard cubic feet per day (mmscfd) of LFG utilized * (365 days/year) * (1E+06 standard cubic feet/million standard cubic feet) * (0.5 standard cubic feet methane/standard cubic foot LFG) * (0.0423 pounds methane/standard cubic foot methane) / (2,000 pounds/short ton) * (0.9072 metric tons/short ton) / (1E+06 metric tons/million metric tons) * 28 [GWP of methane] </t>
    </r>
  </si>
  <si>
    <r>
      <t>tons CO</t>
    </r>
    <r>
      <rPr>
        <vertAlign val="subscript"/>
        <sz val="10"/>
        <rFont val="Calibri"/>
        <family val="2"/>
        <scheme val="minor"/>
      </rPr>
      <t>2</t>
    </r>
    <r>
      <rPr>
        <sz val="10"/>
        <rFont val="Calibri"/>
        <family val="2"/>
        <scheme val="minor"/>
      </rPr>
      <t>/yr = MMTCO</t>
    </r>
    <r>
      <rPr>
        <vertAlign val="subscript"/>
        <sz val="10"/>
        <rFont val="Calibri"/>
        <family val="2"/>
        <scheme val="minor"/>
      </rPr>
      <t>2</t>
    </r>
    <r>
      <rPr>
        <sz val="10"/>
        <rFont val="Calibri"/>
        <family val="2"/>
        <scheme val="minor"/>
      </rPr>
      <t>E/yr * (1E+06 metric tons/million metric tons) / (0.9072 metric tons/short ton)</t>
    </r>
  </si>
  <si>
    <r>
      <t xml:space="preserve">[Ref: </t>
    </r>
    <r>
      <rPr>
        <i/>
        <sz val="8"/>
        <rFont val="Calibri"/>
        <family val="2"/>
        <scheme val="minor"/>
      </rPr>
      <t>Chemical Engineers’ Handbook</t>
    </r>
    <r>
      <rPr>
        <sz val="8"/>
        <rFont val="Calibri"/>
        <family val="2"/>
        <scheme val="minor"/>
      </rPr>
      <t>. John H Perry, ed. McGraw-Hill Book Company: New York, 1963. Pg 9-9.]</t>
    </r>
  </si>
  <si>
    <r>
      <t xml:space="preserve">[Ref: </t>
    </r>
    <r>
      <rPr>
        <i/>
        <sz val="8"/>
        <rFont val="Calibri"/>
        <family val="2"/>
        <scheme val="minor"/>
      </rPr>
      <t>Compilation of Air Pollutant Emission Factors (AP-42)</t>
    </r>
    <r>
      <rPr>
        <sz val="8"/>
        <rFont val="Calibri"/>
        <family val="2"/>
        <scheme val="minor"/>
      </rPr>
      <t>. US EPA. Volume 1, Fifth Edition. Sept 1985. App. A, Pg A-6.]</t>
    </r>
  </si>
  <si>
    <r>
      <t>pounds carbon dioxide/kilowatt-hour; regional grid factors for 2023 from EPA's AVERT (see 'CO</t>
    </r>
    <r>
      <rPr>
        <vertAlign val="subscript"/>
        <sz val="10"/>
        <rFont val="Calibri"/>
        <family val="2"/>
        <scheme val="minor"/>
      </rPr>
      <t>2</t>
    </r>
    <r>
      <rPr>
        <sz val="10"/>
        <rFont val="Calibri"/>
        <family val="2"/>
        <scheme val="minor"/>
      </rPr>
      <t xml:space="preserve"> Emission Factors' tab)</t>
    </r>
  </si>
  <si>
    <t>≥99%</t>
  </si>
  <si>
    <r>
      <t>MMTCO</t>
    </r>
    <r>
      <rPr>
        <vertAlign val="subscript"/>
        <sz val="10"/>
        <color rgb="FF113547"/>
        <rFont val="Calibri"/>
        <family val="2"/>
        <scheme val="minor"/>
      </rPr>
      <t>2</t>
    </r>
    <r>
      <rPr>
        <sz val="10"/>
        <color rgb="FF113547"/>
        <rFont val="Calibri"/>
        <family val="2"/>
        <scheme val="minor"/>
      </rPr>
      <t>E/yr = megawatts (MW) of generating capacity * 0.93 [gross capacity factor] * (8,760 hours/year) * (1,000 kilowatts/megawatt) * (11,700 Btu/kilowatt-hour) / (1,012 Btu/standard cubic foot methane) * (0.0423 pounds methane/standard cubic foot methane) / (2,000 pounds/short ton) * (0.9072 metric tons/short ton) / (1E+06 metric tons/million metric tons) * 28 [GWP of methane]</t>
    </r>
  </si>
  <si>
    <r>
      <rPr>
        <b/>
        <sz val="16"/>
        <color rgb="FF2B86B3"/>
        <rFont val="Calibri"/>
        <family val="2"/>
        <scheme val="minor"/>
      </rPr>
      <t>C</t>
    </r>
    <r>
      <rPr>
        <b/>
        <sz val="14"/>
        <color rgb="FF2B86B3"/>
        <rFont val="Calibri"/>
        <family val="2"/>
        <scheme val="minor"/>
      </rPr>
      <t xml:space="preserve">ALCULATIONS BY </t>
    </r>
    <r>
      <rPr>
        <b/>
        <sz val="16"/>
        <color rgb="FF2B86B3"/>
        <rFont val="Calibri"/>
        <family val="2"/>
        <scheme val="minor"/>
      </rPr>
      <t>P</t>
    </r>
    <r>
      <rPr>
        <b/>
        <sz val="14"/>
        <color rgb="FF2B86B3"/>
        <rFont val="Calibri"/>
        <family val="2"/>
        <scheme val="minor"/>
      </rPr>
      <t xml:space="preserve">ROJECT </t>
    </r>
    <r>
      <rPr>
        <b/>
        <sz val="16"/>
        <color rgb="FF2B86B3"/>
        <rFont val="Calibri"/>
        <family val="2"/>
        <scheme val="minor"/>
      </rPr>
      <t>T</t>
    </r>
    <r>
      <rPr>
        <b/>
        <sz val="14"/>
        <color rgb="FF2B86B3"/>
        <rFont val="Calibri"/>
        <family val="2"/>
        <scheme val="minor"/>
      </rPr>
      <t>YPE</t>
    </r>
  </si>
  <si>
    <r>
      <rPr>
        <b/>
        <sz val="16"/>
        <color rgb="FF2B86B3"/>
        <rFont val="Calibri"/>
        <family val="2"/>
        <scheme val="minor"/>
      </rPr>
      <t>U</t>
    </r>
    <r>
      <rPr>
        <b/>
        <sz val="14"/>
        <color rgb="FF2B86B3"/>
        <rFont val="Calibri"/>
        <family val="2"/>
        <scheme val="minor"/>
      </rPr>
      <t xml:space="preserve">NIT </t>
    </r>
    <r>
      <rPr>
        <b/>
        <sz val="16"/>
        <color rgb="FF2B86B3"/>
        <rFont val="Calibri"/>
        <family val="2"/>
        <scheme val="minor"/>
      </rPr>
      <t>C</t>
    </r>
    <r>
      <rPr>
        <b/>
        <sz val="14"/>
        <color rgb="FF2B86B3"/>
        <rFont val="Calibri"/>
        <family val="2"/>
        <scheme val="minor"/>
      </rPr>
      <t xml:space="preserve">ONVERSION </t>
    </r>
    <r>
      <rPr>
        <b/>
        <sz val="16"/>
        <color rgb="FF2B86B3"/>
        <rFont val="Calibri"/>
        <family val="2"/>
        <scheme val="minor"/>
      </rPr>
      <t>C</t>
    </r>
    <r>
      <rPr>
        <b/>
        <sz val="14"/>
        <color rgb="FF2B86B3"/>
        <rFont val="Calibri"/>
        <family val="2"/>
        <scheme val="minor"/>
      </rPr>
      <t>ALCULATIONS</t>
    </r>
  </si>
  <si>
    <r>
      <rPr>
        <b/>
        <sz val="16"/>
        <color rgb="FF2B86B3"/>
        <rFont val="Calibri"/>
        <family val="2"/>
        <scheme val="minor"/>
      </rPr>
      <t>F</t>
    </r>
    <r>
      <rPr>
        <b/>
        <sz val="14"/>
        <color rgb="FF2B86B3"/>
        <rFont val="Calibri"/>
        <family val="2"/>
        <scheme val="minor"/>
      </rPr>
      <t xml:space="preserve">ACTORS </t>
    </r>
    <r>
      <rPr>
        <b/>
        <sz val="16"/>
        <color rgb="FF2B86B3"/>
        <rFont val="Calibri"/>
        <family val="2"/>
        <scheme val="minor"/>
      </rPr>
      <t>U</t>
    </r>
    <r>
      <rPr>
        <b/>
        <sz val="14"/>
        <color rgb="FF2B86B3"/>
        <rFont val="Calibri"/>
        <family val="2"/>
        <scheme val="minor"/>
      </rPr>
      <t xml:space="preserve">SED IN THE </t>
    </r>
    <r>
      <rPr>
        <b/>
        <sz val="16"/>
        <color rgb="FF2B86B3"/>
        <rFont val="Calibri"/>
        <family val="2"/>
        <scheme val="minor"/>
      </rPr>
      <t>C</t>
    </r>
    <r>
      <rPr>
        <b/>
        <sz val="14"/>
        <color rgb="FF2B86B3"/>
        <rFont val="Calibri"/>
        <family val="2"/>
        <scheme val="minor"/>
      </rPr>
      <t>ALCULATIONS:</t>
    </r>
  </si>
  <si>
    <r>
      <t>tons CH</t>
    </r>
    <r>
      <rPr>
        <vertAlign val="subscript"/>
        <sz val="10"/>
        <color rgb="FF113547"/>
        <rFont val="Calibri"/>
        <family val="2"/>
        <scheme val="minor"/>
      </rPr>
      <t>4</t>
    </r>
    <r>
      <rPr>
        <sz val="10"/>
        <color rgb="FF113547"/>
        <rFont val="Calibri"/>
        <family val="2"/>
        <scheme val="minor"/>
      </rPr>
      <t>/yr = MMTCO</t>
    </r>
    <r>
      <rPr>
        <vertAlign val="subscript"/>
        <sz val="10"/>
        <color rgb="FF113547"/>
        <rFont val="Calibri"/>
        <family val="2"/>
        <scheme val="minor"/>
      </rPr>
      <t>2</t>
    </r>
    <r>
      <rPr>
        <sz val="10"/>
        <color rgb="FF113547"/>
        <rFont val="Calibri"/>
        <family val="2"/>
        <scheme val="minor"/>
      </rPr>
      <t>E/yr * (1E+06 metric tons/million metric tons) / (0.9072 metric tons/short ton) / 28 [GWP of methane]</t>
    </r>
  </si>
  <si>
    <r>
      <t xml:space="preserve">GWP of methane 
</t>
    </r>
    <r>
      <rPr>
        <i/>
        <sz val="9"/>
        <rFont val="Calibri"/>
        <family val="2"/>
        <scheme val="minor"/>
      </rPr>
      <t>[updated May 2023 to reflect the Fifth Assessment Report of the Intergovernmental Panel on Climate Change (IPCC)]</t>
    </r>
  </si>
  <si>
    <r>
      <rPr>
        <b/>
        <sz val="12"/>
        <color theme="0"/>
        <rFont val="Calibri"/>
        <family val="2"/>
        <scheme val="minor"/>
      </rPr>
      <t>I</t>
    </r>
    <r>
      <rPr>
        <b/>
        <sz val="10"/>
        <color theme="0"/>
        <rFont val="Calibri"/>
        <family val="2"/>
        <scheme val="minor"/>
      </rPr>
      <t>NSTRUCTIONS</t>
    </r>
  </si>
  <si>
    <r>
      <t>Select the region for avoided CO</t>
    </r>
    <r>
      <rPr>
        <b/>
        <vertAlign val="subscript"/>
        <sz val="14"/>
        <color rgb="FF2B86B3"/>
        <rFont val="Calibri"/>
        <family val="2"/>
        <scheme val="minor"/>
      </rPr>
      <t>2</t>
    </r>
    <r>
      <rPr>
        <b/>
        <sz val="14"/>
        <color rgb="FF2B86B3"/>
        <rFont val="Calibri"/>
        <family val="2"/>
        <scheme val="minor"/>
      </rPr>
      <t xml:space="preserve"> emissions from electricity generation</t>
    </r>
  </si>
  <si>
    <r>
      <t xml:space="preserve">Million metric tons of </t>
    </r>
    <r>
      <rPr>
        <b/>
        <sz val="11"/>
        <color rgb="FF194C65"/>
        <rFont val="Calibri"/>
        <family val="2"/>
        <scheme val="minor"/>
      </rPr>
      <t>CO</t>
    </r>
    <r>
      <rPr>
        <b/>
        <vertAlign val="subscript"/>
        <sz val="11"/>
        <color rgb="FF194C65"/>
        <rFont val="Calibri"/>
        <family val="2"/>
        <scheme val="minor"/>
      </rPr>
      <t>2</t>
    </r>
    <r>
      <rPr>
        <b/>
        <sz val="11"/>
        <color rgb="FF194C65"/>
        <rFont val="Calibri"/>
        <family val="2"/>
        <scheme val="minor"/>
      </rPr>
      <t xml:space="preserve"> equivalents</t>
    </r>
    <r>
      <rPr>
        <sz val="11"/>
        <color rgb="FF194C65"/>
        <rFont val="Calibri"/>
        <family val="2"/>
        <scheme val="minor"/>
      </rPr>
      <t xml:space="preserve"> per year:</t>
    </r>
  </si>
  <si>
    <r>
      <t xml:space="preserve">Tons of </t>
    </r>
    <r>
      <rPr>
        <b/>
        <sz val="11"/>
        <color rgb="FF194C65"/>
        <rFont val="Calibri"/>
        <family val="2"/>
        <scheme val="minor"/>
      </rPr>
      <t>CO</t>
    </r>
    <r>
      <rPr>
        <b/>
        <vertAlign val="subscript"/>
        <sz val="11"/>
        <color rgb="FF194C65"/>
        <rFont val="Calibri"/>
        <family val="2"/>
        <scheme val="minor"/>
      </rPr>
      <t>2</t>
    </r>
    <r>
      <rPr>
        <sz val="11"/>
        <color rgb="FF194C65"/>
        <rFont val="Calibri"/>
        <family val="2"/>
        <scheme val="minor"/>
      </rPr>
      <t xml:space="preserve"> per year:</t>
    </r>
  </si>
  <si>
    <r>
      <rPr>
        <sz val="11"/>
        <color rgb="FF194C65"/>
        <rFont val="Calibri"/>
        <family val="2"/>
        <scheme val="minor"/>
      </rPr>
      <t xml:space="preserve">For additional environmental benefit options, view the </t>
    </r>
    <r>
      <rPr>
        <u/>
        <sz val="11"/>
        <color indexed="12"/>
        <rFont val="Calibri"/>
        <family val="2"/>
        <scheme val="minor"/>
      </rPr>
      <t xml:space="preserve">
</t>
    </r>
    <r>
      <rPr>
        <b/>
        <u/>
        <sz val="11"/>
        <color rgb="FF2B86B3"/>
        <rFont val="Calibri"/>
        <family val="2"/>
        <scheme val="minor"/>
      </rPr>
      <t>Greenhouse Gas Equivalencies Calculator</t>
    </r>
    <r>
      <rPr>
        <sz val="11"/>
        <color rgb="FF194C65"/>
        <rFont val="Calibri"/>
        <family val="2"/>
        <scheme val="minor"/>
      </rPr>
      <t xml:space="preserve"> on EPA's Energy and the Environment website.</t>
    </r>
  </si>
  <si>
    <t>LMOP Landfill Gas (LFG) Energy Benefits Calculator</t>
  </si>
  <si>
    <r>
      <t xml:space="preserve">
EPA developed a set of regional emission factors based on the AVoided Emissions and geneRation Tool (AVERT). The factors can be used to evaluate the carbon dioxide (CO</t>
    </r>
    <r>
      <rPr>
        <vertAlign val="subscript"/>
        <sz val="11"/>
        <color rgb="FF194C65"/>
        <rFont val="Calibri"/>
        <family val="2"/>
        <scheme val="minor"/>
      </rPr>
      <t>2</t>
    </r>
    <r>
      <rPr>
        <sz val="11"/>
        <color rgb="FF194C65"/>
        <rFont val="Calibri"/>
        <family val="2"/>
        <scheme val="minor"/>
      </rPr>
      <t xml:space="preserve">) emissions avoided at electric power plants by renewable energy policies and programs, such as LFG energy. 
This LMOP LFG Energy Benefits Calculator uses AVERT values for year 2023. See the map below of AVERT regions to determine the appropriate region of the LFG energy project location for which you are calculating emission reductions and environmental and energy benefits. As an alternative to a regional value, you may select the national average value which reflects a weighted average of the avoided emission rates of AVERT's 14 regions. Averages are weighted by the fraction of 2023 fossil generation in each region. Note, when using an emission factor for future years (i.e., 2024 to 2028), any retirements or additions that may take place in that future year are not included in the calculation. AVERT factors are not available for Alaska, Hawaii or the U.S. Territories. More information about AVERT is available at </t>
    </r>
  </si>
  <si>
    <t>Carbon sequestered by ___ acres of U.S. forests in one year:</t>
  </si>
  <si>
    <t xml:space="preserve">Typical percentage ranges for common technologies are displayed when cell is selected </t>
  </si>
  <si>
    <t>(Default is 100% from grid, 0% from other source)</t>
  </si>
  <si>
    <t>Percentage from other source(s) (balance)</t>
  </si>
  <si>
    <r>
      <t xml:space="preserve">Is the </t>
    </r>
    <r>
      <rPr>
        <sz val="10"/>
        <color rgb="FF194C65"/>
        <rFont val="Arial"/>
        <family val="2"/>
      </rPr>
      <t xml:space="preserve">electricity used to clean/compress raw LFG into RNG from the </t>
    </r>
    <r>
      <rPr>
        <b/>
        <sz val="10"/>
        <color rgb="FF194C65"/>
        <rFont val="Arial"/>
        <family val="2"/>
      </rPr>
      <t>local electric grid</t>
    </r>
    <r>
      <rPr>
        <sz val="10"/>
        <color rgb="FF194C65"/>
        <rFont val="Arial"/>
        <family val="2"/>
      </rPr>
      <t xml:space="preserve"> or</t>
    </r>
    <r>
      <rPr>
        <b/>
        <sz val="10"/>
        <color rgb="FF194C65"/>
        <rFont val="Arial"/>
        <family val="2"/>
      </rPr>
      <t xml:space="preserve"> generated from another source (e.g., medium-Btu LFG, solar)</t>
    </r>
    <r>
      <rPr>
        <sz val="10"/>
        <color rgb="FF194C65"/>
        <rFont val="Arial"/>
        <family val="2"/>
      </rPr>
      <t>?</t>
    </r>
  </si>
  <si>
    <r>
      <t>MMTCO</t>
    </r>
    <r>
      <rPr>
        <vertAlign val="subscript"/>
        <sz val="10"/>
        <rFont val="Calibri"/>
        <family val="2"/>
        <scheme val="minor"/>
      </rPr>
      <t>2</t>
    </r>
    <r>
      <rPr>
        <sz val="10"/>
        <rFont val="Calibri"/>
        <family val="2"/>
        <scheme val="minor"/>
      </rPr>
      <t xml:space="preserve">E/yr = million standard cubic feet per day (mmscfd) of LFG utilized * (methane recovery rate, varies from 65 to 99%) * (98% [from 2% methane leakage during RNG processing]) * (365 days/year) * (1E+06 standard cubic feet/million standard cubic feet) * (0.5 standard cubic feet methane/standard cubic foot LFG) * (1,012 Btu/standard cubic foot methane) * (163.5 pounds CO2/million Btu diesel fuel) / (1E+06 Btu/million Btu) * (short ton/2,000 pounds) * (0.9072 metric tons/short ton) / (1E+06 metric tons/million metric tons) </t>
    </r>
    <r>
      <rPr>
        <sz val="10"/>
        <color rgb="FF7030A0"/>
        <rFont val="Calibri"/>
        <family val="2"/>
        <scheme val="minor"/>
      </rPr>
      <t>- [optional grid emissions from grid electricity usage for RNG conversion process]</t>
    </r>
  </si>
  <si>
    <t>Btu/megajoule</t>
  </si>
  <si>
    <t>MJe/MJ feed (energy intensity for RNG cleanup, two stages)</t>
  </si>
  <si>
    <t>MJe/MJ feed (energy intensity for onsite RNG compression for vehicle fuel)</t>
  </si>
  <si>
    <t>CH4/LFG (CH4 leakage rate during RNG processing, two stages)</t>
  </si>
  <si>
    <r>
      <t>This calculator estimates the direct methane reductions, avoided carbon dioxide (CO</t>
    </r>
    <r>
      <rPr>
        <vertAlign val="subscript"/>
        <sz val="11"/>
        <color rgb="FF194C65"/>
        <rFont val="Calibri"/>
        <family val="2"/>
        <scheme val="minor"/>
      </rPr>
      <t>2</t>
    </r>
    <r>
      <rPr>
        <sz val="11"/>
        <color rgb="FF194C65"/>
        <rFont val="Calibri"/>
        <family val="2"/>
        <scheme val="minor"/>
      </rPr>
      <t>) emissions and total greenhouse gas reductions attributable to a landfill gas (LFG) energy project for the current year, calculated from the project size entered by the user. Estimates can be calculated for three types of LFG energy projects: Electricity, Direct-use and Renewable Natural Gas (RNG). Light yellow cells are for user entries. Information about the calculations, factors and references is available in the following three tabs of this file.</t>
    </r>
  </si>
  <si>
    <r>
      <t xml:space="preserve">(Applies to </t>
    </r>
    <r>
      <rPr>
        <b/>
        <i/>
        <sz val="11"/>
        <color rgb="FFC00000"/>
        <rFont val="Calibri"/>
        <family val="2"/>
        <scheme val="minor"/>
      </rPr>
      <t>Electricity</t>
    </r>
    <r>
      <rPr>
        <i/>
        <sz val="11"/>
        <color rgb="FFC00000"/>
        <rFont val="Calibri"/>
        <family val="2"/>
        <scheme val="minor"/>
      </rPr>
      <t xml:space="preserve"> projects or </t>
    </r>
    <r>
      <rPr>
        <b/>
        <i/>
        <sz val="11"/>
        <color rgb="FFC00000"/>
        <rFont val="Calibri"/>
        <family val="2"/>
        <scheme val="minor"/>
      </rPr>
      <t>RNG</t>
    </r>
    <r>
      <rPr>
        <i/>
        <sz val="11"/>
        <color rgb="FFC00000"/>
        <rFont val="Calibri"/>
        <family val="2"/>
        <scheme val="minor"/>
      </rPr>
      <t xml:space="preserve"> projects that use grid electricity (see Step 3b))</t>
    </r>
  </si>
  <si>
    <t>= (mmscfd LFG feed) * (1E+06 standard cubic feet/million standard cubic feet) * (365 days/year) * (0.5 scf CH4/scf LFG) * (1,012 Btu feed/scf CH4) / (1,000 kilowatts/megawatt) * (energy intensity of process [MJe/MJ feed]) / 3.6 megajoules/kilowatt-hour * MJ feed/947.8 Btu feed * (% of process electric grid powered) * (pounds CO2/megawatt-hour [regional or national grid factor]) / (2,000 pounds/short ton) * (0.9072 metric tons/short ton) / (1E+06 metric tons/million metric tons)</t>
  </si>
  <si>
    <r>
      <rPr>
        <sz val="11"/>
        <color rgb="FF194C65"/>
        <rFont val="Calibri"/>
        <family val="2"/>
        <scheme val="minor"/>
      </rPr>
      <t xml:space="preserve">Greenhouse Gas Equivalencies Calculator on EPA's Energy and the Environment website at </t>
    </r>
    <r>
      <rPr>
        <u/>
        <sz val="11"/>
        <color rgb="FF2B86B3"/>
        <rFont val="Calibri"/>
        <family val="2"/>
        <scheme val="minor"/>
      </rPr>
      <t>https://www.epa.gov/energy/greenhouse-gas-equivalencies-calculator</t>
    </r>
  </si>
  <si>
    <r>
      <rPr>
        <sz val="11"/>
        <color rgb="FF194C65"/>
        <rFont val="Calibri"/>
        <family val="2"/>
        <scheme val="minor"/>
      </rPr>
      <t xml:space="preserve">•  For acres of forest:  </t>
    </r>
    <r>
      <rPr>
        <u/>
        <sz val="11"/>
        <color rgb="FF2B86B3"/>
        <rFont val="Calibri"/>
        <family val="2"/>
        <scheme val="minor"/>
      </rPr>
      <t>https://www.epa.gov/energy/greenhouse-gases-equivalencies-calculator-calculations-and-references#pineforests</t>
    </r>
  </si>
  <si>
    <r>
      <rPr>
        <sz val="11"/>
        <color rgb="FF194C65"/>
        <rFont val="Calibri"/>
        <family val="2"/>
        <scheme val="minor"/>
      </rPr>
      <t xml:space="preserve">•  For railcars of coal:  </t>
    </r>
    <r>
      <rPr>
        <u/>
        <sz val="11"/>
        <color rgb="FF2B86B3"/>
        <rFont val="Calibri"/>
        <family val="2"/>
        <scheme val="minor"/>
      </rPr>
      <t>https://www.epa.gov/energy/greenhouse-gases-equivalencies-calculator-calculations-and-references#railcars</t>
    </r>
  </si>
  <si>
    <r>
      <rPr>
        <sz val="11"/>
        <color rgb="FF194C65"/>
        <rFont val="Calibri"/>
        <family val="2"/>
        <scheme val="minor"/>
      </rPr>
      <t xml:space="preserve">•  For barrels of oil: </t>
    </r>
    <r>
      <rPr>
        <sz val="11"/>
        <color rgb="FF2B86B3"/>
        <rFont val="Calibri"/>
        <family val="2"/>
        <scheme val="minor"/>
      </rPr>
      <t xml:space="preserve"> </t>
    </r>
    <r>
      <rPr>
        <u/>
        <sz val="11"/>
        <color rgb="FF2B86B3"/>
        <rFont val="Calibri"/>
        <family val="2"/>
        <scheme val="minor"/>
      </rPr>
      <t>https://www.epa.gov/energy/greenhouse-gases-equivalencies-calculator-calculations-and-references#oil</t>
    </r>
  </si>
  <si>
    <r>
      <rPr>
        <sz val="11"/>
        <color rgb="FF194C65"/>
        <rFont val="Calibri"/>
        <family val="2"/>
        <scheme val="minor"/>
      </rPr>
      <t xml:space="preserve">•  For gallons of gasoline:  </t>
    </r>
    <r>
      <rPr>
        <u/>
        <sz val="11"/>
        <color rgb="FF2B86B3"/>
        <rFont val="Calibri"/>
        <family val="2"/>
        <scheme val="minor"/>
      </rPr>
      <t>https://www.epa.gov/energy/greenhouse-gases-equivalencies-calculator-calculations-and-references#gasoline</t>
    </r>
  </si>
  <si>
    <r>
      <rPr>
        <sz val="11"/>
        <color rgb="FF194C65"/>
        <rFont val="Calibri"/>
        <family val="2"/>
        <scheme val="minor"/>
      </rPr>
      <t xml:space="preserve">•  For gallons of diesel: </t>
    </r>
    <r>
      <rPr>
        <sz val="11"/>
        <color rgb="FF2B86B3"/>
        <rFont val="Calibri"/>
        <family val="2"/>
        <scheme val="minor"/>
      </rPr>
      <t xml:space="preserve"> </t>
    </r>
    <r>
      <rPr>
        <u/>
        <sz val="11"/>
        <color rgb="FF2B86B3"/>
        <rFont val="Calibri"/>
        <family val="2"/>
        <scheme val="minor"/>
      </rPr>
      <t>https://www.epa.gov/energy/greenhouse-gases-equivalencies-calculator-calculations-and-references#diesel</t>
    </r>
  </si>
  <si>
    <r>
      <t xml:space="preserve">•  </t>
    </r>
    <r>
      <rPr>
        <i/>
        <sz val="11"/>
        <color rgb="FF194C65"/>
        <rFont val="Calibri"/>
        <family val="2"/>
        <scheme val="minor"/>
      </rPr>
      <t>2020 Residential Energy Consumption Survey: Consumption &amp; Expenditures Tables</t>
    </r>
    <r>
      <rPr>
        <sz val="11"/>
        <color rgb="FF194C65"/>
        <rFont val="Calibri"/>
        <family val="2"/>
        <scheme val="minor"/>
      </rPr>
      <t xml:space="preserve"> (Release date: March 2023; Revised data date: March 2024).
    US DOE/EIA. Table CE2.1.</t>
    </r>
  </si>
  <si>
    <t>MW = megawatts                                              mmscfd = million standard cubic feet per day                                                      scfm = standard cubic feet per minute</t>
  </si>
  <si>
    <t>Regarding direct methane reductions:</t>
  </si>
  <si>
    <t>*Do not include LFG for powering the RNG conversion</t>
  </si>
  <si>
    <r>
      <rPr>
        <sz val="12"/>
        <color rgb="FF194C65"/>
        <rFont val="Calibri"/>
        <family val="2"/>
      </rPr>
      <t xml:space="preserve">—The direct methane reduction estimates provided by this tool are intended to be used for energy projects using LFG from </t>
    </r>
    <r>
      <rPr>
        <b/>
        <sz val="12"/>
        <color rgb="FF194C65"/>
        <rFont val="Calibri"/>
        <family val="2"/>
      </rPr>
      <t xml:space="preserve">landfills that are NOT required by regulation to collect and combust LFG. </t>
    </r>
    <r>
      <rPr>
        <sz val="12"/>
        <color rgb="FF194C65"/>
        <rFont val="Calibri"/>
        <family val="2"/>
      </rPr>
      <t>Sites that</t>
    </r>
    <r>
      <rPr>
        <sz val="12"/>
        <color rgb="FF194C65"/>
        <rFont val="Calibri"/>
        <family val="2"/>
        <scheme val="minor"/>
      </rPr>
      <t xml:space="preserve"> are required to collect and combust LFG would be doing so anyway (via flaring) in the absence of an energy project, so that methane reduction benefit is not due to the project.</t>
    </r>
  </si>
  <si>
    <r>
      <t xml:space="preserve">—For </t>
    </r>
    <r>
      <rPr>
        <b/>
        <sz val="12"/>
        <color rgb="FF194C65"/>
        <rFont val="Calibri"/>
        <family val="2"/>
        <scheme val="minor"/>
      </rPr>
      <t>RNG projects</t>
    </r>
    <r>
      <rPr>
        <sz val="12"/>
        <color rgb="FF194C65"/>
        <rFont val="Calibri"/>
        <family val="2"/>
        <scheme val="minor"/>
      </rPr>
      <t>, the user makes selections whether the RNG will be used to fuel vehicles or not. For vehicle fuel projects, the calculator assumes diesel fuel use is avoided, while for non-vehicle fuel projects the calculator assumes natural gas use is avoided.</t>
    </r>
  </si>
  <si>
    <t xml:space="preserve"> ** Direct-use projects are those in which minimally cleaned LFG is used as a fuel in applications such as boilers, heaters or evaporators.</t>
  </si>
  <si>
    <r>
      <t xml:space="preserve">For an </t>
    </r>
    <r>
      <rPr>
        <b/>
        <sz val="12"/>
        <color rgb="FF194C65"/>
        <rFont val="Calibri"/>
        <family val="2"/>
        <scheme val="minor"/>
      </rPr>
      <t>RNG</t>
    </r>
    <r>
      <rPr>
        <sz val="11"/>
        <color rgb="FF194C65"/>
        <rFont val="Calibri"/>
        <family val="2"/>
        <scheme val="minor"/>
      </rPr>
      <t xml:space="preserve"> project, 
enter raw LFG flow to be converted to RNG*:</t>
    </r>
  </si>
  <si>
    <r>
      <t>The LFG Energy Benefits Calculator can be used to estimate direct methane reductions and avoided* carbon dioxide (CO</t>
    </r>
    <r>
      <rPr>
        <vertAlign val="subscript"/>
        <sz val="12"/>
        <color rgb="FF194C65"/>
        <rFont val="Calibri"/>
        <family val="2"/>
        <scheme val="minor"/>
      </rPr>
      <t>2</t>
    </r>
    <r>
      <rPr>
        <sz val="12"/>
        <color rgb="FF194C65"/>
        <rFont val="Calibri"/>
        <family val="2"/>
        <scheme val="minor"/>
      </rPr>
      <t>) emissions, as well as environmental and energy benefit equivalencies, for three types of LFG energy projects: Electricity, Direct-use** and Renewable Natural Gas (RNG). All three project types directly reduce landfill methane emissions and avoid CO</t>
    </r>
    <r>
      <rPr>
        <vertAlign val="subscript"/>
        <sz val="12"/>
        <color rgb="FF194C65"/>
        <rFont val="Calibri"/>
        <family val="2"/>
        <scheme val="minor"/>
      </rPr>
      <t>2</t>
    </r>
    <r>
      <rPr>
        <sz val="12"/>
        <color rgb="FF194C65"/>
        <rFont val="Calibri"/>
        <family val="2"/>
        <scheme val="minor"/>
      </rPr>
      <t xml:space="preserve"> emissions.</t>
    </r>
  </si>
  <si>
    <r>
      <t>Regarding avoided CO</t>
    </r>
    <r>
      <rPr>
        <vertAlign val="subscript"/>
        <sz val="12"/>
        <color rgb="FF194C65"/>
        <rFont val="Calibri"/>
        <family val="2"/>
        <scheme val="minor"/>
      </rPr>
      <t>2</t>
    </r>
    <r>
      <rPr>
        <sz val="12"/>
        <color rgb="FF194C65"/>
        <rFont val="Calibri"/>
        <family val="2"/>
        <scheme val="minor"/>
      </rPr>
      <t xml:space="preserve"> emissions:</t>
    </r>
  </si>
  <si>
    <r>
      <t>This calculator does not perform a life cycle analysis (LCA) for an LFG energy project's emission reductions or emissions impact. Rather, it focuses on the direct emission reductions (methane in the LFG) and avoided CO</t>
    </r>
    <r>
      <rPr>
        <vertAlign val="subscript"/>
        <sz val="12"/>
        <color rgb="FF194C65"/>
        <rFont val="Calibri"/>
        <family val="2"/>
        <scheme val="minor"/>
      </rPr>
      <t>2</t>
    </r>
    <r>
      <rPr>
        <sz val="12"/>
        <color rgb="FF194C65"/>
        <rFont val="Calibri"/>
        <family val="2"/>
        <scheme val="minor"/>
      </rPr>
      <t xml:space="preserve"> emissions (from displacing grid electricity or natural gas/diesel fuel use). Users interested in an LCA for an RNG-to-vehicle fuel project may want to use the U.S. Department of Energy's Greenhouse gas, Regulated Emissions, and Energy use in Technologies (GREET) LCA tool, specifically the version of the tool named Argonne R&amp;D GREET Model.</t>
    </r>
  </si>
  <si>
    <t xml:space="preserve"> * In this tool, the term "avoided" refers to reducing the emissions effects from consumption of a mainstream form of energy. </t>
  </si>
  <si>
    <t>Emissions associated with electricity used from the local grid will be displaced in the final avoided emissions results; other sources of electricity are assumed to have negligible emissions.</t>
  </si>
  <si>
    <r>
      <rPr>
        <b/>
        <sz val="13"/>
        <color rgb="FF194C65"/>
        <rFont val="Calibri"/>
        <family val="2"/>
        <scheme val="minor"/>
      </rPr>
      <t>A</t>
    </r>
    <r>
      <rPr>
        <b/>
        <sz val="12"/>
        <color rgb="FF194C65"/>
        <rFont val="Calibri"/>
        <family val="2"/>
        <scheme val="minor"/>
      </rPr>
      <t>VOIDED</t>
    </r>
    <r>
      <rPr>
        <b/>
        <sz val="11"/>
        <color rgb="FF194C65"/>
        <rFont val="Calibri"/>
        <family val="2"/>
        <scheme val="minor"/>
      </rPr>
      <t xml:space="preserve">
</t>
    </r>
    <r>
      <rPr>
        <i/>
        <sz val="10"/>
        <color rgb="FF194C65"/>
        <rFont val="Calibri"/>
        <family val="2"/>
        <scheme val="minor"/>
      </rPr>
      <t>Reduction of CO</t>
    </r>
    <r>
      <rPr>
        <i/>
        <vertAlign val="subscript"/>
        <sz val="10"/>
        <color rgb="FF194C65"/>
        <rFont val="Calibri"/>
        <family val="2"/>
        <scheme val="minor"/>
      </rPr>
      <t>2</t>
    </r>
    <r>
      <rPr>
        <i/>
        <sz val="10"/>
        <color rgb="FF194C65"/>
        <rFont val="Calibri"/>
        <family val="2"/>
        <scheme val="minor"/>
      </rPr>
      <t xml:space="preserve"> emissions from 
avoiding the use of fossil fuels</t>
    </r>
  </si>
  <si>
    <r>
      <t xml:space="preserve">[Ref: LFGcost-Web User's Manual, V3.6, p.16, Sep. 2023.] </t>
    </r>
    <r>
      <rPr>
        <u/>
        <sz val="10"/>
        <color rgb="FF2B86B3"/>
        <rFont val="Calibri"/>
        <family val="2"/>
        <scheme val="minor"/>
      </rPr>
      <t xml:space="preserve">
</t>
    </r>
  </si>
  <si>
    <t>https://www.epa.gov/lmop/lfgcost-web-landfill-gas-energy-cost-model</t>
  </si>
  <si>
    <t>[Ref: Carbon Dioxide Emissions Coefficients. U.S. EIA. Sep. 2024.]</t>
  </si>
  <si>
    <r>
      <t>MMTCO</t>
    </r>
    <r>
      <rPr>
        <vertAlign val="subscript"/>
        <sz val="10"/>
        <rFont val="Calibri"/>
        <family val="2"/>
        <scheme val="minor"/>
      </rPr>
      <t>2</t>
    </r>
    <r>
      <rPr>
        <sz val="10"/>
        <rFont val="Calibri"/>
        <family val="2"/>
        <scheme val="minor"/>
      </rPr>
      <t>E/yr = million standard cubic feet per day (mmscfd) of LFG utilized * (methane recovery rate, varies from 65 to 99%) * (98% [from 2% methane leakage during RNG processing]) * (365 days/year) * (1E+06 standard cubic feet/million standard cubic feet) * (0.5 standard cubic feet methane/standard cubic foot LFG) * (1,012 Btu/standard cubic foot methane) / (1,050 Btu/standard cubic foot natural gas) * (0.12085 pounds carbon dioxide/standard cubic foot natural gas) / (2,000 pounds/short ton) * (0.9072 metric tons/short ton) / (1E+06 metric tons/million metric tons)</t>
    </r>
    <r>
      <rPr>
        <sz val="10"/>
        <color rgb="FFFF0000"/>
        <rFont val="Calibri"/>
        <family val="2"/>
        <scheme val="minor"/>
      </rPr>
      <t xml:space="preserve"> </t>
    </r>
    <r>
      <rPr>
        <sz val="10"/>
        <color rgb="FF7030A0"/>
        <rFont val="Calibri"/>
        <family val="2"/>
        <scheme val="minor"/>
      </rPr>
      <t>- [optional grid emissions from grid electricity usage for RNG conversion process]</t>
    </r>
  </si>
  <si>
    <r>
      <t>MMTCO</t>
    </r>
    <r>
      <rPr>
        <vertAlign val="subscript"/>
        <sz val="10"/>
        <color rgb="FF113547"/>
        <rFont val="Calibri"/>
        <family val="2"/>
        <scheme val="minor"/>
      </rPr>
      <t>2</t>
    </r>
    <r>
      <rPr>
        <sz val="10"/>
        <color rgb="FF113547"/>
        <rFont val="Calibri"/>
        <family val="2"/>
        <scheme val="minor"/>
      </rPr>
      <t>E/yr = million standard cubic feet per day (mmscfd) of LFG utilized * 0.90 [gross capacity factor] * (365 days/year) *
(1E+06 standard cubic feet/million standard cubic feet) * (0.5 standard cubic feet methane/standard cubic foot LFG) *
(1,012 Btu/standard cubic foot methane) / (1,050 Btu/standard cubic foot natural gas) * (0.12085 pounds carbon dioxide/standard cubic foot natural gas) / (2,000 pounds/short ton) * (0.9072 metric tons/short ton) / (1E+06 metric tons/million metric tons)</t>
    </r>
  </si>
  <si>
    <r>
      <t xml:space="preserve">—The Argonne R&amp;D GREET Model and more information about it are available online at </t>
    </r>
    <r>
      <rPr>
        <u/>
        <sz val="12"/>
        <color rgb="FF2B86B3"/>
        <rFont val="Calibri"/>
        <family val="2"/>
        <scheme val="minor"/>
      </rPr>
      <t>https://www.energy.gov/eere/greet</t>
    </r>
    <r>
      <rPr>
        <sz val="12"/>
        <color rgb="FF194C65"/>
        <rFont val="Calibri"/>
        <family val="2"/>
        <scheme val="minor"/>
      </rPr>
      <t>.</t>
    </r>
  </si>
  <si>
    <t>Last Updated: December 2024</t>
  </si>
  <si>
    <r>
      <rPr>
        <u/>
        <sz val="10"/>
        <color rgb="FF2B86B3"/>
        <rFont val="Calibri"/>
        <family val="2"/>
      </rPr>
      <t>https://www.epa.gov/avert/avoided-emission-rates-generated-avert</t>
    </r>
    <r>
      <rPr>
        <sz val="10"/>
        <color rgb="FF194C65"/>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</si>
</sst>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_(* \(#,##0.00\);_(* &quot;-&quot;??_);_(@_)"/>
    <numFmt numFmtId="164" formatCode="0.000"/>
    <numFmt numFmtId="165" formatCode="0.0"/>
    <numFmt numFmtId="166" formatCode="0.0000"/>
    <numFmt numFmtId="167" formatCode="0.00000"/>
    <numFmt numFmtId="168" formatCode="0E+00"/>
    <numFmt numFmtId="169" formatCode="#,##0.0"/>
    <numFmt numFmtId="170" formatCode="0.000000"/>
  </numFmts>
  <fonts count="14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u/>
      <sz val="10"/>
      <color indexed="12"/>
      <name val="Arial"/>
      <family val="2"/>
    </font>
    <font>
      <u/>
      <sz val="9"/>
      <name val="Arial"/>
      <family val="2"/>
    </font>
    <font>
      <sz val="10"/>
      <color indexed="17"/>
      <name val="Arial"/>
      <family val="2"/>
    </font>
    <font>
      <sz val="8"/>
      <color indexed="17"/>
      <name val="Arial"/>
      <family val="2"/>
    </font>
    <font>
      <sz val="9"/>
      <color indexed="17"/>
      <name val="Arial"/>
      <family val="2"/>
    </font>
    <font>
      <u/>
      <sz val="7.5"/>
      <color indexed="12"/>
      <name val="Arial"/>
      <family val="2"/>
    </font>
    <font>
      <sz val="9"/>
      <color rgb="FF000000"/>
      <name val="Calibri"/>
      <family val="2"/>
      <scheme val="minor"/>
    </font>
    <font>
      <b/>
      <sz val="9"/>
      <color rgb="FF000000"/>
      <name val="Calibri"/>
      <family val="2"/>
      <scheme val="minor"/>
    </font>
    <font>
      <i/>
      <sz val="9"/>
      <color rgb="FF000000"/>
      <name val="Calibri"/>
      <family val="2"/>
      <scheme val="minor"/>
    </font>
    <font>
      <sz val="11"/>
      <name val="Calibri"/>
      <family val="2"/>
      <scheme val="minor"/>
    </font>
    <font>
      <vertAlign val="subscript"/>
      <sz val="11"/>
      <name val="Calibri"/>
      <family val="2"/>
      <scheme val="minor"/>
    </font>
    <font>
      <sz val="10"/>
      <color rgb="FF0000FF"/>
      <name val="Arial"/>
      <family val="2"/>
    </font>
    <font>
      <b/>
      <sz val="10"/>
      <color rgb="FF0000FF"/>
      <name val="Arial"/>
      <family val="2"/>
    </font>
    <font>
      <b/>
      <sz val="9"/>
      <name val="Calibri"/>
      <family val="2"/>
      <scheme val="minor"/>
    </font>
    <font>
      <b/>
      <vertAlign val="subscript"/>
      <sz val="9"/>
      <name val="Calibri"/>
      <family val="2"/>
      <scheme val="minor"/>
    </font>
    <font>
      <sz val="10"/>
      <name val="Calibri"/>
      <family val="2"/>
      <scheme val="minor"/>
    </font>
    <font>
      <sz val="9"/>
      <name val="Calibri"/>
      <family val="2"/>
      <scheme val="minor"/>
    </font>
    <font>
      <sz val="10"/>
      <color theme="1"/>
      <name val="Calibri"/>
      <family val="2"/>
      <scheme val="minor"/>
    </font>
    <font>
      <sz val="10"/>
      <color rgb="FFFF0000"/>
      <name val="Arial"/>
      <family val="2"/>
    </font>
    <font>
      <sz val="10"/>
      <name val="Arial"/>
      <family val="2"/>
    </font>
    <font>
      <sz val="10"/>
      <color theme="0"/>
      <name val="Arial"/>
      <family val="2"/>
    </font>
    <font>
      <sz val="9"/>
      <color indexed="81"/>
      <name val="Tahoma"/>
      <family val="2"/>
    </font>
    <font>
      <strike/>
      <sz val="10"/>
      <color rgb="FFFF0000"/>
      <name val="Arial"/>
      <family val="2"/>
    </font>
    <font>
      <strike/>
      <sz val="10"/>
      <name val="Arial"/>
      <family val="2"/>
    </font>
    <font>
      <b/>
      <sz val="10"/>
      <color rgb="FFFF0000"/>
      <name val="Arial"/>
      <family val="2"/>
    </font>
    <font>
      <i/>
      <sz val="10"/>
      <color rgb="FFFF0000"/>
      <name val="Arial"/>
      <family val="2"/>
    </font>
    <font>
      <b/>
      <sz val="10"/>
      <color theme="0"/>
      <name val="Arial"/>
      <family val="2"/>
    </font>
    <font>
      <b/>
      <u/>
      <sz val="10"/>
      <name val="Arial"/>
      <family val="2"/>
    </font>
    <font>
      <u/>
      <sz val="11"/>
      <color theme="10"/>
      <name val="Calibri"/>
      <family val="2"/>
      <scheme val="minor"/>
    </font>
    <font>
      <b/>
      <i/>
      <sz val="10"/>
      <color rgb="FF0000FF"/>
      <name val="Arial"/>
      <family val="2"/>
    </font>
    <font>
      <u/>
      <sz val="11"/>
      <color indexed="12"/>
      <name val="Calibri"/>
      <family val="2"/>
      <scheme val="minor"/>
    </font>
    <font>
      <i/>
      <sz val="10"/>
      <color rgb="FFD84040"/>
      <name val="Arial"/>
      <family val="2"/>
    </font>
    <font>
      <sz val="10"/>
      <color theme="4" tint="-0.499984740745262"/>
      <name val="Arial"/>
      <family val="2"/>
    </font>
    <font>
      <sz val="14"/>
      <color theme="4" tint="-0.499984740745262"/>
      <name val="Arial"/>
      <family val="2"/>
    </font>
    <font>
      <b/>
      <sz val="18"/>
      <color theme="4" tint="-0.499984740745262"/>
      <name val="Calibri"/>
      <family val="2"/>
    </font>
    <font>
      <sz val="10"/>
      <color rgb="FF206384"/>
      <name val="Arial"/>
      <family val="2"/>
    </font>
    <font>
      <sz val="10"/>
      <color rgb="FF194C65"/>
      <name val="Arial"/>
      <family val="2"/>
    </font>
    <font>
      <b/>
      <sz val="10"/>
      <color rgb="FF194C65"/>
      <name val="Arial"/>
      <family val="2"/>
    </font>
    <font>
      <b/>
      <sz val="12"/>
      <color rgb="FF2B86B3"/>
      <name val="Arial"/>
      <family val="2"/>
    </font>
    <font>
      <b/>
      <sz val="12"/>
      <color rgb="FF2B86B3"/>
      <name val="Calibri"/>
      <family val="2"/>
      <scheme val="minor"/>
    </font>
    <font>
      <b/>
      <i/>
      <sz val="10"/>
      <color rgb="FFC00000"/>
      <name val="Arial"/>
      <family val="2"/>
    </font>
    <font>
      <b/>
      <sz val="10"/>
      <color theme="0"/>
      <name val="Calibri"/>
      <family val="2"/>
      <scheme val="minor"/>
    </font>
    <font>
      <b/>
      <sz val="12"/>
      <color theme="0"/>
      <name val="Calibri"/>
      <family val="2"/>
      <scheme val="minor"/>
    </font>
    <font>
      <b/>
      <sz val="14"/>
      <color theme="0"/>
      <name val="Calibri"/>
      <family val="2"/>
      <scheme val="minor"/>
    </font>
    <font>
      <sz val="10"/>
      <color rgb="FF194C65"/>
      <name val="Calibri"/>
      <family val="2"/>
      <scheme val="minor"/>
    </font>
    <font>
      <i/>
      <sz val="10"/>
      <color rgb="FFD84040"/>
      <name val="Calibri"/>
      <family val="2"/>
      <scheme val="minor"/>
    </font>
    <font>
      <sz val="10"/>
      <color rgb="FF0000FF"/>
      <name val="Calibri"/>
      <family val="2"/>
      <scheme val="minor"/>
    </font>
    <font>
      <b/>
      <sz val="14"/>
      <color rgb="FF2B86B3"/>
      <name val="Calibri"/>
      <family val="2"/>
      <scheme val="minor"/>
    </font>
    <font>
      <sz val="10"/>
      <color indexed="17"/>
      <name val="Calibri"/>
      <family val="2"/>
      <scheme val="minor"/>
    </font>
    <font>
      <i/>
      <sz val="10"/>
      <color rgb="FF194C65"/>
      <name val="Calibri"/>
      <family val="2"/>
      <scheme val="minor"/>
    </font>
    <font>
      <i/>
      <sz val="10"/>
      <name val="Calibri"/>
      <family val="2"/>
      <scheme val="minor"/>
    </font>
    <font>
      <i/>
      <sz val="10"/>
      <color indexed="17"/>
      <name val="Calibri"/>
      <family val="2"/>
      <scheme val="minor"/>
    </font>
    <font>
      <sz val="11"/>
      <color rgb="FF194C65"/>
      <name val="Calibri"/>
      <family val="2"/>
      <scheme val="minor"/>
    </font>
    <font>
      <sz val="10.5"/>
      <color rgb="FF194C65"/>
      <name val="Calibri"/>
      <family val="2"/>
      <scheme val="minor"/>
    </font>
    <font>
      <b/>
      <sz val="11"/>
      <color rgb="FF194C65"/>
      <name val="Calibri"/>
      <family val="2"/>
      <scheme val="minor"/>
    </font>
    <font>
      <b/>
      <sz val="10"/>
      <color rgb="FF0000FF"/>
      <name val="Calibri"/>
      <family val="2"/>
      <scheme val="minor"/>
    </font>
    <font>
      <u/>
      <sz val="11"/>
      <color rgb="FF194C65"/>
      <name val="Calibri"/>
      <family val="2"/>
      <scheme val="minor"/>
    </font>
    <font>
      <b/>
      <sz val="10"/>
      <color rgb="FFC00000"/>
      <name val="Arial"/>
      <family val="2"/>
    </font>
    <font>
      <i/>
      <sz val="11"/>
      <color rgb="FFC00000"/>
      <name val="Calibri"/>
      <family val="2"/>
      <scheme val="minor"/>
    </font>
    <font>
      <b/>
      <sz val="16"/>
      <color theme="0"/>
      <name val="Calibri"/>
      <family val="2"/>
      <scheme val="minor"/>
    </font>
    <font>
      <sz val="8"/>
      <name val="Calibri"/>
      <family val="2"/>
      <scheme val="minor"/>
    </font>
    <font>
      <b/>
      <i/>
      <sz val="10"/>
      <color rgb="FF0000FF"/>
      <name val="Calibri"/>
      <family val="2"/>
      <scheme val="minor"/>
    </font>
    <font>
      <b/>
      <sz val="11"/>
      <name val="Calibri"/>
      <family val="2"/>
      <scheme val="minor"/>
    </font>
    <font>
      <sz val="11"/>
      <name val="Arial"/>
      <family val="2"/>
    </font>
    <font>
      <b/>
      <i/>
      <sz val="11"/>
      <color rgb="FF0000FF"/>
      <name val="Calibri"/>
      <family val="2"/>
      <scheme val="minor"/>
    </font>
    <font>
      <b/>
      <i/>
      <sz val="10"/>
      <color rgb="FF608C4A"/>
      <name val="Calibri"/>
      <family val="2"/>
      <scheme val="minor"/>
    </font>
    <font>
      <b/>
      <sz val="11"/>
      <color rgb="FF2B86B3"/>
      <name val="Calibri"/>
      <family val="2"/>
      <scheme val="minor"/>
    </font>
    <font>
      <b/>
      <sz val="12"/>
      <color rgb="FF194C65"/>
      <name val="Calibri"/>
      <family val="2"/>
      <scheme val="minor"/>
    </font>
    <font>
      <b/>
      <sz val="14"/>
      <color rgb="FF194C65"/>
      <name val="Calibri"/>
      <family val="2"/>
      <scheme val="minor"/>
    </font>
    <font>
      <b/>
      <sz val="13"/>
      <color rgb="FF194C65"/>
      <name val="Calibri"/>
      <family val="2"/>
      <scheme val="minor"/>
    </font>
    <font>
      <i/>
      <sz val="12"/>
      <color rgb="FF194C65"/>
      <name val="Calibri"/>
      <family val="2"/>
      <scheme val="minor"/>
    </font>
    <font>
      <b/>
      <u/>
      <sz val="11"/>
      <color rgb="FF2B86B3"/>
      <name val="Calibri"/>
      <family val="2"/>
      <scheme val="minor"/>
    </font>
    <font>
      <b/>
      <sz val="18"/>
      <color rgb="FF194C65"/>
      <name val="Calibri"/>
      <family val="2"/>
      <scheme val="minor"/>
    </font>
    <font>
      <vertAlign val="subscript"/>
      <sz val="11"/>
      <color rgb="FF194C65"/>
      <name val="Calibri"/>
      <family val="2"/>
      <scheme val="minor"/>
    </font>
    <font>
      <b/>
      <i/>
      <sz val="11"/>
      <color rgb="FFC00000"/>
      <name val="Calibri"/>
      <family val="2"/>
      <scheme val="minor"/>
    </font>
    <font>
      <sz val="10"/>
      <name val="Arial"/>
      <family val="2"/>
    </font>
    <font>
      <sz val="12"/>
      <color rgb="FF194C65"/>
      <name val="Calibri"/>
      <family val="2"/>
      <scheme val="minor"/>
    </font>
    <font>
      <vertAlign val="subscript"/>
      <sz val="12"/>
      <color rgb="FF194C65"/>
      <name val="Calibri"/>
      <family val="2"/>
      <scheme val="minor"/>
    </font>
    <font>
      <sz val="12"/>
      <color rgb="FF194C65"/>
      <name val="Arial"/>
      <family val="2"/>
    </font>
    <font>
      <u/>
      <sz val="12"/>
      <color rgb="FF194C65"/>
      <name val="Calibri"/>
      <family val="2"/>
      <scheme val="minor"/>
    </font>
    <font>
      <sz val="12"/>
      <color rgb="FF194C65"/>
      <name val="Calibri"/>
      <family val="2"/>
    </font>
    <font>
      <i/>
      <sz val="9"/>
      <name val="Calibri"/>
      <family val="2"/>
      <scheme val="minor"/>
    </font>
    <font>
      <sz val="14"/>
      <name val="Calibri"/>
      <family val="2"/>
      <scheme val="minor"/>
    </font>
    <font>
      <u/>
      <sz val="10"/>
      <color indexed="12"/>
      <name val="Calibri"/>
      <family val="2"/>
      <scheme val="minor"/>
    </font>
    <font>
      <b/>
      <sz val="11"/>
      <color rgb="FF0000FF"/>
      <name val="Calibri"/>
      <family val="2"/>
      <scheme val="minor"/>
    </font>
    <font>
      <b/>
      <sz val="10"/>
      <name val="Calibri"/>
      <family val="2"/>
      <scheme val="minor"/>
    </font>
    <font>
      <vertAlign val="subscript"/>
      <sz val="10"/>
      <name val="Calibri"/>
      <family val="2"/>
      <scheme val="minor"/>
    </font>
    <font>
      <b/>
      <sz val="10"/>
      <color rgb="FFFF0000"/>
      <name val="Calibri"/>
      <family val="2"/>
      <scheme val="minor"/>
    </font>
    <font>
      <sz val="10"/>
      <color rgb="FFFF0000"/>
      <name val="Calibri"/>
      <family val="2"/>
      <scheme val="minor"/>
    </font>
    <font>
      <sz val="10"/>
      <color rgb="FF7030A0"/>
      <name val="Calibri"/>
      <family val="2"/>
      <scheme val="minor"/>
    </font>
    <font>
      <b/>
      <sz val="10"/>
      <color rgb="FF7030A0"/>
      <name val="Calibri"/>
      <family val="2"/>
      <scheme val="minor"/>
    </font>
    <font>
      <u/>
      <sz val="10"/>
      <name val="Calibri"/>
      <family val="2"/>
      <scheme val="minor"/>
    </font>
    <font>
      <i/>
      <sz val="8"/>
      <name val="Calibri"/>
      <family val="2"/>
      <scheme val="minor"/>
    </font>
    <font>
      <u/>
      <sz val="8"/>
      <color indexed="12"/>
      <name val="Calibri"/>
      <family val="2"/>
      <scheme val="minor"/>
    </font>
    <font>
      <sz val="10"/>
      <color indexed="12"/>
      <name val="Calibri"/>
      <family val="2"/>
      <scheme val="minor"/>
    </font>
    <font>
      <b/>
      <sz val="10"/>
      <color rgb="FF194C65"/>
      <name val="Calibri"/>
      <family val="2"/>
      <scheme val="minor"/>
    </font>
    <font>
      <b/>
      <u/>
      <sz val="10"/>
      <color rgb="FF194C65"/>
      <name val="Calibri"/>
      <family val="2"/>
      <scheme val="minor"/>
    </font>
    <font>
      <u/>
      <sz val="10"/>
      <color rgb="FF194C65"/>
      <name val="Calibri"/>
      <family val="2"/>
      <scheme val="minor"/>
    </font>
    <font>
      <sz val="14"/>
      <color rgb="FF194C65"/>
      <name val="Calibri"/>
      <family val="2"/>
      <scheme val="minor"/>
    </font>
    <font>
      <b/>
      <sz val="16"/>
      <color rgb="FF2B86B3"/>
      <name val="Calibri"/>
      <family val="2"/>
      <scheme val="minor"/>
    </font>
    <font>
      <b/>
      <sz val="10"/>
      <color rgb="FF113547"/>
      <name val="Calibri"/>
      <family val="2"/>
      <scheme val="minor"/>
    </font>
    <font>
      <sz val="10"/>
      <color rgb="FF113547"/>
      <name val="Calibri"/>
      <family val="2"/>
      <scheme val="minor"/>
    </font>
    <font>
      <vertAlign val="subscript"/>
      <sz val="10"/>
      <color rgb="FF113547"/>
      <name val="Calibri"/>
      <family val="2"/>
      <scheme val="minor"/>
    </font>
    <font>
      <u/>
      <sz val="14"/>
      <color rgb="FF113547"/>
      <name val="Calibri"/>
      <family val="2"/>
      <scheme val="minor"/>
    </font>
    <font>
      <b/>
      <u/>
      <sz val="14"/>
      <color rgb="FF194C65"/>
      <name val="Calibri"/>
      <family val="2"/>
      <scheme val="minor"/>
    </font>
    <font>
      <b/>
      <u/>
      <sz val="11"/>
      <color rgb="FF194C65"/>
      <name val="Calibri"/>
      <family val="2"/>
      <scheme val="minor"/>
    </font>
    <font>
      <u/>
      <sz val="10"/>
      <color rgb="FF2B86B3"/>
      <name val="Calibri"/>
      <family val="2"/>
      <scheme val="minor"/>
    </font>
    <font>
      <sz val="10"/>
      <color rgb="FF2B86B3"/>
      <name val="Calibri"/>
      <family val="2"/>
      <scheme val="minor"/>
    </font>
    <font>
      <b/>
      <sz val="10"/>
      <color rgb="FF2B86B3"/>
      <name val="Calibri"/>
      <family val="2"/>
      <scheme val="minor"/>
    </font>
    <font>
      <sz val="11"/>
      <color rgb="FF194C65"/>
      <name val="Arial"/>
      <family val="2"/>
    </font>
    <font>
      <b/>
      <sz val="20"/>
      <color rgb="FF194C65"/>
      <name val="Calibri"/>
      <family val="2"/>
    </font>
    <font>
      <b/>
      <vertAlign val="subscript"/>
      <sz val="14"/>
      <color rgb="FF2B86B3"/>
      <name val="Calibri"/>
      <family val="2"/>
      <scheme val="minor"/>
    </font>
    <font>
      <b/>
      <vertAlign val="subscript"/>
      <sz val="11"/>
      <color rgb="FF194C65"/>
      <name val="Calibri"/>
      <family val="2"/>
      <scheme val="minor"/>
    </font>
    <font>
      <i/>
      <sz val="10"/>
      <color theme="3"/>
      <name val="Calibri"/>
      <family val="2"/>
      <scheme val="minor"/>
    </font>
    <font>
      <b/>
      <sz val="20"/>
      <color rgb="FF194C65"/>
      <name val="Calibri"/>
      <family val="2"/>
      <scheme val="minor"/>
    </font>
    <font>
      <sz val="20"/>
      <color rgb="FF194C65"/>
      <name val="Calibri"/>
      <family val="2"/>
      <scheme val="minor"/>
    </font>
    <font>
      <i/>
      <sz val="12"/>
      <color rgb="FFC00000"/>
      <name val="Calibri"/>
      <family val="2"/>
      <scheme val="minor"/>
    </font>
    <font>
      <b/>
      <sz val="11"/>
      <color rgb="FFFF0000"/>
      <name val="Arial"/>
      <family val="2"/>
    </font>
    <font>
      <i/>
      <sz val="11"/>
      <color rgb="FFD84040"/>
      <name val="Arial"/>
      <family val="2"/>
    </font>
    <font>
      <i/>
      <sz val="11"/>
      <color rgb="FF194C65"/>
      <name val="Calibri"/>
      <family val="2"/>
      <scheme val="minor"/>
    </font>
    <font>
      <b/>
      <sz val="11"/>
      <color rgb="FF2B86B3"/>
      <name val="Arial"/>
      <family val="2"/>
    </font>
    <font>
      <sz val="11"/>
      <color theme="1"/>
      <name val="Calibri"/>
      <family val="2"/>
    </font>
    <font>
      <u/>
      <sz val="11"/>
      <color rgb="FF2B86B3"/>
      <name val="Calibri"/>
      <family val="2"/>
      <scheme val="minor"/>
    </font>
    <font>
      <sz val="11"/>
      <color rgb="FF2B86B3"/>
      <name val="Calibri"/>
      <family val="2"/>
      <scheme val="minor"/>
    </font>
    <font>
      <b/>
      <i/>
      <sz val="11"/>
      <color rgb="FF194C65"/>
      <name val="Calibri"/>
      <family val="2"/>
      <scheme val="minor"/>
    </font>
    <font>
      <b/>
      <sz val="12"/>
      <color rgb="FF194C65"/>
      <name val="Calibri"/>
      <family val="2"/>
    </font>
    <font>
      <i/>
      <vertAlign val="subscript"/>
      <sz val="10"/>
      <color rgb="FF194C65"/>
      <name val="Calibri"/>
      <family val="2"/>
      <scheme val="minor"/>
    </font>
    <font>
      <b/>
      <sz val="10"/>
      <color rgb="FFFFFFF5"/>
      <name val="Calibri"/>
      <family val="2"/>
      <scheme val="minor"/>
    </font>
    <font>
      <b/>
      <sz val="10"/>
      <color rgb="FFFEF4EC"/>
      <name val="Calibri"/>
      <family val="2"/>
      <scheme val="minor"/>
    </font>
    <font>
      <b/>
      <sz val="10"/>
      <color rgb="FFFAF0F0"/>
      <name val="Calibri"/>
      <family val="2"/>
      <scheme val="minor"/>
    </font>
    <font>
      <u/>
      <sz val="12"/>
      <color rgb="FF2B86B3"/>
      <name val="Calibri"/>
      <family val="2"/>
      <scheme val="minor"/>
    </font>
    <font>
      <b/>
      <u/>
      <sz val="9"/>
      <color rgb="FF2B86B3"/>
      <name val="Calibri"/>
      <family val="2"/>
    </font>
    <font>
      <b/>
      <sz val="9"/>
      <color rgb="FF2B86B3"/>
      <name val="Calibri"/>
      <family val="2"/>
    </font>
    <font>
      <b/>
      <u/>
      <sz val="8"/>
      <color rgb="FF2B86B3"/>
      <name val="Calibri"/>
      <family val="2"/>
      <scheme val="minor"/>
    </font>
    <font>
      <u/>
      <sz val="10"/>
      <color indexed="12"/>
      <name val="Calibri"/>
      <family val="2"/>
    </font>
    <font>
      <u/>
      <sz val="10"/>
      <color rgb="FF2B86B3"/>
      <name val="Calibri"/>
      <family val="2"/>
    </font>
    <font>
      <sz val="10"/>
      <color rgb="FF194C65"/>
      <name val="Calibri"/>
      <family val="2"/>
    </font>
  </fonts>
  <fills count="4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B1C8D3"/>
        <bgColor indexed="64"/>
      </patternFill>
    </fill>
    <fill>
      <patternFill patternType="solid">
        <fgColor rgb="FFC7D7DF"/>
        <bgColor indexed="64"/>
      </patternFill>
    </fill>
    <fill>
      <patternFill patternType="solid">
        <fgColor rgb="FFDCE6F1"/>
        <bgColor indexed="64"/>
      </patternFill>
    </fill>
    <fill>
      <patternFill patternType="solid">
        <fgColor rgb="FF194C65"/>
        <bgColor indexed="64"/>
      </patternFill>
    </fill>
    <fill>
      <patternFill patternType="solid">
        <fgColor rgb="FF206384"/>
        <bgColor indexed="64"/>
      </patternFill>
    </fill>
    <fill>
      <patternFill patternType="solid">
        <fgColor rgb="FF2B86B3"/>
        <bgColor indexed="64"/>
      </patternFill>
    </fill>
    <fill>
      <patternFill patternType="solid">
        <fgColor rgb="FF45A4D3"/>
        <bgColor indexed="64"/>
      </patternFill>
    </fill>
    <fill>
      <patternFill patternType="solid">
        <fgColor rgb="FFD3E3CB"/>
        <bgColor indexed="64"/>
      </patternFill>
    </fill>
    <fill>
      <patternFill patternType="solid">
        <fgColor rgb="FFE6EFE1"/>
        <bgColor indexed="64"/>
      </patternFill>
    </fill>
    <fill>
      <patternFill patternType="solid">
        <fgColor rgb="FFF2F7EF"/>
        <bgColor indexed="64"/>
      </patternFill>
    </fill>
    <fill>
      <patternFill patternType="solid">
        <fgColor rgb="FFC4D9B9"/>
        <bgColor indexed="64"/>
      </patternFill>
    </fill>
    <fill>
      <patternFill patternType="solid">
        <fgColor rgb="FFDBE8D4"/>
        <bgColor indexed="64"/>
      </patternFill>
    </fill>
    <fill>
      <patternFill patternType="solid">
        <fgColor rgb="FFEBF2E6"/>
        <bgColor indexed="64"/>
      </patternFill>
    </fill>
    <fill>
      <patternFill patternType="solid">
        <fgColor rgb="FF56BC9F"/>
        <bgColor indexed="64"/>
      </patternFill>
    </fill>
    <fill>
      <patternFill patternType="solid">
        <fgColor rgb="FFCC4E59"/>
        <bgColor indexed="64"/>
      </patternFill>
    </fill>
    <fill>
      <patternFill patternType="solid">
        <fgColor rgb="FF97AFDF"/>
        <bgColor indexed="64"/>
      </patternFill>
    </fill>
    <fill>
      <patternFill patternType="solid">
        <fgColor rgb="FFF17B6F"/>
        <bgColor indexed="64"/>
      </patternFill>
    </fill>
    <fill>
      <patternFill patternType="solid">
        <fgColor rgb="FFE79ECA"/>
        <bgColor indexed="64"/>
      </patternFill>
    </fill>
    <fill>
      <patternFill patternType="solid">
        <fgColor rgb="FFFFF043"/>
        <bgColor indexed="64"/>
      </patternFill>
    </fill>
    <fill>
      <patternFill patternType="solid">
        <fgColor rgb="FFB267DD"/>
        <bgColor indexed="64"/>
      </patternFill>
    </fill>
    <fill>
      <patternFill patternType="solid">
        <fgColor rgb="FF9CE45C"/>
        <bgColor indexed="64"/>
      </patternFill>
    </fill>
    <fill>
      <patternFill patternType="solid">
        <fgColor rgb="FF65B3F0"/>
        <bgColor indexed="64"/>
      </patternFill>
    </fill>
    <fill>
      <patternFill patternType="solid">
        <fgColor rgb="FF588F12"/>
        <bgColor indexed="64"/>
      </patternFill>
    </fill>
    <fill>
      <patternFill patternType="solid">
        <fgColor rgb="FFD2B56F"/>
        <bgColor indexed="64"/>
      </patternFill>
    </fill>
    <fill>
      <patternFill patternType="solid">
        <fgColor rgb="FFA2502A"/>
        <bgColor indexed="64"/>
      </patternFill>
    </fill>
    <fill>
      <patternFill patternType="solid">
        <fgColor rgb="FFFA9930"/>
        <bgColor indexed="64"/>
      </patternFill>
    </fill>
    <fill>
      <patternFill patternType="solid">
        <fgColor rgb="FFFFF582"/>
        <bgColor indexed="64"/>
      </patternFill>
    </fill>
    <fill>
      <patternFill patternType="solid">
        <fgColor rgb="FFFEF4EC"/>
        <bgColor indexed="64"/>
      </patternFill>
    </fill>
    <fill>
      <patternFill patternType="solid">
        <fgColor rgb="FFFFFFF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rgb="FFFAF0F0"/>
        <bgColor indexed="64"/>
      </patternFill>
    </fill>
    <fill>
      <patternFill patternType="solid">
        <fgColor rgb="FFF1F5F9"/>
        <bgColor indexed="64"/>
      </patternFill>
    </fill>
    <fill>
      <patternFill patternType="solid">
        <fgColor rgb="FFE8E8E8"/>
        <bgColor indexed="64"/>
      </patternFill>
    </fill>
    <fill>
      <patternFill patternType="solid">
        <fgColor rgb="FFFFFFC5"/>
        <bgColor indexed="64"/>
      </patternFill>
    </fill>
  </fills>
  <borders count="42">
    <border>
      <left/>
      <right/>
      <top/>
      <bottom/>
      <diagonal/>
    </border>
    <border>
      <left style="thin">
        <color indexed="64"/>
      </left>
      <right/>
      <top/>
      <bottom/>
      <diagonal/>
    </border>
    <border>
      <left/>
      <right/>
      <top/>
      <bottom style="medium">
        <color indexed="64"/>
      </bottom>
      <diagonal/>
    </border>
    <border>
      <left/>
      <right/>
      <top/>
      <bottom style="thin">
        <color auto="1"/>
      </bottom>
      <diagonal/>
    </border>
    <border>
      <left style="medium">
        <color rgb="FFC7D7DF"/>
      </left>
      <right/>
      <top style="medium">
        <color rgb="FFC7D7DF"/>
      </top>
      <bottom/>
      <diagonal/>
    </border>
    <border>
      <left/>
      <right style="medium">
        <color rgb="FFC7D7DF"/>
      </right>
      <top style="medium">
        <color rgb="FFC7D7DF"/>
      </top>
      <bottom/>
      <diagonal/>
    </border>
    <border>
      <left style="medium">
        <color rgb="FFC7D7DF"/>
      </left>
      <right/>
      <top/>
      <bottom style="medium">
        <color rgb="FFC7D7DF"/>
      </bottom>
      <diagonal/>
    </border>
    <border>
      <left/>
      <right style="medium">
        <color rgb="FFC7D7DF"/>
      </right>
      <top/>
      <bottom style="medium">
        <color rgb="FFC7D7DF"/>
      </bottom>
      <diagonal/>
    </border>
    <border>
      <left style="medium">
        <color rgb="FFC7D7DF"/>
      </left>
      <right/>
      <top/>
      <bottom/>
      <diagonal/>
    </border>
    <border>
      <left/>
      <right/>
      <top style="medium">
        <color rgb="FFC7D7DF"/>
      </top>
      <bottom/>
      <diagonal/>
    </border>
    <border>
      <left/>
      <right/>
      <top/>
      <bottom style="medium">
        <color rgb="FFC7D7DF"/>
      </bottom>
      <diagonal/>
    </border>
    <border>
      <left style="medium">
        <color rgb="FFC7D7DF"/>
      </left>
      <right/>
      <top style="medium">
        <color rgb="FFC7D7DF"/>
      </top>
      <bottom style="medium">
        <color rgb="FFC7D7DF"/>
      </bottom>
      <diagonal/>
    </border>
    <border>
      <left/>
      <right style="medium">
        <color rgb="FFC7D7DF"/>
      </right>
      <top style="medium">
        <color rgb="FFC7D7DF"/>
      </top>
      <bottom style="medium">
        <color rgb="FFC7D7DF"/>
      </bottom>
      <diagonal/>
    </border>
    <border>
      <left style="thin">
        <color rgb="FFB7D2AA"/>
      </left>
      <right/>
      <top/>
      <bottom/>
      <diagonal/>
    </border>
    <border>
      <left style="thin">
        <color rgb="FFD3E3CB"/>
      </left>
      <right/>
      <top/>
      <bottom/>
      <diagonal/>
    </border>
    <border>
      <left style="thin">
        <color rgb="FFE6EFE1"/>
      </left>
      <right/>
      <top/>
      <bottom/>
      <diagonal/>
    </border>
    <border>
      <left/>
      <right style="thin">
        <color rgb="FFE6EFE1"/>
      </right>
      <top/>
      <bottom/>
      <diagonal/>
    </border>
    <border>
      <left/>
      <right style="thin">
        <color rgb="FFB7D2AA"/>
      </right>
      <top/>
      <bottom style="thin">
        <color rgb="FFB7D2AA"/>
      </bottom>
      <diagonal/>
    </border>
    <border>
      <left/>
      <right style="thin">
        <color rgb="FFB7D2AA"/>
      </right>
      <top style="thin">
        <color rgb="FFB7D2AA"/>
      </top>
      <bottom/>
      <diagonal/>
    </border>
    <border>
      <left style="thin">
        <color rgb="FFB7D2AA"/>
      </left>
      <right/>
      <top/>
      <bottom style="thin">
        <color rgb="FFB7D2AA"/>
      </bottom>
      <diagonal/>
    </border>
    <border>
      <left/>
      <right/>
      <top/>
      <bottom style="thin">
        <color rgb="FFB7D2AA"/>
      </bottom>
      <diagonal/>
    </border>
    <border>
      <left style="thin">
        <color rgb="FFB7D2AA"/>
      </left>
      <right/>
      <top style="thin">
        <color rgb="FFB7D2AA"/>
      </top>
      <bottom/>
      <diagonal/>
    </border>
    <border>
      <left/>
      <right/>
      <top style="thin">
        <color rgb="FFB7D2AA"/>
      </top>
      <bottom/>
      <diagonal/>
    </border>
    <border>
      <left style="thin">
        <color rgb="FFB7D2AA"/>
      </left>
      <right/>
      <top/>
      <bottom style="thin">
        <color rgb="FFB1CEA2"/>
      </bottom>
      <diagonal/>
    </border>
    <border>
      <left/>
      <right/>
      <top/>
      <bottom style="thin">
        <color rgb="FFB1CEA2"/>
      </bottom>
      <diagonal/>
    </border>
    <border>
      <left/>
      <right/>
      <top style="thin">
        <color rgb="FFB1CEA2"/>
      </top>
      <bottom style="thin">
        <color rgb="FFB1CEA2"/>
      </bottom>
      <diagonal/>
    </border>
    <border>
      <left style="thin">
        <color rgb="FFB7D2AA"/>
      </left>
      <right/>
      <top style="thin">
        <color rgb="FFB1CEA2"/>
      </top>
      <bottom/>
      <diagonal/>
    </border>
    <border>
      <left/>
      <right/>
      <top style="thin">
        <color rgb="FFB1CEA2"/>
      </top>
      <bottom/>
      <diagonal/>
    </border>
    <border>
      <left/>
      <right style="thin">
        <color rgb="FFB7D2AA"/>
      </right>
      <top/>
      <bottom/>
      <diagonal/>
    </border>
    <border>
      <left/>
      <right style="thin">
        <color rgb="FFD3E3CB"/>
      </right>
      <top/>
      <bottom/>
      <diagonal/>
    </border>
    <border>
      <left/>
      <right/>
      <top style="thin">
        <color theme="0" tint="-0.24994659260841701"/>
      </top>
      <bottom style="thin">
        <color theme="0" tint="-0.24994659260841701"/>
      </bottom>
      <diagonal/>
    </border>
    <border>
      <left style="thick">
        <color theme="0"/>
      </left>
      <right style="thick">
        <color theme="0"/>
      </right>
      <top style="thick">
        <color theme="0"/>
      </top>
      <bottom style="thick">
        <color theme="0"/>
      </bottom>
      <diagonal/>
    </border>
    <border>
      <left style="thick">
        <color theme="0"/>
      </left>
      <right style="thick">
        <color theme="0"/>
      </right>
      <top/>
      <bottom style="thick">
        <color theme="0"/>
      </bottom>
      <diagonal/>
    </border>
    <border>
      <left/>
      <right/>
      <top/>
      <bottom style="thin">
        <color theme="0" tint="-0.24994659260841701"/>
      </bottom>
      <diagonal/>
    </border>
    <border>
      <left style="thick">
        <color theme="0"/>
      </left>
      <right style="thick">
        <color theme="0"/>
      </right>
      <top style="thick">
        <color theme="0"/>
      </top>
      <bottom/>
      <diagonal/>
    </border>
    <border>
      <left style="thin">
        <color rgb="FFB1CEA2"/>
      </left>
      <right/>
      <top style="thin">
        <color rgb="FFB1CEA2"/>
      </top>
      <bottom/>
      <diagonal/>
    </border>
    <border>
      <left/>
      <right style="thin">
        <color rgb="FFB1CEA2"/>
      </right>
      <top style="thin">
        <color rgb="FFB1CEA2"/>
      </top>
      <bottom/>
      <diagonal/>
    </border>
    <border>
      <left style="medium">
        <color rgb="FFC7D7DF"/>
      </left>
      <right style="medium">
        <color rgb="FFB1C8D3"/>
      </right>
      <top style="medium">
        <color rgb="FFC7D7DF"/>
      </top>
      <bottom style="medium">
        <color rgb="FFB1C8D3"/>
      </bottom>
      <diagonal/>
    </border>
    <border>
      <left style="medium">
        <color rgb="FFC7D7DF"/>
      </left>
      <right/>
      <top/>
      <bottom style="medium">
        <color rgb="FF9FBBC9"/>
      </bottom>
      <diagonal/>
    </border>
    <border>
      <left/>
      <right style="medium">
        <color rgb="FF9FBBC9"/>
      </right>
      <top/>
      <bottom style="medium">
        <color rgb="FF9FBBC9"/>
      </bottom>
      <diagonal/>
    </border>
    <border>
      <left/>
      <right style="medium">
        <color rgb="FF9FBBC9"/>
      </right>
      <top/>
      <bottom/>
      <diagonal/>
    </border>
    <border>
      <left/>
      <right/>
      <top/>
      <bottom style="medium">
        <color rgb="FF9FBBC9"/>
      </bottom>
      <diagonal/>
    </border>
  </borders>
  <cellStyleXfs count="11">
    <xf numFmtId="0" fontId="0" fillId="0" borderId="0"/>
    <xf numFmtId="0" fontId="7" fillId="0" borderId="0" applyNumberFormat="0" applyFill="0" applyBorder="0" applyAlignment="0" applyProtection="0">
      <alignment vertical="top"/>
      <protection locked="0"/>
    </xf>
    <xf numFmtId="3" fontId="5" fillId="0" borderId="0"/>
    <xf numFmtId="0" fontId="1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3" fillId="0" borderId="0"/>
    <xf numFmtId="0" fontId="3" fillId="0" borderId="0"/>
    <xf numFmtId="9" fontId="26" fillId="0" borderId="0" applyFont="0" applyFill="0" applyBorder="0" applyAlignment="0" applyProtection="0"/>
    <xf numFmtId="0" fontId="1" fillId="0" borderId="0"/>
    <xf numFmtId="0" fontId="35" fillId="0" borderId="0" applyNumberFormat="0" applyFill="0" applyBorder="0" applyAlignment="0" applyProtection="0"/>
    <xf numFmtId="43" fontId="82" fillId="0" borderId="0" applyFont="0" applyFill="0" applyBorder="0" applyAlignment="0" applyProtection="0"/>
  </cellStyleXfs>
  <cellXfs count="567">
    <xf numFmtId="0" fontId="0" fillId="0" borderId="0" xfId="0"/>
    <xf numFmtId="0" fontId="0" fillId="2" borderId="0" xfId="0" applyFill="1"/>
    <xf numFmtId="0" fontId="5" fillId="6" borderId="0" xfId="0" applyFont="1" applyFill="1" applyAlignment="1">
      <alignment horizontal="centerContinuous"/>
    </xf>
    <xf numFmtId="0" fontId="0" fillId="6" borderId="0" xfId="0" applyFill="1" applyAlignment="1">
      <alignment horizontal="centerContinuous"/>
    </xf>
    <xf numFmtId="0" fontId="0" fillId="6" borderId="0" xfId="0" applyFill="1"/>
    <xf numFmtId="0" fontId="31" fillId="6" borderId="0" xfId="0" quotePrefix="1" applyFont="1" applyFill="1"/>
    <xf numFmtId="0" fontId="18" fillId="6" borderId="0" xfId="0" applyFont="1" applyFill="1" applyAlignment="1">
      <alignment horizontal="left" wrapText="1"/>
    </xf>
    <xf numFmtId="0" fontId="5" fillId="6" borderId="0" xfId="0" applyFont="1" applyFill="1" applyAlignment="1">
      <alignment horizontal="left"/>
    </xf>
    <xf numFmtId="0" fontId="38" fillId="6" borderId="0" xfId="0" applyFont="1" applyFill="1" applyAlignment="1">
      <alignment horizontal="left"/>
    </xf>
    <xf numFmtId="0" fontId="25" fillId="6" borderId="0" xfId="0" applyFont="1" applyFill="1" applyAlignment="1">
      <alignment horizontal="left" wrapText="1"/>
    </xf>
    <xf numFmtId="0" fontId="18" fillId="6" borderId="0" xfId="0" applyFont="1" applyFill="1" applyAlignment="1">
      <alignment horizontal="right" wrapText="1"/>
    </xf>
    <xf numFmtId="0" fontId="9" fillId="6" borderId="0" xfId="0" applyFont="1" applyFill="1" applyAlignment="1">
      <alignment horizontal="left" wrapText="1"/>
    </xf>
    <xf numFmtId="0" fontId="0" fillId="6" borderId="0" xfId="0" applyFill="1" applyAlignment="1">
      <alignment horizontal="left"/>
    </xf>
    <xf numFmtId="0" fontId="39" fillId="7" borderId="0" xfId="0" applyFont="1" applyFill="1"/>
    <xf numFmtId="0" fontId="40" fillId="7" borderId="0" xfId="0" applyFont="1" applyFill="1"/>
    <xf numFmtId="0" fontId="41" fillId="7" borderId="0" xfId="0" applyFont="1" applyFill="1"/>
    <xf numFmtId="0" fontId="44" fillId="6" borderId="0" xfId="0" applyFont="1" applyFill="1" applyAlignment="1">
      <alignment horizontal="left"/>
    </xf>
    <xf numFmtId="0" fontId="43" fillId="6" borderId="0" xfId="0" applyFont="1" applyFill="1" applyAlignment="1">
      <alignment wrapText="1"/>
    </xf>
    <xf numFmtId="0" fontId="0" fillId="6" borderId="0" xfId="0" applyFill="1" applyAlignment="1">
      <alignment vertical="center"/>
    </xf>
    <xf numFmtId="0" fontId="43" fillId="6" borderId="0" xfId="0" applyFont="1" applyFill="1" applyAlignment="1">
      <alignment vertical="center" wrapText="1"/>
    </xf>
    <xf numFmtId="0" fontId="0" fillId="6" borderId="0" xfId="0" applyFill="1" applyAlignment="1">
      <alignment horizontal="centerContinuous" vertical="center"/>
    </xf>
    <xf numFmtId="0" fontId="0" fillId="7" borderId="0" xfId="0" applyFill="1"/>
    <xf numFmtId="0" fontId="5" fillId="7" borderId="0" xfId="0" applyFont="1" applyFill="1" applyAlignment="1">
      <alignment horizontal="centerContinuous"/>
    </xf>
    <xf numFmtId="165" fontId="46" fillId="6" borderId="0" xfId="0" quotePrefix="1" applyNumberFormat="1" applyFont="1" applyFill="1" applyAlignment="1">
      <alignment horizontal="center"/>
    </xf>
    <xf numFmtId="0" fontId="43" fillId="6" borderId="0" xfId="0" applyFont="1" applyFill="1"/>
    <xf numFmtId="0" fontId="0" fillId="9" borderId="0" xfId="0" applyFill="1" applyAlignment="1">
      <alignment vertical="center" wrapText="1"/>
    </xf>
    <xf numFmtId="3" fontId="11" fillId="9" borderId="0" xfId="0" applyNumberFormat="1" applyFont="1" applyFill="1" applyAlignment="1">
      <alignment horizontal="center" vertical="center"/>
    </xf>
    <xf numFmtId="164" fontId="4" fillId="9" borderId="0" xfId="0" applyNumberFormat="1" applyFont="1" applyFill="1"/>
    <xf numFmtId="164" fontId="8" fillId="9" borderId="0" xfId="0" applyNumberFormat="1" applyFont="1" applyFill="1"/>
    <xf numFmtId="164" fontId="10" fillId="9" borderId="0" xfId="0" applyNumberFormat="1" applyFont="1" applyFill="1" applyAlignment="1">
      <alignment horizontal="left"/>
    </xf>
    <xf numFmtId="3" fontId="11" fillId="9" borderId="0" xfId="0" applyNumberFormat="1" applyFont="1" applyFill="1" applyAlignment="1">
      <alignment horizontal="center"/>
    </xf>
    <xf numFmtId="3" fontId="5" fillId="9" borderId="0" xfId="0" applyNumberFormat="1" applyFont="1" applyFill="1" applyAlignment="1">
      <alignment horizontal="center"/>
    </xf>
    <xf numFmtId="0" fontId="0" fillId="9" borderId="0" xfId="0" applyFill="1"/>
    <xf numFmtId="0" fontId="19" fillId="9" borderId="0" xfId="0" applyFont="1" applyFill="1" applyAlignment="1">
      <alignment horizontal="left"/>
    </xf>
    <xf numFmtId="0" fontId="9" fillId="9" borderId="0" xfId="0" applyFont="1" applyFill="1" applyAlignment="1">
      <alignment horizontal="left" wrapText="1"/>
    </xf>
    <xf numFmtId="0" fontId="5" fillId="9" borderId="0" xfId="0" applyFont="1" applyFill="1" applyAlignment="1">
      <alignment horizontal="right"/>
    </xf>
    <xf numFmtId="165" fontId="5" fillId="9" borderId="0" xfId="0" applyNumberFormat="1" applyFont="1" applyFill="1" applyAlignment="1">
      <alignment horizontal="center"/>
    </xf>
    <xf numFmtId="165" fontId="0" fillId="9" borderId="0" xfId="0" quotePrefix="1" applyNumberFormat="1" applyFill="1" applyAlignment="1">
      <alignment horizontal="center"/>
    </xf>
    <xf numFmtId="0" fontId="45" fillId="6" borderId="0" xfId="0" applyFont="1" applyFill="1" applyAlignment="1">
      <alignment wrapText="1"/>
    </xf>
    <xf numFmtId="0" fontId="5" fillId="9" borderId="0" xfId="0" applyFont="1" applyFill="1"/>
    <xf numFmtId="0" fontId="0" fillId="6" borderId="0" xfId="0" applyFill="1" applyAlignment="1">
      <alignment vertical="top"/>
    </xf>
    <xf numFmtId="0" fontId="0" fillId="10" borderId="0" xfId="0" applyFill="1" applyAlignment="1">
      <alignment horizontal="center"/>
    </xf>
    <xf numFmtId="0" fontId="0" fillId="10" borderId="0" xfId="0" applyFill="1"/>
    <xf numFmtId="9" fontId="27" fillId="10" borderId="0" xfId="7" applyFont="1" applyFill="1" applyAlignment="1">
      <alignment horizontal="center"/>
    </xf>
    <xf numFmtId="0" fontId="27" fillId="10" borderId="0" xfId="0" applyFont="1" applyFill="1"/>
    <xf numFmtId="0" fontId="0" fillId="10" borderId="0" xfId="0" applyFill="1" applyAlignment="1">
      <alignment horizontal="centerContinuous"/>
    </xf>
    <xf numFmtId="0" fontId="5" fillId="10" borderId="0" xfId="0" applyFont="1" applyFill="1" applyAlignment="1">
      <alignment horizontal="centerContinuous"/>
    </xf>
    <xf numFmtId="0" fontId="29" fillId="10" borderId="0" xfId="0" quotePrefix="1" applyFont="1" applyFill="1"/>
    <xf numFmtId="0" fontId="30" fillId="10" borderId="0" xfId="0" applyFont="1" applyFill="1"/>
    <xf numFmtId="0" fontId="29" fillId="10" borderId="0" xfId="0" applyFont="1" applyFill="1"/>
    <xf numFmtId="0" fontId="25" fillId="10" borderId="0" xfId="0" quotePrefix="1" applyFont="1" applyFill="1"/>
    <xf numFmtId="0" fontId="25" fillId="10" borderId="0" xfId="0" applyFont="1" applyFill="1"/>
    <xf numFmtId="0" fontId="29" fillId="10" borderId="0" xfId="0" quotePrefix="1" applyFont="1" applyFill="1" applyAlignment="1">
      <alignment vertical="top"/>
    </xf>
    <xf numFmtId="0" fontId="0" fillId="10" borderId="0" xfId="0" applyFill="1" applyAlignment="1">
      <alignment vertical="top"/>
    </xf>
    <xf numFmtId="2" fontId="0" fillId="10" borderId="0" xfId="0" applyNumberFormat="1" applyFill="1"/>
    <xf numFmtId="0" fontId="4" fillId="10" borderId="0" xfId="0" applyFont="1" applyFill="1"/>
    <xf numFmtId="0" fontId="4" fillId="10" borderId="0" xfId="0" applyFont="1" applyFill="1" applyAlignment="1">
      <alignment horizontal="center"/>
    </xf>
    <xf numFmtId="0" fontId="25" fillId="10" borderId="0" xfId="0" quotePrefix="1" applyFont="1" applyFill="1" applyAlignment="1">
      <alignment vertical="top" wrapText="1"/>
    </xf>
    <xf numFmtId="167" fontId="34" fillId="10" borderId="0" xfId="0" applyNumberFormat="1" applyFont="1" applyFill="1"/>
    <xf numFmtId="0" fontId="5" fillId="10" borderId="0" xfId="0" applyFont="1" applyFill="1"/>
    <xf numFmtId="0" fontId="4" fillId="10" borderId="0" xfId="0" applyFont="1" applyFill="1" applyAlignment="1">
      <alignment wrapText="1"/>
    </xf>
    <xf numFmtId="0" fontId="33" fillId="10" borderId="0" xfId="0" applyFont="1" applyFill="1" applyAlignment="1">
      <alignment wrapText="1"/>
    </xf>
    <xf numFmtId="167" fontId="5" fillId="10" borderId="0" xfId="0" quotePrefix="1" applyNumberFormat="1" applyFont="1" applyFill="1"/>
    <xf numFmtId="167" fontId="5" fillId="10" borderId="0" xfId="0" applyNumberFormat="1" applyFont="1" applyFill="1"/>
    <xf numFmtId="0" fontId="27" fillId="10" borderId="0" xfId="0" quotePrefix="1" applyFont="1" applyFill="1" applyAlignment="1">
      <alignment wrapText="1"/>
    </xf>
    <xf numFmtId="9" fontId="5" fillId="10" borderId="0" xfId="7" applyFont="1" applyFill="1" applyBorder="1"/>
    <xf numFmtId="0" fontId="27" fillId="10" borderId="0" xfId="0" quotePrefix="1" applyFont="1" applyFill="1"/>
    <xf numFmtId="0" fontId="43" fillId="10" borderId="0" xfId="0" applyFont="1" applyFill="1" applyAlignment="1">
      <alignment horizontal="center"/>
    </xf>
    <xf numFmtId="0" fontId="42" fillId="9" borderId="0" xfId="0" applyFont="1" applyFill="1" applyAlignment="1">
      <alignment vertical="top" wrapText="1"/>
    </xf>
    <xf numFmtId="0" fontId="52" fillId="6" borderId="0" xfId="0" applyFont="1" applyFill="1" applyAlignment="1">
      <alignment horizontal="left"/>
    </xf>
    <xf numFmtId="0" fontId="53" fillId="6" borderId="0" xfId="0" applyFont="1" applyFill="1" applyAlignment="1">
      <alignment horizontal="left" wrapText="1"/>
    </xf>
    <xf numFmtId="0" fontId="54" fillId="6" borderId="0" xfId="0" applyFont="1" applyFill="1" applyAlignment="1">
      <alignment horizontal="left"/>
    </xf>
    <xf numFmtId="0" fontId="51" fillId="6" borderId="0" xfId="0" applyFont="1" applyFill="1" applyAlignment="1">
      <alignment wrapText="1"/>
    </xf>
    <xf numFmtId="0" fontId="55" fillId="6" borderId="0" xfId="0" applyFont="1" applyFill="1" applyAlignment="1">
      <alignment horizontal="left"/>
    </xf>
    <xf numFmtId="0" fontId="22" fillId="6" borderId="0" xfId="0" applyFont="1" applyFill="1" applyAlignment="1">
      <alignment horizontal="left"/>
    </xf>
    <xf numFmtId="0" fontId="22" fillId="6" borderId="0" xfId="0" applyFont="1" applyFill="1"/>
    <xf numFmtId="0" fontId="55" fillId="6" borderId="0" xfId="0" applyFont="1" applyFill="1" applyAlignment="1">
      <alignment horizontal="left" wrapText="1"/>
    </xf>
    <xf numFmtId="0" fontId="22" fillId="9" borderId="0" xfId="0" applyFont="1" applyFill="1"/>
    <xf numFmtId="0" fontId="57" fillId="9" borderId="0" xfId="0" applyFont="1" applyFill="1"/>
    <xf numFmtId="0" fontId="22" fillId="6" borderId="0" xfId="0" applyFont="1" applyFill="1" applyAlignment="1">
      <alignment horizontal="right"/>
    </xf>
    <xf numFmtId="165" fontId="22" fillId="6" borderId="0" xfId="0" applyNumberFormat="1" applyFont="1" applyFill="1" applyAlignment="1">
      <alignment horizontal="center"/>
    </xf>
    <xf numFmtId="0" fontId="46" fillId="6" borderId="0" xfId="0" applyFont="1" applyFill="1" applyAlignment="1">
      <alignment wrapText="1"/>
    </xf>
    <xf numFmtId="0" fontId="22" fillId="9" borderId="0" xfId="0" applyFont="1" applyFill="1" applyAlignment="1">
      <alignment horizontal="right"/>
    </xf>
    <xf numFmtId="165" fontId="22" fillId="9" borderId="0" xfId="0" applyNumberFormat="1" applyFont="1" applyFill="1" applyAlignment="1">
      <alignment horizontal="center"/>
    </xf>
    <xf numFmtId="0" fontId="51" fillId="6" borderId="0" xfId="0" applyFont="1" applyFill="1" applyAlignment="1">
      <alignment horizontal="left" vertical="center"/>
    </xf>
    <xf numFmtId="0" fontId="51" fillId="6" borderId="0" xfId="0" applyFont="1" applyFill="1" applyAlignment="1">
      <alignment horizontal="left" wrapText="1"/>
    </xf>
    <xf numFmtId="0" fontId="54" fillId="6" borderId="0" xfId="0" applyFont="1" applyFill="1"/>
    <xf numFmtId="0" fontId="46" fillId="6" borderId="0" xfId="0" applyFont="1" applyFill="1" applyAlignment="1">
      <alignment vertical="center"/>
    </xf>
    <xf numFmtId="0" fontId="43" fillId="6" borderId="0" xfId="0" applyFont="1" applyFill="1" applyAlignment="1">
      <alignment vertical="center"/>
    </xf>
    <xf numFmtId="0" fontId="51" fillId="6" borderId="0" xfId="0" applyFont="1" applyFill="1" applyAlignment="1">
      <alignment horizontal="left" vertical="center" wrapText="1"/>
    </xf>
    <xf numFmtId="0" fontId="22" fillId="9" borderId="0" xfId="0" applyFont="1" applyFill="1" applyAlignment="1">
      <alignment vertical="center"/>
    </xf>
    <xf numFmtId="0" fontId="0" fillId="9" borderId="0" xfId="0" applyFill="1" applyAlignment="1">
      <alignment vertical="center"/>
    </xf>
    <xf numFmtId="0" fontId="25" fillId="10" borderId="0" xfId="0" applyFont="1" applyFill="1" applyAlignment="1">
      <alignment vertical="center"/>
    </xf>
    <xf numFmtId="0" fontId="0" fillId="10" borderId="0" xfId="0" applyFill="1" applyAlignment="1">
      <alignment vertical="center"/>
    </xf>
    <xf numFmtId="0" fontId="59" fillId="9" borderId="0" xfId="0" applyFont="1" applyFill="1" applyAlignment="1">
      <alignment horizontal="left"/>
    </xf>
    <xf numFmtId="0" fontId="25" fillId="10" borderId="0" xfId="0" applyFont="1" applyFill="1" applyAlignment="1">
      <alignment horizontal="right"/>
    </xf>
    <xf numFmtId="0" fontId="59" fillId="9" borderId="0" xfId="0" applyFont="1" applyFill="1" applyAlignment="1">
      <alignment horizontal="left" wrapText="1"/>
    </xf>
    <xf numFmtId="0" fontId="59" fillId="9" borderId="0" xfId="0" applyFont="1" applyFill="1" applyAlignment="1">
      <alignment wrapText="1"/>
    </xf>
    <xf numFmtId="0" fontId="5" fillId="9" borderId="0" xfId="0" applyFont="1" applyFill="1" applyAlignment="1">
      <alignment wrapText="1"/>
    </xf>
    <xf numFmtId="0" fontId="19" fillId="9" borderId="0" xfId="0" applyFont="1" applyFill="1" applyAlignment="1">
      <alignment wrapText="1"/>
    </xf>
    <xf numFmtId="0" fontId="19" fillId="9" borderId="0" xfId="0" applyFont="1" applyFill="1"/>
    <xf numFmtId="0" fontId="59" fillId="9" borderId="0" xfId="0" applyFont="1" applyFill="1" applyAlignment="1">
      <alignment horizontal="left" vertical="top" wrapText="1"/>
    </xf>
    <xf numFmtId="0" fontId="62" fillId="9" borderId="0" xfId="0" applyFont="1" applyFill="1" applyAlignment="1">
      <alignment horizontal="left"/>
    </xf>
    <xf numFmtId="0" fontId="55" fillId="9" borderId="0" xfId="0" applyFont="1" applyFill="1" applyAlignment="1">
      <alignment horizontal="left" wrapText="1"/>
    </xf>
    <xf numFmtId="0" fontId="59" fillId="9" borderId="0" xfId="0" applyFont="1" applyFill="1" applyAlignment="1">
      <alignment vertical="top" wrapText="1"/>
    </xf>
    <xf numFmtId="0" fontId="56" fillId="9" borderId="0" xfId="0" applyFont="1" applyFill="1" applyAlignment="1">
      <alignment vertical="top"/>
    </xf>
    <xf numFmtId="0" fontId="40" fillId="7" borderId="0" xfId="0" applyFont="1" applyFill="1" applyAlignment="1">
      <alignment horizontal="center"/>
    </xf>
    <xf numFmtId="0" fontId="5" fillId="9" borderId="0" xfId="0" applyFont="1" applyFill="1" applyAlignment="1">
      <alignment vertical="center" wrapText="1"/>
    </xf>
    <xf numFmtId="2" fontId="65" fillId="9" borderId="0" xfId="0" applyNumberFormat="1" applyFont="1" applyFill="1" applyAlignment="1">
      <alignment wrapText="1"/>
    </xf>
    <xf numFmtId="0" fontId="7" fillId="9" borderId="0" xfId="1" applyFill="1" applyAlignment="1" applyProtection="1">
      <alignment horizontal="left" vertical="top" wrapText="1"/>
    </xf>
    <xf numFmtId="0" fontId="40" fillId="6" borderId="0" xfId="0" applyFont="1" applyFill="1" applyAlignment="1">
      <alignment horizontal="center"/>
    </xf>
    <xf numFmtId="0" fontId="40" fillId="6" borderId="0" xfId="0" applyFont="1" applyFill="1" applyAlignment="1">
      <alignment horizontal="centerContinuous"/>
    </xf>
    <xf numFmtId="0" fontId="54" fillId="7" borderId="0" xfId="0" applyFont="1" applyFill="1" applyAlignment="1">
      <alignment horizontal="left" vertical="center"/>
    </xf>
    <xf numFmtId="0" fontId="54" fillId="7" borderId="0" xfId="0" applyFont="1" applyFill="1" applyAlignment="1">
      <alignment vertical="center"/>
    </xf>
    <xf numFmtId="0" fontId="68" fillId="2" borderId="0" xfId="0" quotePrefix="1" applyFont="1" applyFill="1" applyAlignment="1">
      <alignment horizontal="center"/>
    </xf>
    <xf numFmtId="0" fontId="36" fillId="2" borderId="0" xfId="0" quotePrefix="1" applyFont="1" applyFill="1" applyAlignment="1">
      <alignment horizontal="center"/>
    </xf>
    <xf numFmtId="0" fontId="22" fillId="2" borderId="0" xfId="0" applyFont="1" applyFill="1"/>
    <xf numFmtId="0" fontId="22" fillId="2" borderId="0" xfId="0" applyFont="1" applyFill="1" applyAlignment="1">
      <alignment vertical="center"/>
    </xf>
    <xf numFmtId="0" fontId="67" fillId="2" borderId="0" xfId="0" applyFont="1" applyFill="1" applyAlignment="1">
      <alignment vertical="center"/>
    </xf>
    <xf numFmtId="0" fontId="16" fillId="2" borderId="0" xfId="0" applyFont="1" applyFill="1" applyAlignment="1">
      <alignment vertical="center"/>
    </xf>
    <xf numFmtId="0" fontId="22" fillId="2" borderId="0" xfId="0" applyFont="1" applyFill="1" applyAlignment="1">
      <alignment horizontal="center"/>
    </xf>
    <xf numFmtId="0" fontId="70" fillId="2" borderId="0" xfId="0" applyFont="1" applyFill="1" applyAlignment="1">
      <alignment vertical="center"/>
    </xf>
    <xf numFmtId="0" fontId="71" fillId="2" borderId="0" xfId="0" quotePrefix="1" applyFont="1" applyFill="1" applyAlignment="1">
      <alignment horizontal="center" vertical="center"/>
    </xf>
    <xf numFmtId="0" fontId="16" fillId="2" borderId="0" xfId="0" applyFont="1" applyFill="1" applyAlignment="1">
      <alignment horizontal="center" vertical="center"/>
    </xf>
    <xf numFmtId="0" fontId="69" fillId="2" borderId="0" xfId="0" applyFont="1" applyFill="1" applyAlignment="1">
      <alignment horizontal="center" vertical="center"/>
    </xf>
    <xf numFmtId="0" fontId="69" fillId="2" borderId="0" xfId="0" applyFont="1" applyFill="1" applyAlignment="1">
      <alignment horizontal="right" vertical="center"/>
    </xf>
    <xf numFmtId="0" fontId="16" fillId="2" borderId="0" xfId="0" applyFont="1" applyFill="1" applyAlignment="1">
      <alignment horizontal="left" vertical="center"/>
    </xf>
    <xf numFmtId="0" fontId="0" fillId="2" borderId="0" xfId="0" applyFill="1" applyAlignment="1">
      <alignment horizontal="center"/>
    </xf>
    <xf numFmtId="0" fontId="40" fillId="2" borderId="0" xfId="0" applyFont="1" applyFill="1" applyAlignment="1">
      <alignment horizontal="center"/>
    </xf>
    <xf numFmtId="0" fontId="40" fillId="2" borderId="0" xfId="0" applyFont="1" applyFill="1" applyAlignment="1">
      <alignment horizontal="centerContinuous"/>
    </xf>
    <xf numFmtId="0" fontId="16" fillId="14" borderId="0" xfId="0" applyFont="1" applyFill="1" applyAlignment="1">
      <alignment vertical="center"/>
    </xf>
    <xf numFmtId="0" fontId="16" fillId="15" borderId="0" xfId="0" applyFont="1" applyFill="1" applyAlignment="1">
      <alignment vertical="center"/>
    </xf>
    <xf numFmtId="0" fontId="16" fillId="15" borderId="0" xfId="0" applyFont="1" applyFill="1" applyAlignment="1">
      <alignment horizontal="center" vertical="center"/>
    </xf>
    <xf numFmtId="0" fontId="16" fillId="16" borderId="0" xfId="0" applyFont="1" applyFill="1" applyAlignment="1">
      <alignment horizontal="center" vertical="center"/>
    </xf>
    <xf numFmtId="0" fontId="73" fillId="15" borderId="0" xfId="0" applyFont="1" applyFill="1" applyAlignment="1">
      <alignment horizontal="center" vertical="center"/>
    </xf>
    <xf numFmtId="0" fontId="59" fillId="16" borderId="0" xfId="0" applyFont="1" applyFill="1" applyAlignment="1">
      <alignment vertical="center"/>
    </xf>
    <xf numFmtId="3" fontId="73" fillId="15" borderId="14" xfId="0" applyNumberFormat="1" applyFont="1" applyFill="1" applyBorder="1" applyAlignment="1">
      <alignment vertical="center"/>
    </xf>
    <xf numFmtId="166" fontId="73" fillId="14" borderId="13" xfId="0" applyNumberFormat="1" applyFont="1" applyFill="1" applyBorder="1" applyAlignment="1">
      <alignment vertical="center"/>
    </xf>
    <xf numFmtId="3" fontId="73" fillId="16" borderId="15" xfId="0" applyNumberFormat="1" applyFont="1" applyFill="1" applyBorder="1" applyAlignment="1">
      <alignment horizontal="right" vertical="center"/>
    </xf>
    <xf numFmtId="0" fontId="61" fillId="2" borderId="0" xfId="0" applyFont="1" applyFill="1" applyAlignment="1">
      <alignment wrapText="1"/>
    </xf>
    <xf numFmtId="0" fontId="51" fillId="2" borderId="2" xfId="0" applyFont="1" applyFill="1" applyBorder="1"/>
    <xf numFmtId="0" fontId="43" fillId="2" borderId="2" xfId="0" applyFont="1" applyFill="1" applyBorder="1"/>
    <xf numFmtId="0" fontId="74" fillId="2" borderId="0" xfId="0" applyFont="1" applyFill="1"/>
    <xf numFmtId="0" fontId="77" fillId="2" borderId="0" xfId="0" applyFont="1" applyFill="1"/>
    <xf numFmtId="166" fontId="73" fillId="17" borderId="13" xfId="0" applyNumberFormat="1" applyFont="1" applyFill="1" applyBorder="1" applyAlignment="1">
      <alignment vertical="center"/>
    </xf>
    <xf numFmtId="3" fontId="73" fillId="18" borderId="14" xfId="0" applyNumberFormat="1" applyFont="1" applyFill="1" applyBorder="1" applyAlignment="1">
      <alignment vertical="center"/>
    </xf>
    <xf numFmtId="3" fontId="73" fillId="19" borderId="15" xfId="0" applyNumberFormat="1" applyFont="1" applyFill="1" applyBorder="1" applyAlignment="1">
      <alignment vertical="center"/>
    </xf>
    <xf numFmtId="1" fontId="73" fillId="17" borderId="13" xfId="0" applyNumberFormat="1" applyFont="1" applyFill="1" applyBorder="1" applyAlignment="1">
      <alignment vertical="center"/>
    </xf>
    <xf numFmtId="0" fontId="16" fillId="14" borderId="20" xfId="0" applyFont="1" applyFill="1" applyBorder="1" applyAlignment="1">
      <alignment vertical="center"/>
    </xf>
    <xf numFmtId="0" fontId="16" fillId="14" borderId="17" xfId="0" applyFont="1" applyFill="1" applyBorder="1" applyAlignment="1">
      <alignment vertical="center"/>
    </xf>
    <xf numFmtId="0" fontId="16" fillId="14" borderId="22" xfId="0" applyFont="1" applyFill="1" applyBorder="1" applyAlignment="1">
      <alignment vertical="center"/>
    </xf>
    <xf numFmtId="0" fontId="16" fillId="14" borderId="18" xfId="0" applyFont="1" applyFill="1" applyBorder="1" applyAlignment="1">
      <alignment vertical="center"/>
    </xf>
    <xf numFmtId="0" fontId="51" fillId="10" borderId="0" xfId="0" applyFont="1" applyFill="1"/>
    <xf numFmtId="0" fontId="59" fillId="10" borderId="0" xfId="0" applyFont="1" applyFill="1"/>
    <xf numFmtId="0" fontId="37" fillId="6" borderId="0" xfId="1" applyFont="1" applyFill="1" applyAlignment="1" applyProtection="1"/>
    <xf numFmtId="0" fontId="16" fillId="6" borderId="0" xfId="0" applyFont="1" applyFill="1"/>
    <xf numFmtId="0" fontId="16" fillId="10" borderId="0" xfId="0" applyFont="1" applyFill="1"/>
    <xf numFmtId="0" fontId="22" fillId="10" borderId="0" xfId="0" applyFont="1" applyFill="1"/>
    <xf numFmtId="0" fontId="16" fillId="17" borderId="0" xfId="0" applyFont="1" applyFill="1" applyAlignment="1">
      <alignment vertical="center"/>
    </xf>
    <xf numFmtId="0" fontId="61" fillId="2" borderId="0" xfId="0" applyFont="1" applyFill="1" applyAlignment="1">
      <alignment horizontal="center" vertical="top" wrapText="1"/>
    </xf>
    <xf numFmtId="0" fontId="16" fillId="17" borderId="0" xfId="0" applyFont="1" applyFill="1" applyAlignment="1">
      <alignment horizontal="left" vertical="center"/>
    </xf>
    <xf numFmtId="0" fontId="63" fillId="9" borderId="0" xfId="1" applyFont="1" applyFill="1" applyAlignment="1" applyProtection="1">
      <alignment wrapText="1"/>
    </xf>
    <xf numFmtId="0" fontId="59" fillId="15" borderId="0" xfId="0" applyFont="1" applyFill="1" applyAlignment="1">
      <alignment vertical="center"/>
    </xf>
    <xf numFmtId="0" fontId="59" fillId="15" borderId="29" xfId="0" applyFont="1" applyFill="1" applyBorder="1" applyAlignment="1">
      <alignment vertical="center"/>
    </xf>
    <xf numFmtId="0" fontId="59" fillId="16" borderId="16" xfId="0" applyFont="1" applyFill="1" applyBorder="1" applyAlignment="1">
      <alignment vertical="center"/>
    </xf>
    <xf numFmtId="0" fontId="74" fillId="2" borderId="2" xfId="0" applyFont="1" applyFill="1" applyBorder="1"/>
    <xf numFmtId="0" fontId="51" fillId="2" borderId="0" xfId="0" applyFont="1" applyFill="1"/>
    <xf numFmtId="0" fontId="16" fillId="17" borderId="24" xfId="0" applyFont="1" applyFill="1" applyBorder="1" applyAlignment="1">
      <alignment vertical="center"/>
    </xf>
    <xf numFmtId="3" fontId="73" fillId="17" borderId="23" xfId="10" applyNumberFormat="1" applyFont="1" applyFill="1" applyBorder="1" applyAlignment="1">
      <alignment vertical="center"/>
    </xf>
    <xf numFmtId="3" fontId="73" fillId="17" borderId="26" xfId="10" applyNumberFormat="1" applyFont="1" applyFill="1" applyBorder="1" applyAlignment="1">
      <alignment vertical="center"/>
    </xf>
    <xf numFmtId="3" fontId="73" fillId="14" borderId="19" xfId="10" applyNumberFormat="1" applyFont="1" applyFill="1" applyBorder="1" applyAlignment="1">
      <alignment horizontal="right" vertical="center"/>
    </xf>
    <xf numFmtId="3" fontId="73" fillId="14" borderId="21" xfId="10" applyNumberFormat="1" applyFont="1" applyFill="1" applyBorder="1" applyAlignment="1">
      <alignment horizontal="right" vertical="center"/>
    </xf>
    <xf numFmtId="0" fontId="85" fillId="6" borderId="0" xfId="0" applyFont="1" applyFill="1" applyAlignment="1">
      <alignment wrapText="1"/>
    </xf>
    <xf numFmtId="0" fontId="43" fillId="6" borderId="0" xfId="0" applyFont="1" applyFill="1" applyAlignment="1">
      <alignment horizontal="left" wrapText="1" indent="1"/>
    </xf>
    <xf numFmtId="0" fontId="43" fillId="6" borderId="0" xfId="0" applyFont="1" applyFill="1" applyAlignment="1">
      <alignment horizontal="left" indent="1"/>
    </xf>
    <xf numFmtId="0" fontId="7" fillId="6" borderId="0" xfId="1" applyFill="1" applyAlignment="1" applyProtection="1"/>
    <xf numFmtId="0" fontId="3" fillId="6" borderId="0" xfId="6" applyFill="1"/>
    <xf numFmtId="0" fontId="2" fillId="6" borderId="0" xfId="6" applyFont="1" applyFill="1"/>
    <xf numFmtId="0" fontId="13" fillId="6" borderId="0" xfId="6" applyFont="1" applyFill="1" applyAlignment="1">
      <alignment wrapText="1"/>
    </xf>
    <xf numFmtId="0" fontId="15" fillId="6" borderId="0" xfId="6" applyFont="1" applyFill="1" applyAlignment="1">
      <alignment wrapText="1"/>
    </xf>
    <xf numFmtId="3" fontId="13" fillId="6" borderId="0" xfId="6" applyNumberFormat="1" applyFont="1" applyFill="1" applyAlignment="1">
      <alignment horizontal="left" wrapText="1"/>
    </xf>
    <xf numFmtId="2" fontId="13" fillId="6" borderId="0" xfId="6" applyNumberFormat="1" applyFont="1" applyFill="1" applyAlignment="1">
      <alignment wrapText="1"/>
    </xf>
    <xf numFmtId="3" fontId="14" fillId="6" borderId="0" xfId="6" applyNumberFormat="1" applyFont="1" applyFill="1" applyAlignment="1">
      <alignment horizontal="left" wrapText="1"/>
    </xf>
    <xf numFmtId="3" fontId="3" fillId="6" borderId="0" xfId="6" applyNumberFormat="1" applyFill="1"/>
    <xf numFmtId="0" fontId="7" fillId="6" borderId="0" xfId="1" applyFill="1" applyBorder="1" applyAlignment="1" applyProtection="1"/>
    <xf numFmtId="0" fontId="16" fillId="6" borderId="0" xfId="5" applyFont="1" applyFill="1" applyAlignment="1">
      <alignment horizontal="left" wrapText="1"/>
    </xf>
    <xf numFmtId="0" fontId="20" fillId="6" borderId="0" xfId="6" applyFont="1" applyFill="1" applyAlignment="1">
      <alignment wrapText="1"/>
    </xf>
    <xf numFmtId="0" fontId="23" fillId="6" borderId="0" xfId="6" applyFont="1" applyFill="1" applyAlignment="1">
      <alignment wrapText="1"/>
    </xf>
    <xf numFmtId="0" fontId="22" fillId="6" borderId="0" xfId="5" applyFont="1" applyFill="1" applyAlignment="1">
      <alignment horizontal="left" wrapText="1"/>
    </xf>
    <xf numFmtId="0" fontId="16" fillId="6" borderId="0" xfId="5" applyFont="1" applyFill="1" applyAlignment="1">
      <alignment wrapText="1"/>
    </xf>
    <xf numFmtId="0" fontId="22" fillId="6" borderId="0" xfId="5" applyFont="1" applyFill="1" applyAlignment="1">
      <alignment wrapText="1"/>
    </xf>
    <xf numFmtId="3" fontId="23" fillId="2" borderId="0" xfId="0" applyNumberFormat="1" applyFont="1" applyFill="1" applyAlignment="1">
      <alignment horizontal="center" wrapText="1"/>
    </xf>
    <xf numFmtId="3" fontId="23" fillId="2" borderId="0" xfId="6" applyNumberFormat="1" applyFont="1" applyFill="1" applyAlignment="1">
      <alignment horizontal="center" wrapText="1"/>
    </xf>
    <xf numFmtId="0" fontId="20" fillId="2" borderId="0" xfId="6" applyFont="1" applyFill="1" applyAlignment="1">
      <alignment wrapText="1"/>
    </xf>
    <xf numFmtId="3" fontId="20" fillId="2" borderId="0" xfId="6" applyNumberFormat="1" applyFont="1" applyFill="1" applyAlignment="1">
      <alignment horizontal="center" wrapText="1"/>
    </xf>
    <xf numFmtId="0" fontId="20" fillId="2" borderId="2" xfId="6" applyFont="1" applyFill="1" applyBorder="1" applyAlignment="1">
      <alignment horizontal="center" wrapText="1"/>
    </xf>
    <xf numFmtId="3" fontId="23" fillId="2" borderId="30" xfId="0" applyNumberFormat="1" applyFont="1" applyFill="1" applyBorder="1" applyAlignment="1">
      <alignment horizontal="center" wrapText="1"/>
    </xf>
    <xf numFmtId="3" fontId="23" fillId="2" borderId="30" xfId="6" applyNumberFormat="1" applyFont="1" applyFill="1" applyBorder="1" applyAlignment="1">
      <alignment horizontal="center" wrapText="1"/>
    </xf>
    <xf numFmtId="0" fontId="23" fillId="2" borderId="30" xfId="6" applyFont="1" applyFill="1" applyBorder="1" applyAlignment="1">
      <alignment horizontal="left" wrapText="1"/>
    </xf>
    <xf numFmtId="0" fontId="3" fillId="2" borderId="0" xfId="6" applyFill="1"/>
    <xf numFmtId="0" fontId="3" fillId="21" borderId="31" xfId="6" applyFill="1" applyBorder="1"/>
    <xf numFmtId="0" fontId="3" fillId="22" borderId="31" xfId="6" applyFill="1" applyBorder="1"/>
    <xf numFmtId="0" fontId="3" fillId="24" borderId="31" xfId="6" applyFill="1" applyBorder="1"/>
    <xf numFmtId="0" fontId="3" fillId="25" borderId="31" xfId="6" applyFill="1" applyBorder="1"/>
    <xf numFmtId="0" fontId="3" fillId="26" borderId="31" xfId="6" applyFill="1" applyBorder="1"/>
    <xf numFmtId="0" fontId="3" fillId="27" borderId="31" xfId="6" applyFill="1" applyBorder="1"/>
    <xf numFmtId="0" fontId="3" fillId="28" borderId="31" xfId="6" applyFill="1" applyBorder="1"/>
    <xf numFmtId="0" fontId="3" fillId="23" borderId="31" xfId="6" applyFill="1" applyBorder="1"/>
    <xf numFmtId="0" fontId="3" fillId="29" borderId="31" xfId="6" applyFill="1" applyBorder="1"/>
    <xf numFmtId="0" fontId="3" fillId="30" borderId="31" xfId="6" applyFill="1" applyBorder="1"/>
    <xf numFmtId="0" fontId="3" fillId="31" borderId="31" xfId="6" applyFill="1" applyBorder="1"/>
    <xf numFmtId="0" fontId="3" fillId="32" borderId="31" xfId="6" applyFill="1" applyBorder="1"/>
    <xf numFmtId="0" fontId="20" fillId="2" borderId="0" xfId="6" applyFont="1" applyFill="1" applyAlignment="1">
      <alignment horizontal="center" wrapText="1"/>
    </xf>
    <xf numFmtId="0" fontId="3" fillId="20" borderId="32" xfId="6" applyFill="1" applyBorder="1"/>
    <xf numFmtId="0" fontId="23" fillId="2" borderId="33" xfId="6" applyFont="1" applyFill="1" applyBorder="1" applyAlignment="1">
      <alignment horizontal="left" wrapText="1"/>
    </xf>
    <xf numFmtId="3" fontId="23" fillId="2" borderId="33" xfId="0" applyNumberFormat="1" applyFont="1" applyFill="1" applyBorder="1" applyAlignment="1">
      <alignment horizontal="center" wrapText="1"/>
    </xf>
    <xf numFmtId="0" fontId="3" fillId="33" borderId="34" xfId="6" applyFill="1" applyBorder="1"/>
    <xf numFmtId="3" fontId="20" fillId="2" borderId="0" xfId="6" applyNumberFormat="1" applyFont="1" applyFill="1" applyAlignment="1">
      <alignment horizontal="center" vertical="top" wrapText="1"/>
    </xf>
    <xf numFmtId="0" fontId="24" fillId="10" borderId="0" xfId="6" applyFont="1" applyFill="1" applyAlignment="1">
      <alignment wrapText="1"/>
    </xf>
    <xf numFmtId="0" fontId="0" fillId="10" borderId="0" xfId="0" applyFill="1" applyAlignment="1">
      <alignment wrapText="1"/>
    </xf>
    <xf numFmtId="0" fontId="3" fillId="10" borderId="0" xfId="6" applyFill="1"/>
    <xf numFmtId="0" fontId="89" fillId="6" borderId="0" xfId="0" applyFont="1" applyFill="1" applyAlignment="1">
      <alignment horizontal="left"/>
    </xf>
    <xf numFmtId="0" fontId="90" fillId="6" borderId="0" xfId="1" applyFont="1" applyFill="1" applyAlignment="1" applyProtection="1"/>
    <xf numFmtId="1" fontId="22" fillId="6" borderId="0" xfId="0" applyNumberFormat="1" applyFont="1" applyFill="1" applyAlignment="1">
      <alignment vertical="top" wrapText="1"/>
    </xf>
    <xf numFmtId="0" fontId="94" fillId="6" borderId="0" xfId="0" applyFont="1" applyFill="1" applyAlignment="1">
      <alignment horizontal="left"/>
    </xf>
    <xf numFmtId="0" fontId="90" fillId="6" borderId="0" xfId="1" applyFont="1" applyFill="1" applyBorder="1" applyAlignment="1" applyProtection="1"/>
    <xf numFmtId="1" fontId="22" fillId="6" borderId="0" xfId="0" applyNumberFormat="1" applyFont="1" applyFill="1" applyAlignment="1">
      <alignment horizontal="left"/>
    </xf>
    <xf numFmtId="0" fontId="22" fillId="6" borderId="0" xfId="0" applyFont="1" applyFill="1" applyAlignment="1">
      <alignment wrapText="1"/>
    </xf>
    <xf numFmtId="0" fontId="100" fillId="6" borderId="0" xfId="1" applyFont="1" applyFill="1" applyAlignment="1" applyProtection="1"/>
    <xf numFmtId="0" fontId="67" fillId="6" borderId="0" xfId="0" applyFont="1" applyFill="1" applyAlignment="1">
      <alignment horizontal="left"/>
    </xf>
    <xf numFmtId="0" fontId="92" fillId="6" borderId="0" xfId="0" applyFont="1" applyFill="1" applyAlignment="1">
      <alignment horizontal="centerContinuous"/>
    </xf>
    <xf numFmtId="0" fontId="22" fillId="6" borderId="0" xfId="0" applyFont="1" applyFill="1" applyAlignment="1">
      <alignment vertical="top"/>
    </xf>
    <xf numFmtId="0" fontId="22" fillId="6" borderId="0" xfId="0" quotePrefix="1" applyFont="1" applyFill="1"/>
    <xf numFmtId="1" fontId="92" fillId="10" borderId="0" xfId="0" applyNumberFormat="1" applyFont="1" applyFill="1" applyAlignment="1">
      <alignment horizontal="left"/>
    </xf>
    <xf numFmtId="1" fontId="22" fillId="10" borderId="0" xfId="0" applyNumberFormat="1" applyFont="1" applyFill="1" applyAlignment="1">
      <alignment horizontal="left"/>
    </xf>
    <xf numFmtId="1" fontId="22" fillId="10" borderId="0" xfId="0" applyNumberFormat="1" applyFont="1" applyFill="1"/>
    <xf numFmtId="0" fontId="101" fillId="10" borderId="0" xfId="1" applyFont="1" applyFill="1" applyBorder="1" applyAlignment="1" applyProtection="1"/>
    <xf numFmtId="0" fontId="90" fillId="10" borderId="0" xfId="1" applyFont="1" applyFill="1" applyBorder="1" applyAlignment="1" applyProtection="1"/>
    <xf numFmtId="0" fontId="102" fillId="6" borderId="0" xfId="0" applyFont="1" applyFill="1"/>
    <xf numFmtId="0" fontId="103" fillId="6" borderId="0" xfId="1" applyFont="1" applyFill="1" applyAlignment="1" applyProtection="1"/>
    <xf numFmtId="0" fontId="61" fillId="4" borderId="0" xfId="0" applyFont="1" applyFill="1" applyAlignment="1">
      <alignment horizontal="left"/>
    </xf>
    <xf numFmtId="0" fontId="22" fillId="6" borderId="0" xfId="0" applyFont="1" applyFill="1" applyAlignment="1">
      <alignment horizontal="left" vertical="top" wrapText="1"/>
    </xf>
    <xf numFmtId="0" fontId="22" fillId="6" borderId="0" xfId="0" applyFont="1" applyFill="1" applyAlignment="1">
      <alignment vertical="top" wrapText="1"/>
    </xf>
    <xf numFmtId="0" fontId="75" fillId="6" borderId="0" xfId="0" applyFont="1" applyFill="1" applyAlignment="1">
      <alignment horizontal="left"/>
    </xf>
    <xf numFmtId="0" fontId="22" fillId="10" borderId="0" xfId="0" applyFont="1" applyFill="1" applyAlignment="1">
      <alignment vertical="center"/>
    </xf>
    <xf numFmtId="0" fontId="105" fillId="6" borderId="0" xfId="0" applyFont="1" applyFill="1" applyAlignment="1">
      <alignment horizontal="left"/>
    </xf>
    <xf numFmtId="0" fontId="51" fillId="6" borderId="0" xfId="0" applyFont="1" applyFill="1"/>
    <xf numFmtId="0" fontId="75" fillId="4" borderId="0" xfId="0" applyFont="1" applyFill="1"/>
    <xf numFmtId="0" fontId="105" fillId="4" borderId="0" xfId="0" applyFont="1" applyFill="1"/>
    <xf numFmtId="1" fontId="107" fillId="14" borderId="0" xfId="0" applyNumberFormat="1" applyFont="1" applyFill="1"/>
    <xf numFmtId="0" fontId="108" fillId="14" borderId="0" xfId="0" applyFont="1" applyFill="1"/>
    <xf numFmtId="3" fontId="22" fillId="6" borderId="0" xfId="0" applyNumberFormat="1" applyFont="1" applyFill="1"/>
    <xf numFmtId="3" fontId="98" fillId="6" borderId="0" xfId="0" applyNumberFormat="1" applyFont="1" applyFill="1"/>
    <xf numFmtId="2" fontId="22" fillId="6" borderId="0" xfId="0" applyNumberFormat="1" applyFont="1" applyFill="1"/>
    <xf numFmtId="0" fontId="51" fillId="5" borderId="0" xfId="0" applyFont="1" applyFill="1"/>
    <xf numFmtId="0" fontId="89" fillId="6" borderId="0" xfId="0" applyFont="1" applyFill="1"/>
    <xf numFmtId="0" fontId="51" fillId="34" borderId="0" xfId="0" applyFont="1" applyFill="1"/>
    <xf numFmtId="0" fontId="54" fillId="34" borderId="0" xfId="0" applyFont="1" applyFill="1"/>
    <xf numFmtId="0" fontId="22" fillId="34" borderId="0" xfId="0" applyFont="1" applyFill="1"/>
    <xf numFmtId="1" fontId="22" fillId="34" borderId="0" xfId="0" applyNumberFormat="1" applyFont="1" applyFill="1" applyAlignment="1">
      <alignment vertical="top" wrapText="1"/>
    </xf>
    <xf numFmtId="1" fontId="22" fillId="34" borderId="0" xfId="0" applyNumberFormat="1" applyFont="1" applyFill="1" applyAlignment="1">
      <alignment horizontal="left" vertical="top" wrapText="1"/>
    </xf>
    <xf numFmtId="0" fontId="61" fillId="35" borderId="0" xfId="0" applyFont="1" applyFill="1"/>
    <xf numFmtId="0" fontId="54" fillId="35" borderId="0" xfId="0" applyFont="1" applyFill="1"/>
    <xf numFmtId="0" fontId="105" fillId="35" borderId="0" xfId="0" applyFont="1" applyFill="1"/>
    <xf numFmtId="0" fontId="61" fillId="35" borderId="0" xfId="0" applyFont="1" applyFill="1" applyAlignment="1">
      <alignment horizontal="left"/>
    </xf>
    <xf numFmtId="0" fontId="22" fillId="35" borderId="0" xfId="0" applyFont="1" applyFill="1"/>
    <xf numFmtId="1" fontId="22" fillId="35" borderId="0" xfId="0" applyNumberFormat="1" applyFont="1" applyFill="1" applyAlignment="1">
      <alignment vertical="top" wrapText="1"/>
    </xf>
    <xf numFmtId="0" fontId="22" fillId="35" borderId="0" xfId="0" applyFont="1" applyFill="1" applyAlignment="1">
      <alignment wrapText="1"/>
    </xf>
    <xf numFmtId="0" fontId="89" fillId="35" borderId="0" xfId="0" applyFont="1" applyFill="1" applyAlignment="1">
      <alignment horizontal="left"/>
    </xf>
    <xf numFmtId="0" fontId="89" fillId="35" borderId="0" xfId="0" applyFont="1" applyFill="1"/>
    <xf numFmtId="1" fontId="107" fillId="36" borderId="0" xfId="0" applyNumberFormat="1" applyFont="1" applyFill="1"/>
    <xf numFmtId="0" fontId="108" fillId="36" borderId="0" xfId="0" applyFont="1" applyFill="1"/>
    <xf numFmtId="0" fontId="90" fillId="37" borderId="0" xfId="1" applyFont="1" applyFill="1" applyBorder="1" applyAlignment="1" applyProtection="1"/>
    <xf numFmtId="0" fontId="22" fillId="37" borderId="0" xfId="0" applyFont="1" applyFill="1"/>
    <xf numFmtId="0" fontId="89" fillId="38" borderId="0" xfId="0" applyFont="1" applyFill="1" applyAlignment="1">
      <alignment horizontal="left"/>
    </xf>
    <xf numFmtId="0" fontId="22" fillId="38" borderId="0" xfId="0" applyFont="1" applyFill="1"/>
    <xf numFmtId="0" fontId="22" fillId="38" borderId="0" xfId="0" applyFont="1" applyFill="1" applyAlignment="1">
      <alignment wrapText="1"/>
    </xf>
    <xf numFmtId="1" fontId="22" fillId="38" borderId="0" xfId="0" applyNumberFormat="1" applyFont="1" applyFill="1" applyAlignment="1">
      <alignment horizontal="left" vertical="top" wrapText="1"/>
    </xf>
    <xf numFmtId="0" fontId="22" fillId="38" borderId="0" xfId="0" applyFont="1" applyFill="1" applyAlignment="1">
      <alignment horizontal="left" wrapText="1"/>
    </xf>
    <xf numFmtId="0" fontId="54" fillId="38" borderId="0" xfId="0" applyFont="1" applyFill="1"/>
    <xf numFmtId="0" fontId="22" fillId="38" borderId="0" xfId="0" applyFont="1" applyFill="1" applyAlignment="1">
      <alignment horizontal="left"/>
    </xf>
    <xf numFmtId="0" fontId="90" fillId="38" borderId="0" xfId="1" applyFont="1" applyFill="1" applyBorder="1" applyAlignment="1" applyProtection="1"/>
    <xf numFmtId="0" fontId="108" fillId="38" borderId="0" xfId="0" applyFont="1" applyFill="1"/>
    <xf numFmtId="0" fontId="98" fillId="37" borderId="0" xfId="0" applyFont="1" applyFill="1" applyAlignment="1">
      <alignment horizontal="left"/>
    </xf>
    <xf numFmtId="0" fontId="104" fillId="5" borderId="0" xfId="0" applyFont="1" applyFill="1"/>
    <xf numFmtId="0" fontId="54" fillId="6" borderId="0" xfId="0" applyFont="1" applyFill="1" applyAlignment="1">
      <alignment horizontal="left" vertical="top"/>
    </xf>
    <xf numFmtId="0" fontId="110" fillId="4" borderId="0" xfId="0" applyFont="1" applyFill="1"/>
    <xf numFmtId="0" fontId="111" fillId="4" borderId="0" xfId="0" applyFont="1" applyFill="1"/>
    <xf numFmtId="0" fontId="111" fillId="5" borderId="0" xfId="0" applyFont="1" applyFill="1"/>
    <xf numFmtId="0" fontId="111" fillId="37" borderId="0" xfId="0" applyFont="1" applyFill="1"/>
    <xf numFmtId="0" fontId="91" fillId="6" borderId="0" xfId="0" applyFont="1" applyFill="1" applyAlignment="1">
      <alignment horizontal="left"/>
    </xf>
    <xf numFmtId="0" fontId="75" fillId="37" borderId="0" xfId="0" applyFont="1" applyFill="1"/>
    <xf numFmtId="0" fontId="75" fillId="5" borderId="0" xfId="0" applyFont="1" applyFill="1"/>
    <xf numFmtId="1" fontId="22" fillId="34" borderId="0" xfId="0" applyNumberFormat="1" applyFont="1" applyFill="1" applyAlignment="1">
      <alignment horizontal="left"/>
    </xf>
    <xf numFmtId="1" fontId="22" fillId="34" borderId="0" xfId="0" applyNumberFormat="1" applyFont="1" applyFill="1" applyAlignment="1">
      <alignment vertical="center"/>
    </xf>
    <xf numFmtId="1" fontId="107" fillId="14" borderId="0" xfId="0" applyNumberFormat="1" applyFont="1" applyFill="1" applyAlignment="1">
      <alignment vertical="center"/>
    </xf>
    <xf numFmtId="1" fontId="107" fillId="36" borderId="0" xfId="0" applyNumberFormat="1" applyFont="1" applyFill="1" applyAlignment="1">
      <alignment vertical="center"/>
    </xf>
    <xf numFmtId="1" fontId="97" fillId="36" borderId="0" xfId="0" applyNumberFormat="1" applyFont="1" applyFill="1" applyAlignment="1">
      <alignment horizontal="left"/>
    </xf>
    <xf numFmtId="1" fontId="22" fillId="36" borderId="0" xfId="0" applyNumberFormat="1" applyFont="1" applyFill="1" applyAlignment="1">
      <alignment vertical="center" wrapText="1"/>
    </xf>
    <xf numFmtId="0" fontId="92" fillId="6" borderId="0" xfId="0" applyFont="1" applyFill="1"/>
    <xf numFmtId="0" fontId="98" fillId="39" borderId="0" xfId="0" applyFont="1" applyFill="1"/>
    <xf numFmtId="0" fontId="22" fillId="39" borderId="0" xfId="0" applyFont="1" applyFill="1"/>
    <xf numFmtId="3" fontId="22" fillId="39" borderId="0" xfId="0" applyNumberFormat="1" applyFont="1" applyFill="1"/>
    <xf numFmtId="1" fontId="22" fillId="39" borderId="0" xfId="0" applyNumberFormat="1" applyFont="1" applyFill="1"/>
    <xf numFmtId="168" fontId="22" fillId="39" borderId="0" xfId="0" applyNumberFormat="1" applyFont="1" applyFill="1"/>
    <xf numFmtId="3" fontId="22" fillId="39" borderId="0" xfId="0" applyNumberFormat="1" applyFont="1" applyFill="1" applyAlignment="1">
      <alignment horizontal="right"/>
    </xf>
    <xf numFmtId="0" fontId="22" fillId="39" borderId="0" xfId="0" applyFont="1" applyFill="1" applyAlignment="1">
      <alignment horizontal="left"/>
    </xf>
    <xf numFmtId="0" fontId="22" fillId="39" borderId="0" xfId="0" applyFont="1" applyFill="1" applyAlignment="1">
      <alignment horizontal="right"/>
    </xf>
    <xf numFmtId="166" fontId="22" fillId="39" borderId="0" xfId="0" applyNumberFormat="1" applyFont="1" applyFill="1"/>
    <xf numFmtId="166" fontId="98" fillId="39" borderId="0" xfId="0" applyNumberFormat="1" applyFont="1" applyFill="1"/>
    <xf numFmtId="2" fontId="22" fillId="39" borderId="0" xfId="0" applyNumberFormat="1" applyFont="1" applyFill="1"/>
    <xf numFmtId="2" fontId="98" fillId="39" borderId="0" xfId="0" applyNumberFormat="1" applyFont="1" applyFill="1"/>
    <xf numFmtId="0" fontId="67" fillId="39" borderId="0" xfId="0" applyFont="1" applyFill="1"/>
    <xf numFmtId="0" fontId="67" fillId="39" borderId="0" xfId="1" applyFont="1" applyFill="1" applyBorder="1" applyAlignment="1" applyProtection="1"/>
    <xf numFmtId="3" fontId="98" fillId="39" borderId="0" xfId="0" applyNumberFormat="1" applyFont="1" applyFill="1"/>
    <xf numFmtId="164" fontId="22" fillId="39" borderId="0" xfId="0" applyNumberFormat="1" applyFont="1" applyFill="1"/>
    <xf numFmtId="167" fontId="22" fillId="39" borderId="0" xfId="0" applyNumberFormat="1" applyFont="1" applyFill="1"/>
    <xf numFmtId="0" fontId="100" fillId="39" borderId="0" xfId="1" applyFont="1" applyFill="1" applyAlignment="1" applyProtection="1"/>
    <xf numFmtId="169" fontId="22" fillId="39" borderId="0" xfId="0" applyNumberFormat="1" applyFont="1" applyFill="1"/>
    <xf numFmtId="2" fontId="22" fillId="39" borderId="0" xfId="0" applyNumberFormat="1" applyFont="1" applyFill="1" applyAlignment="1">
      <alignment horizontal="left"/>
    </xf>
    <xf numFmtId="0" fontId="100" fillId="39" borderId="0" xfId="1" applyFont="1" applyFill="1" applyBorder="1" applyAlignment="1" applyProtection="1"/>
    <xf numFmtId="1" fontId="108" fillId="14" borderId="0" xfId="0" applyNumberFormat="1" applyFont="1" applyFill="1"/>
    <xf numFmtId="1" fontId="22" fillId="36" borderId="0" xfId="0" applyNumberFormat="1" applyFont="1" applyFill="1"/>
    <xf numFmtId="1" fontId="108" fillId="15" borderId="0" xfId="0" applyNumberFormat="1" applyFont="1" applyFill="1" applyAlignment="1">
      <alignment horizontal="left" indent="1"/>
    </xf>
    <xf numFmtId="0" fontId="108" fillId="15" borderId="0" xfId="0" applyFont="1" applyFill="1"/>
    <xf numFmtId="1" fontId="108" fillId="15" borderId="0" xfId="0" applyNumberFormat="1" applyFont="1" applyFill="1"/>
    <xf numFmtId="1" fontId="22" fillId="40" borderId="0" xfId="0" applyNumberFormat="1" applyFont="1" applyFill="1" applyAlignment="1">
      <alignment horizontal="left" vertical="center" indent="1"/>
    </xf>
    <xf numFmtId="1" fontId="22" fillId="40" borderId="0" xfId="0" applyNumberFormat="1" applyFont="1" applyFill="1" applyAlignment="1">
      <alignment horizontal="left" indent="1"/>
    </xf>
    <xf numFmtId="3" fontId="22" fillId="39" borderId="0" xfId="0" applyNumberFormat="1" applyFont="1" applyFill="1" applyAlignment="1">
      <alignment vertical="top"/>
    </xf>
    <xf numFmtId="167" fontId="98" fillId="39" borderId="0" xfId="0" applyNumberFormat="1" applyFont="1" applyFill="1"/>
    <xf numFmtId="0" fontId="67" fillId="39" borderId="1" xfId="0" applyFont="1" applyFill="1" applyBorder="1"/>
    <xf numFmtId="0" fontId="22" fillId="39" borderId="0" xfId="0" applyFont="1" applyFill="1" applyAlignment="1">
      <alignment horizontal="center"/>
    </xf>
    <xf numFmtId="0" fontId="22" fillId="39" borderId="3" xfId="0" applyFont="1" applyFill="1" applyBorder="1"/>
    <xf numFmtId="0" fontId="57" fillId="39" borderId="0" xfId="0" applyFont="1" applyFill="1" applyAlignment="1">
      <alignment horizontal="left" indent="1"/>
    </xf>
    <xf numFmtId="0" fontId="92" fillId="39" borderId="0" xfId="0" applyFont="1" applyFill="1" applyAlignment="1">
      <alignment horizontal="left"/>
    </xf>
    <xf numFmtId="0" fontId="67" fillId="39" borderId="0" xfId="0" applyFont="1" applyFill="1" applyAlignment="1">
      <alignment horizontal="left"/>
    </xf>
    <xf numFmtId="0" fontId="114" fillId="7" borderId="0" xfId="0" applyFont="1" applyFill="1"/>
    <xf numFmtId="0" fontId="114" fillId="7" borderId="0" xfId="0" applyFont="1" applyFill="1" applyAlignment="1">
      <alignment vertical="top" wrapText="1"/>
    </xf>
    <xf numFmtId="0" fontId="54" fillId="7" borderId="0" xfId="0" applyFont="1" applyFill="1" applyAlignment="1">
      <alignment horizontal="center" vertical="top"/>
    </xf>
    <xf numFmtId="0" fontId="115" fillId="7" borderId="0" xfId="0" applyFont="1" applyFill="1" applyAlignment="1">
      <alignment horizontal="center"/>
    </xf>
    <xf numFmtId="0" fontId="114" fillId="7" borderId="0" xfId="0" applyFont="1" applyFill="1" applyAlignment="1">
      <alignment horizontal="center"/>
    </xf>
    <xf numFmtId="0" fontId="114" fillId="7" borderId="0" xfId="0" applyFont="1" applyFill="1" applyAlignment="1">
      <alignment horizontal="left" wrapText="1"/>
    </xf>
    <xf numFmtId="1" fontId="114" fillId="7" borderId="0" xfId="0" applyNumberFormat="1" applyFont="1" applyFill="1"/>
    <xf numFmtId="0" fontId="22" fillId="10" borderId="0" xfId="0" applyFont="1" applyFill="1" applyAlignment="1">
      <alignment vertical="top"/>
    </xf>
    <xf numFmtId="0" fontId="89" fillId="6" borderId="0" xfId="0" applyFont="1" applyFill="1" applyAlignment="1">
      <alignment horizontal="left" vertical="top"/>
    </xf>
    <xf numFmtId="0" fontId="90" fillId="6" borderId="0" xfId="1" applyFont="1" applyFill="1" applyAlignment="1" applyProtection="1">
      <alignment vertical="top"/>
    </xf>
    <xf numFmtId="0" fontId="102" fillId="6" borderId="0" xfId="0" applyFont="1" applyFill="1" applyAlignment="1">
      <alignment vertical="top"/>
    </xf>
    <xf numFmtId="0" fontId="103" fillId="6" borderId="0" xfId="1" applyFont="1" applyFill="1" applyAlignment="1" applyProtection="1">
      <alignment vertical="top"/>
    </xf>
    <xf numFmtId="0" fontId="100" fillId="6" borderId="0" xfId="1" applyFont="1" applyFill="1" applyBorder="1" applyAlignment="1" applyProtection="1">
      <alignment horizontal="left" vertical="center"/>
    </xf>
    <xf numFmtId="0" fontId="100" fillId="6" borderId="0" xfId="1" applyFont="1" applyFill="1" applyBorder="1" applyAlignment="1" applyProtection="1">
      <alignment horizontal="left" vertical="center" wrapText="1"/>
    </xf>
    <xf numFmtId="0" fontId="59" fillId="6" borderId="0" xfId="0" applyFont="1" applyFill="1"/>
    <xf numFmtId="0" fontId="59" fillId="6" borderId="0" xfId="0" applyFont="1" applyFill="1" applyAlignment="1">
      <alignment horizontal="left" indent="1"/>
    </xf>
    <xf numFmtId="0" fontId="63" fillId="6" borderId="0" xfId="1" applyFont="1" applyFill="1" applyBorder="1" applyAlignment="1" applyProtection="1">
      <alignment horizontal="left" vertical="center"/>
    </xf>
    <xf numFmtId="0" fontId="37" fillId="6" borderId="0" xfId="1" applyFont="1" applyFill="1" applyBorder="1" applyAlignment="1" applyProtection="1">
      <alignment horizontal="left" vertical="center"/>
    </xf>
    <xf numFmtId="2" fontId="59" fillId="6" borderId="0" xfId="0" applyNumberFormat="1" applyFont="1" applyFill="1" applyAlignment="1">
      <alignment horizontal="left" indent="1"/>
    </xf>
    <xf numFmtId="0" fontId="63" fillId="6" borderId="0" xfId="1" applyFont="1" applyFill="1" applyBorder="1" applyAlignment="1" applyProtection="1">
      <alignment horizontal="left" vertical="center" wrapText="1"/>
    </xf>
    <xf numFmtId="0" fontId="37" fillId="6" borderId="0" xfId="1" applyFont="1" applyFill="1" applyBorder="1" applyAlignment="1" applyProtection="1">
      <alignment horizontal="left" vertical="center" wrapText="1"/>
    </xf>
    <xf numFmtId="0" fontId="112" fillId="6" borderId="0" xfId="0" applyFont="1" applyFill="1"/>
    <xf numFmtId="0" fontId="63" fillId="6" borderId="0" xfId="0" applyFont="1" applyFill="1"/>
    <xf numFmtId="0" fontId="63" fillId="6" borderId="0" xfId="1" applyFont="1" applyFill="1" applyBorder="1" applyAlignment="1" applyProtection="1"/>
    <xf numFmtId="0" fontId="116" fillId="6" borderId="0" xfId="0" applyFont="1" applyFill="1"/>
    <xf numFmtId="3" fontId="59" fillId="6" borderId="0" xfId="0" applyNumberFormat="1" applyFont="1" applyFill="1" applyAlignment="1">
      <alignment horizontal="left" indent="1"/>
    </xf>
    <xf numFmtId="0" fontId="20" fillId="2" borderId="0" xfId="6" applyFont="1" applyFill="1" applyAlignment="1">
      <alignment vertical="top" wrapText="1"/>
    </xf>
    <xf numFmtId="0" fontId="116" fillId="10" borderId="0" xfId="0" applyFont="1" applyFill="1"/>
    <xf numFmtId="0" fontId="43" fillId="10" borderId="0" xfId="0" applyFont="1" applyFill="1"/>
    <xf numFmtId="0" fontId="67" fillId="39" borderId="0" xfId="0" applyFont="1" applyFill="1" applyAlignment="1">
      <alignment horizontal="right" indent="1"/>
    </xf>
    <xf numFmtId="0" fontId="67" fillId="39" borderId="0" xfId="0" applyFont="1" applyFill="1" applyAlignment="1">
      <alignment horizontal="right"/>
    </xf>
    <xf numFmtId="3" fontId="73" fillId="17" borderId="0" xfId="10" applyNumberFormat="1" applyFont="1" applyFill="1" applyBorder="1" applyAlignment="1">
      <alignment vertical="center"/>
    </xf>
    <xf numFmtId="0" fontId="46" fillId="6" borderId="0" xfId="0" applyFont="1" applyFill="1" applyAlignment="1">
      <alignment vertical="top"/>
    </xf>
    <xf numFmtId="170" fontId="22" fillId="34" borderId="0" xfId="0" applyNumberFormat="1" applyFont="1" applyFill="1" applyAlignment="1">
      <alignment vertical="center"/>
    </xf>
    <xf numFmtId="0" fontId="85" fillId="6" borderId="0" xfId="0" applyFont="1" applyFill="1" applyAlignment="1">
      <alignment horizontal="left" wrapText="1" indent="1"/>
    </xf>
    <xf numFmtId="0" fontId="85" fillId="6" borderId="0" xfId="0" applyFont="1" applyFill="1" applyAlignment="1">
      <alignment horizontal="left" indent="1"/>
    </xf>
    <xf numFmtId="0" fontId="65" fillId="7" borderId="0" xfId="0" applyFont="1" applyFill="1" applyAlignment="1">
      <alignment horizontal="right" vertical="top"/>
    </xf>
    <xf numFmtId="0" fontId="70" fillId="7" borderId="0" xfId="0" applyFont="1" applyFill="1" applyAlignment="1">
      <alignment horizontal="centerContinuous"/>
    </xf>
    <xf numFmtId="0" fontId="124" fillId="7" borderId="0" xfId="0" applyFont="1" applyFill="1" applyAlignment="1">
      <alignment horizontal="centerContinuous" vertical="top"/>
    </xf>
    <xf numFmtId="0" fontId="65" fillId="7" borderId="0" xfId="0" applyFont="1" applyFill="1" applyAlignment="1">
      <alignment horizontal="right" vertical="top" indent="1"/>
    </xf>
    <xf numFmtId="0" fontId="124" fillId="7" borderId="0" xfId="0" applyFont="1" applyFill="1" applyAlignment="1">
      <alignment horizontal="centerContinuous" vertical="center"/>
    </xf>
    <xf numFmtId="0" fontId="125" fillId="7" borderId="0" xfId="0" applyFont="1" applyFill="1" applyAlignment="1">
      <alignment horizontal="center" vertical="center"/>
    </xf>
    <xf numFmtId="0" fontId="124" fillId="7" borderId="0" xfId="0" applyFont="1" applyFill="1"/>
    <xf numFmtId="0" fontId="59" fillId="6" borderId="0" xfId="0" applyFont="1" applyFill="1" applyAlignment="1">
      <alignment horizontal="left" vertical="center" wrapText="1"/>
    </xf>
    <xf numFmtId="0" fontId="65" fillId="6" borderId="0" xfId="0" applyFont="1" applyFill="1" applyAlignment="1">
      <alignment horizontal="left"/>
    </xf>
    <xf numFmtId="0" fontId="73" fillId="6" borderId="0" xfId="0" applyFont="1" applyFill="1" applyAlignment="1">
      <alignment wrapText="1"/>
    </xf>
    <xf numFmtId="0" fontId="127" fillId="6" borderId="0" xfId="0" applyFont="1" applyFill="1" applyAlignment="1">
      <alignment wrapText="1"/>
    </xf>
    <xf numFmtId="0" fontId="70" fillId="6" borderId="0" xfId="0" applyFont="1" applyFill="1"/>
    <xf numFmtId="0" fontId="59" fillId="6" borderId="0" xfId="0" applyFont="1" applyFill="1" applyAlignment="1">
      <alignment vertical="top" wrapText="1"/>
    </xf>
    <xf numFmtId="0" fontId="126" fillId="6" borderId="0" xfId="0" applyFont="1" applyFill="1" applyAlignment="1">
      <alignment vertical="top"/>
    </xf>
    <xf numFmtId="0" fontId="126" fillId="9" borderId="0" xfId="0" applyFont="1" applyFill="1" applyAlignment="1">
      <alignment vertical="top"/>
    </xf>
    <xf numFmtId="0" fontId="128" fillId="6" borderId="0" xfId="6" applyFont="1" applyFill="1" applyAlignment="1">
      <alignment horizontal="left" wrapText="1"/>
    </xf>
    <xf numFmtId="169" fontId="22" fillId="39" borderId="0" xfId="0" applyNumberFormat="1" applyFont="1" applyFill="1" applyAlignment="1">
      <alignment horizontal="right"/>
    </xf>
    <xf numFmtId="3" fontId="73" fillId="14" borderId="35" xfId="10" applyNumberFormat="1" applyFont="1" applyFill="1" applyBorder="1" applyAlignment="1">
      <alignment horizontal="right" vertical="center"/>
    </xf>
    <xf numFmtId="0" fontId="16" fillId="14" borderId="27" xfId="0" applyFont="1" applyFill="1" applyBorder="1" applyAlignment="1">
      <alignment vertical="center"/>
    </xf>
    <xf numFmtId="0" fontId="16" fillId="14" borderId="36" xfId="0" applyFont="1" applyFill="1" applyBorder="1" applyAlignment="1">
      <alignment vertical="center"/>
    </xf>
    <xf numFmtId="3" fontId="73" fillId="17" borderId="35" xfId="10" applyNumberFormat="1" applyFont="1" applyFill="1" applyBorder="1" applyAlignment="1">
      <alignment vertical="center"/>
    </xf>
    <xf numFmtId="0" fontId="86" fillId="6" borderId="0" xfId="1" quotePrefix="1" applyFont="1" applyFill="1" applyAlignment="1" applyProtection="1">
      <alignment horizontal="left" wrapText="1" indent="2"/>
    </xf>
    <xf numFmtId="0" fontId="86" fillId="6" borderId="0" xfId="1" applyFont="1" applyFill="1" applyAlignment="1" applyProtection="1">
      <alignment horizontal="left" wrapText="1" indent="2"/>
    </xf>
    <xf numFmtId="0" fontId="16" fillId="6" borderId="0" xfId="0" applyFont="1" applyFill="1" applyAlignment="1">
      <alignment vertical="center"/>
    </xf>
    <xf numFmtId="0" fontId="83" fillId="6" borderId="0" xfId="0" applyFont="1" applyFill="1"/>
    <xf numFmtId="0" fontId="83" fillId="6" borderId="0" xfId="0" applyFont="1" applyFill="1" applyAlignment="1">
      <alignment wrapText="1"/>
    </xf>
    <xf numFmtId="0" fontId="59" fillId="10" borderId="0" xfId="0" applyFont="1" applyFill="1" applyAlignment="1">
      <alignment vertical="top"/>
    </xf>
    <xf numFmtId="0" fontId="51" fillId="10" borderId="0" xfId="0" applyFont="1" applyFill="1" applyAlignment="1">
      <alignment vertical="top"/>
    </xf>
    <xf numFmtId="0" fontId="83" fillId="6" borderId="0" xfId="0" quotePrefix="1" applyFont="1" applyFill="1" applyAlignment="1">
      <alignment horizontal="left" wrapText="1" indent="3"/>
    </xf>
    <xf numFmtId="0" fontId="85" fillId="6" borderId="0" xfId="0" applyFont="1" applyFill="1" applyAlignment="1">
      <alignment horizontal="left" wrapText="1" indent="3"/>
    </xf>
    <xf numFmtId="0" fontId="59" fillId="10" borderId="0" xfId="0" applyFont="1" applyFill="1" applyAlignment="1">
      <alignment horizontal="left" vertical="center" indent="1"/>
    </xf>
    <xf numFmtId="0" fontId="51" fillId="10" borderId="0" xfId="0" applyFont="1" applyFill="1" applyAlignment="1">
      <alignment horizontal="left" vertical="center" indent="1"/>
    </xf>
    <xf numFmtId="0" fontId="120" fillId="6" borderId="0" xfId="0" applyFont="1" applyFill="1" applyAlignment="1">
      <alignment horizontal="left"/>
    </xf>
    <xf numFmtId="0" fontId="55" fillId="8" borderId="8" xfId="0" applyFont="1" applyFill="1" applyBorder="1" applyAlignment="1">
      <alignment horizontal="left"/>
    </xf>
    <xf numFmtId="0" fontId="55" fillId="8" borderId="8" xfId="0" applyFont="1" applyFill="1" applyBorder="1" applyAlignment="1">
      <alignment horizontal="left" wrapText="1"/>
    </xf>
    <xf numFmtId="0" fontId="53" fillId="8" borderId="8" xfId="0" applyFont="1" applyFill="1" applyBorder="1" applyAlignment="1">
      <alignment horizontal="left" wrapText="1"/>
    </xf>
    <xf numFmtId="2" fontId="131" fillId="8" borderId="8" xfId="0" applyNumberFormat="1" applyFont="1" applyFill="1" applyBorder="1" applyAlignment="1">
      <alignment horizontal="center" vertical="center"/>
    </xf>
    <xf numFmtId="2" fontId="131" fillId="8" borderId="11" xfId="0" applyNumberFormat="1" applyFont="1" applyFill="1" applyBorder="1" applyAlignment="1">
      <alignment horizontal="center" vertical="center"/>
    </xf>
    <xf numFmtId="0" fontId="22" fillId="8" borderId="8" xfId="0" applyFont="1" applyFill="1" applyBorder="1" applyAlignment="1">
      <alignment horizontal="left"/>
    </xf>
    <xf numFmtId="4" fontId="22" fillId="41" borderId="37" xfId="0" applyNumberFormat="1" applyFont="1" applyFill="1" applyBorder="1" applyAlignment="1" applyProtection="1">
      <alignment horizontal="center" vertical="center"/>
      <protection locked="0"/>
    </xf>
    <xf numFmtId="0" fontId="22" fillId="8" borderId="38" xfId="0" applyFont="1" applyFill="1" applyBorder="1" applyAlignment="1">
      <alignment horizontal="right"/>
    </xf>
    <xf numFmtId="0" fontId="55" fillId="8" borderId="39" xfId="0" applyFont="1" applyFill="1" applyBorder="1" applyAlignment="1">
      <alignment horizontal="left" wrapText="1"/>
    </xf>
    <xf numFmtId="165" fontId="46" fillId="8" borderId="40" xfId="0" quotePrefix="1" applyNumberFormat="1" applyFont="1" applyFill="1" applyBorder="1" applyAlignment="1">
      <alignment horizontal="center"/>
    </xf>
    <xf numFmtId="0" fontId="16" fillId="8" borderId="40" xfId="0" applyFont="1" applyFill="1" applyBorder="1" applyAlignment="1">
      <alignment vertical="center"/>
    </xf>
    <xf numFmtId="0" fontId="55" fillId="8" borderId="40" xfId="0" applyFont="1" applyFill="1" applyBorder="1" applyAlignment="1">
      <alignment horizontal="left" wrapText="1"/>
    </xf>
    <xf numFmtId="0" fontId="53" fillId="8" borderId="0" xfId="0" applyFont="1" applyFill="1" applyAlignment="1">
      <alignment horizontal="left" wrapText="1"/>
    </xf>
    <xf numFmtId="0" fontId="16" fillId="8" borderId="0" xfId="0" applyFont="1" applyFill="1" applyAlignment="1">
      <alignment vertical="center"/>
    </xf>
    <xf numFmtId="0" fontId="22" fillId="8" borderId="0" xfId="0" applyFont="1" applyFill="1" applyAlignment="1">
      <alignment vertical="center"/>
    </xf>
    <xf numFmtId="0" fontId="57" fillId="8" borderId="0" xfId="0" applyFont="1" applyFill="1"/>
    <xf numFmtId="0" fontId="58" fillId="8" borderId="40" xfId="0" applyFont="1" applyFill="1" applyBorder="1" applyAlignment="1">
      <alignment horizontal="left" wrapText="1"/>
    </xf>
    <xf numFmtId="0" fontId="55" fillId="8" borderId="41" xfId="0" applyFont="1" applyFill="1" applyBorder="1" applyAlignment="1">
      <alignment horizontal="left" wrapText="1"/>
    </xf>
    <xf numFmtId="0" fontId="55" fillId="8" borderId="39" xfId="0" applyFont="1" applyFill="1" applyBorder="1" applyAlignment="1">
      <alignment horizontal="left"/>
    </xf>
    <xf numFmtId="165" fontId="22" fillId="8" borderId="38" xfId="0" applyNumberFormat="1" applyFont="1" applyFill="1" applyBorder="1" applyAlignment="1">
      <alignment horizontal="center"/>
    </xf>
    <xf numFmtId="0" fontId="22" fillId="8" borderId="0" xfId="0" applyFont="1" applyFill="1" applyAlignment="1">
      <alignment horizontal="left"/>
    </xf>
    <xf numFmtId="0" fontId="22" fillId="8" borderId="0" xfId="0" applyFont="1" applyFill="1"/>
    <xf numFmtId="0" fontId="22" fillId="8" borderId="40" xfId="0" applyFont="1" applyFill="1" applyBorder="1"/>
    <xf numFmtId="0" fontId="120" fillId="8" borderId="38" xfId="0" applyFont="1" applyFill="1" applyBorder="1" applyAlignment="1">
      <alignment horizontal="left"/>
    </xf>
    <xf numFmtId="0" fontId="22" fillId="8" borderId="41" xfId="0" applyFont="1" applyFill="1" applyBorder="1"/>
    <xf numFmtId="0" fontId="22" fillId="8" borderId="39" xfId="0" applyFont="1" applyFill="1" applyBorder="1"/>
    <xf numFmtId="3" fontId="22" fillId="41" borderId="37" xfId="0" applyNumberFormat="1" applyFont="1" applyFill="1" applyBorder="1" applyAlignment="1" applyProtection="1">
      <alignment horizontal="center" vertical="center"/>
      <protection locked="0"/>
    </xf>
    <xf numFmtId="0" fontId="83" fillId="6" borderId="0" xfId="0" applyFont="1" applyFill="1" applyAlignment="1">
      <alignment horizontal="left" indent="1"/>
    </xf>
    <xf numFmtId="166" fontId="134" fillId="35" borderId="0" xfId="0" applyNumberFormat="1" applyFont="1" applyFill="1" applyAlignment="1">
      <alignment horizontal="right" vertical="center"/>
    </xf>
    <xf numFmtId="167" fontId="134" fillId="35" borderId="0" xfId="0" applyNumberFormat="1" applyFont="1" applyFill="1" applyAlignment="1">
      <alignment horizontal="left" vertical="center" indent="1"/>
    </xf>
    <xf numFmtId="166" fontId="135" fillId="34" borderId="0" xfId="0" applyNumberFormat="1" applyFont="1" applyFill="1" applyAlignment="1">
      <alignment horizontal="left" indent="1"/>
    </xf>
    <xf numFmtId="167" fontId="135" fillId="34" borderId="0" xfId="0" applyNumberFormat="1" applyFont="1" applyFill="1" applyAlignment="1">
      <alignment horizontal="left" indent="2"/>
    </xf>
    <xf numFmtId="166" fontId="136" fillId="38" borderId="0" xfId="0" applyNumberFormat="1" applyFont="1" applyFill="1" applyAlignment="1">
      <alignment horizontal="right" vertical="center"/>
    </xf>
    <xf numFmtId="167" fontId="136" fillId="38" borderId="0" xfId="0" applyNumberFormat="1" applyFont="1" applyFill="1" applyAlignment="1">
      <alignment horizontal="left" vertical="center" indent="1"/>
    </xf>
    <xf numFmtId="166" fontId="102" fillId="10" borderId="0" xfId="0" applyNumberFormat="1" applyFont="1" applyFill="1" applyAlignment="1">
      <alignment horizontal="left" vertical="center" indent="1"/>
    </xf>
    <xf numFmtId="168" fontId="102" fillId="10" borderId="0" xfId="0" applyNumberFormat="1" applyFont="1" applyFill="1" applyAlignment="1">
      <alignment horizontal="right" vertical="center" indent="1"/>
    </xf>
    <xf numFmtId="2" fontId="22" fillId="6" borderId="0" xfId="0" applyNumberFormat="1" applyFont="1" applyFill="1" applyAlignment="1">
      <alignment horizontal="center"/>
    </xf>
    <xf numFmtId="2" fontId="32" fillId="6" borderId="0" xfId="0" applyNumberFormat="1" applyFont="1" applyFill="1" applyAlignment="1">
      <alignment wrapText="1"/>
    </xf>
    <xf numFmtId="2" fontId="32" fillId="10" borderId="0" xfId="0" applyNumberFormat="1" applyFont="1" applyFill="1" applyAlignment="1">
      <alignment wrapText="1"/>
    </xf>
    <xf numFmtId="0" fontId="140" fillId="39" borderId="0" xfId="1" applyFont="1" applyFill="1" applyBorder="1" applyAlignment="1" applyProtection="1"/>
    <xf numFmtId="0" fontId="59" fillId="6" borderId="0" xfId="0" applyFont="1" applyFill="1" applyAlignment="1">
      <alignment horizontal="left" vertical="top" wrapText="1" indent="1"/>
    </xf>
    <xf numFmtId="0" fontId="116" fillId="0" borderId="0" xfId="0" applyFont="1" applyAlignment="1">
      <alignment horizontal="left" vertical="top" wrapText="1" indent="1"/>
    </xf>
    <xf numFmtId="0" fontId="59" fillId="6" borderId="0" xfId="0" applyFont="1" applyFill="1" applyAlignment="1">
      <alignment horizontal="left" vertical="center" wrapText="1" indent="1"/>
    </xf>
    <xf numFmtId="0" fontId="43" fillId="0" borderId="0" xfId="0" applyFont="1" applyAlignment="1">
      <alignment horizontal="left" vertical="center" wrapText="1" indent="1"/>
    </xf>
    <xf numFmtId="0" fontId="83" fillId="6" borderId="0" xfId="0" quotePrefix="1" applyFont="1" applyFill="1" applyAlignment="1">
      <alignment horizontal="left" wrapText="1" indent="3"/>
    </xf>
    <xf numFmtId="0" fontId="85" fillId="6" borderId="0" xfId="0" applyFont="1" applyFill="1" applyAlignment="1">
      <alignment horizontal="left" wrapText="1" indent="3"/>
    </xf>
    <xf numFmtId="0" fontId="43" fillId="0" borderId="0" xfId="0" applyFont="1" applyAlignment="1">
      <alignment horizontal="left" wrapText="1" indent="3"/>
    </xf>
    <xf numFmtId="0" fontId="83" fillId="6" borderId="0" xfId="0" applyFont="1" applyFill="1" applyAlignment="1">
      <alignment horizontal="left" vertical="center" wrapText="1" indent="1"/>
    </xf>
    <xf numFmtId="0" fontId="83" fillId="6" borderId="0" xfId="1" quotePrefix="1" applyFont="1" applyFill="1" applyAlignment="1" applyProtection="1">
      <alignment horizontal="left" wrapText="1" indent="2"/>
    </xf>
    <xf numFmtId="0" fontId="83" fillId="6" borderId="0" xfId="1" applyFont="1" applyFill="1" applyAlignment="1" applyProtection="1">
      <alignment horizontal="left" wrapText="1" indent="2"/>
    </xf>
    <xf numFmtId="0" fontId="121" fillId="7" borderId="0" xfId="5" applyFont="1" applyFill="1" applyAlignment="1">
      <alignment horizontal="left"/>
    </xf>
    <xf numFmtId="0" fontId="122" fillId="7" borderId="0" xfId="0" applyFont="1" applyFill="1" applyAlignment="1">
      <alignment horizontal="left"/>
    </xf>
    <xf numFmtId="0" fontId="43" fillId="6" borderId="0" xfId="0" applyFont="1" applyFill="1" applyAlignment="1">
      <alignment horizontal="left" wrapText="1" indent="3"/>
    </xf>
    <xf numFmtId="49" fontId="123" fillId="6" borderId="0" xfId="0" applyNumberFormat="1" applyFont="1" applyFill="1" applyAlignment="1">
      <alignment horizontal="left"/>
    </xf>
    <xf numFmtId="0" fontId="83" fillId="6" borderId="0" xfId="0" applyFont="1" applyFill="1" applyAlignment="1">
      <alignment horizontal="left" wrapText="1" indent="1"/>
    </xf>
    <xf numFmtId="0" fontId="85" fillId="6" borderId="0" xfId="0" applyFont="1" applyFill="1" applyAlignment="1">
      <alignment horizontal="left" wrapText="1" indent="1"/>
    </xf>
    <xf numFmtId="0" fontId="43" fillId="0" borderId="0" xfId="0" applyFont="1" applyAlignment="1">
      <alignment horizontal="left" wrapText="1" indent="1"/>
    </xf>
    <xf numFmtId="0" fontId="51" fillId="2" borderId="2" xfId="0" applyFont="1" applyFill="1" applyBorder="1" applyAlignment="1">
      <alignment horizontal="center"/>
    </xf>
    <xf numFmtId="0" fontId="117" fillId="7" borderId="0" xfId="0" applyFont="1" applyFill="1" applyAlignment="1">
      <alignment horizontal="left" vertical="center"/>
    </xf>
    <xf numFmtId="0" fontId="59" fillId="14" borderId="0" xfId="0" applyFont="1" applyFill="1" applyAlignment="1">
      <alignment horizontal="left" vertical="center" wrapText="1" indent="1"/>
    </xf>
    <xf numFmtId="0" fontId="59" fillId="14" borderId="28" xfId="0" applyFont="1" applyFill="1" applyBorder="1" applyAlignment="1">
      <alignment horizontal="left" vertical="center" wrapText="1" indent="1"/>
    </xf>
    <xf numFmtId="2" fontId="47" fillId="6" borderId="0" xfId="0" applyNumberFormat="1" applyFont="1" applyFill="1" applyAlignment="1">
      <alignment horizontal="left" indent="2"/>
    </xf>
    <xf numFmtId="2" fontId="81" fillId="9" borderId="0" xfId="0" applyNumberFormat="1" applyFont="1" applyFill="1" applyAlignment="1">
      <alignment horizontal="left" vertical="top" wrapText="1" indent="2"/>
    </xf>
    <xf numFmtId="0" fontId="126" fillId="6" borderId="8" xfId="0" applyFont="1" applyFill="1" applyBorder="1" applyAlignment="1">
      <alignment horizontal="left" vertical="center" wrapText="1" indent="2"/>
    </xf>
    <xf numFmtId="0" fontId="126" fillId="6" borderId="0" xfId="0" applyFont="1" applyFill="1" applyAlignment="1">
      <alignment horizontal="left" vertical="center" wrapText="1" indent="2"/>
    </xf>
    <xf numFmtId="166" fontId="73" fillId="14" borderId="0" xfId="0" applyNumberFormat="1" applyFont="1" applyFill="1" applyAlignment="1">
      <alignment horizontal="right" vertical="center"/>
    </xf>
    <xf numFmtId="0" fontId="16" fillId="14" borderId="0" xfId="0" applyFont="1" applyFill="1" applyAlignment="1">
      <alignment horizontal="left" vertical="center"/>
    </xf>
    <xf numFmtId="0" fontId="61" fillId="2" borderId="0" xfId="0" applyFont="1" applyFill="1" applyAlignment="1">
      <alignment horizontal="center" vertical="top" wrapText="1"/>
    </xf>
    <xf numFmtId="0" fontId="72" fillId="0" borderId="2" xfId="0" quotePrefix="1" applyFont="1" applyBorder="1" applyAlignment="1">
      <alignment horizontal="center" vertical="top" wrapText="1"/>
    </xf>
    <xf numFmtId="0" fontId="61" fillId="0" borderId="0" xfId="0" applyFont="1" applyAlignment="1">
      <alignment horizontal="center" vertical="top" wrapText="1"/>
    </xf>
    <xf numFmtId="0" fontId="54" fillId="7" borderId="0" xfId="0" applyFont="1" applyFill="1" applyAlignment="1">
      <alignment horizontal="left" vertical="center"/>
    </xf>
    <xf numFmtId="0" fontId="59" fillId="14" borderId="0" xfId="0" applyFont="1" applyFill="1" applyAlignment="1">
      <alignment horizontal="left" vertical="center" wrapText="1"/>
    </xf>
    <xf numFmtId="0" fontId="59" fillId="14" borderId="28" xfId="0" applyFont="1" applyFill="1" applyBorder="1" applyAlignment="1">
      <alignment horizontal="left" vertical="center" wrapText="1"/>
    </xf>
    <xf numFmtId="0" fontId="16" fillId="17" borderId="0" xfId="0" applyFont="1" applyFill="1" applyAlignment="1">
      <alignment horizontal="left" vertical="center"/>
    </xf>
    <xf numFmtId="0" fontId="16" fillId="18" borderId="0" xfId="0" applyFont="1" applyFill="1" applyAlignment="1">
      <alignment horizontal="left" vertical="center"/>
    </xf>
    <xf numFmtId="0" fontId="16" fillId="19" borderId="0" xfId="0" applyFont="1" applyFill="1" applyAlignment="1">
      <alignment horizontal="left" vertical="center"/>
    </xf>
    <xf numFmtId="0" fontId="16" fillId="14" borderId="22" xfId="0" applyFont="1" applyFill="1" applyBorder="1" applyAlignment="1">
      <alignment horizontal="left" vertical="center"/>
    </xf>
    <xf numFmtId="0" fontId="16" fillId="14" borderId="18" xfId="0" applyFont="1" applyFill="1" applyBorder="1" applyAlignment="1">
      <alignment horizontal="left" vertical="center"/>
    </xf>
    <xf numFmtId="3" fontId="73" fillId="14" borderId="35" xfId="10" applyNumberFormat="1" applyFont="1" applyFill="1" applyBorder="1" applyAlignment="1">
      <alignment horizontal="right" vertical="center"/>
    </xf>
    <xf numFmtId="3" fontId="73" fillId="14" borderId="27" xfId="10" applyNumberFormat="1" applyFont="1" applyFill="1" applyBorder="1" applyAlignment="1">
      <alignment horizontal="right" vertical="center"/>
    </xf>
    <xf numFmtId="0" fontId="16" fillId="14" borderId="27" xfId="0" applyFont="1" applyFill="1" applyBorder="1" applyAlignment="1">
      <alignment horizontal="left" vertical="center"/>
    </xf>
    <xf numFmtId="0" fontId="16" fillId="14" borderId="36" xfId="0" applyFont="1" applyFill="1" applyBorder="1" applyAlignment="1">
      <alignment horizontal="left" vertical="center"/>
    </xf>
    <xf numFmtId="0" fontId="16" fillId="17" borderId="27" xfId="0" applyFont="1" applyFill="1" applyBorder="1" applyAlignment="1">
      <alignment horizontal="left" vertical="center"/>
    </xf>
    <xf numFmtId="0" fontId="16" fillId="17" borderId="25" xfId="0" applyFont="1" applyFill="1" applyBorder="1" applyAlignment="1">
      <alignment horizontal="left" vertical="center"/>
    </xf>
    <xf numFmtId="3" fontId="73" fillId="14" borderId="21" xfId="10" applyNumberFormat="1" applyFont="1" applyFill="1" applyBorder="1" applyAlignment="1">
      <alignment horizontal="right" vertical="center"/>
    </xf>
    <xf numFmtId="3" fontId="73" fillId="14" borderId="22" xfId="10" applyNumberFormat="1" applyFont="1" applyFill="1" applyBorder="1" applyAlignment="1">
      <alignment horizontal="right" vertical="center"/>
    </xf>
    <xf numFmtId="3" fontId="73" fillId="14" borderId="19" xfId="10" applyNumberFormat="1" applyFont="1" applyFill="1" applyBorder="1" applyAlignment="1">
      <alignment horizontal="right" vertical="center"/>
    </xf>
    <xf numFmtId="3" fontId="73" fillId="14" borderId="20" xfId="10" applyNumberFormat="1" applyFont="1" applyFill="1" applyBorder="1" applyAlignment="1">
      <alignment horizontal="right" vertical="center"/>
    </xf>
    <xf numFmtId="0" fontId="16" fillId="14" borderId="20" xfId="0" applyFont="1" applyFill="1" applyBorder="1" applyAlignment="1">
      <alignment horizontal="left" vertical="center"/>
    </xf>
    <xf numFmtId="0" fontId="16" fillId="14" borderId="17" xfId="0" applyFont="1" applyFill="1" applyBorder="1" applyAlignment="1">
      <alignment horizontal="left" vertical="center"/>
    </xf>
    <xf numFmtId="3" fontId="73" fillId="15" borderId="14" xfId="0" quotePrefix="1" applyNumberFormat="1" applyFont="1" applyFill="1" applyBorder="1" applyAlignment="1">
      <alignment horizontal="right" vertical="center"/>
    </xf>
    <xf numFmtId="3" fontId="73" fillId="15" borderId="0" xfId="0" applyNumberFormat="1" applyFont="1" applyFill="1" applyAlignment="1">
      <alignment horizontal="right" vertical="center"/>
    </xf>
    <xf numFmtId="3" fontId="73" fillId="16" borderId="15" xfId="0" applyNumberFormat="1" applyFont="1" applyFill="1" applyBorder="1" applyAlignment="1">
      <alignment horizontal="right" vertical="center"/>
    </xf>
    <xf numFmtId="3" fontId="73" fillId="16" borderId="0" xfId="0" applyNumberFormat="1" applyFont="1" applyFill="1" applyAlignment="1">
      <alignment horizontal="right" vertical="center"/>
    </xf>
    <xf numFmtId="0" fontId="16" fillId="16" borderId="0" xfId="0" applyFont="1" applyFill="1" applyAlignment="1">
      <alignment horizontal="left" vertical="center"/>
    </xf>
    <xf numFmtId="0" fontId="16" fillId="16" borderId="16" xfId="0" applyFont="1" applyFill="1" applyBorder="1" applyAlignment="1">
      <alignment horizontal="left" vertical="center"/>
    </xf>
    <xf numFmtId="0" fontId="0" fillId="6" borderId="0" xfId="0" applyFill="1"/>
    <xf numFmtId="9" fontId="22" fillId="41" borderId="11" xfId="7" applyFont="1" applyFill="1" applyBorder="1" applyAlignment="1" applyProtection="1">
      <alignment horizontal="center" vertical="center"/>
      <protection locked="0"/>
    </xf>
    <xf numFmtId="9" fontId="22" fillId="41" borderId="12" xfId="7" applyFont="1" applyFill="1" applyBorder="1" applyAlignment="1" applyProtection="1">
      <alignment horizontal="center" vertical="center"/>
      <protection locked="0"/>
    </xf>
    <xf numFmtId="0" fontId="22" fillId="41" borderId="11" xfId="7" applyNumberFormat="1" applyFont="1" applyFill="1" applyBorder="1" applyAlignment="1" applyProtection="1">
      <alignment horizontal="center" vertical="center"/>
      <protection locked="0"/>
    </xf>
    <xf numFmtId="0" fontId="22" fillId="41" borderId="12" xfId="7" applyNumberFormat="1" applyFont="1" applyFill="1" applyBorder="1" applyAlignment="1" applyProtection="1">
      <alignment horizontal="center" vertical="center"/>
      <protection locked="0"/>
    </xf>
    <xf numFmtId="0" fontId="22" fillId="6" borderId="0" xfId="7" applyNumberFormat="1" applyFont="1" applyFill="1" applyBorder="1" applyAlignment="1" applyProtection="1">
      <alignment horizontal="center" vertical="center"/>
    </xf>
    <xf numFmtId="0" fontId="126" fillId="6" borderId="0" xfId="0" applyFont="1" applyFill="1" applyAlignment="1">
      <alignment horizontal="left" vertical="top" wrapText="1" indent="2"/>
    </xf>
    <xf numFmtId="0" fontId="66" fillId="12" borderId="0" xfId="0" applyFont="1" applyFill="1" applyAlignment="1">
      <alignment horizontal="center" vertical="center"/>
    </xf>
    <xf numFmtId="0" fontId="50" fillId="13" borderId="0" xfId="0" applyFont="1" applyFill="1" applyAlignment="1">
      <alignment horizontal="center" vertical="center"/>
    </xf>
    <xf numFmtId="0" fontId="59" fillId="9" borderId="0" xfId="0" applyFont="1" applyFill="1" applyAlignment="1">
      <alignment horizontal="left" vertical="top" wrapText="1"/>
    </xf>
    <xf numFmtId="0" fontId="48" fillId="11" borderId="0" xfId="0" applyFont="1" applyFill="1" applyAlignment="1">
      <alignment horizontal="center" vertical="center" wrapText="1"/>
    </xf>
    <xf numFmtId="0" fontId="48" fillId="12" borderId="0" xfId="0" applyFont="1" applyFill="1" applyAlignment="1">
      <alignment horizontal="center" vertical="center"/>
    </xf>
    <xf numFmtId="0" fontId="126" fillId="8" borderId="0" xfId="0" applyFont="1" applyFill="1" applyAlignment="1">
      <alignment horizontal="center" vertical="center"/>
    </xf>
    <xf numFmtId="0" fontId="59" fillId="8" borderId="8" xfId="0" applyFont="1" applyFill="1" applyBorder="1" applyAlignment="1">
      <alignment horizontal="left" wrapText="1"/>
    </xf>
    <xf numFmtId="0" fontId="59" fillId="8" borderId="40" xfId="0" applyFont="1" applyFill="1" applyBorder="1" applyAlignment="1">
      <alignment horizontal="left" wrapText="1"/>
    </xf>
    <xf numFmtId="0" fontId="59" fillId="8" borderId="0" xfId="0" applyFont="1" applyFill="1" applyAlignment="1">
      <alignment horizontal="left" wrapText="1"/>
    </xf>
    <xf numFmtId="0" fontId="64" fillId="6" borderId="0" xfId="0" applyFont="1" applyFill="1" applyAlignment="1">
      <alignment horizontal="center"/>
    </xf>
    <xf numFmtId="0" fontId="59" fillId="6" borderId="0" xfId="0" applyFont="1" applyFill="1" applyAlignment="1">
      <alignment horizontal="left" vertical="top" wrapText="1"/>
    </xf>
    <xf numFmtId="1" fontId="73" fillId="17" borderId="0" xfId="0" applyNumberFormat="1" applyFont="1" applyFill="1" applyAlignment="1">
      <alignment horizontal="right" vertical="center"/>
    </xf>
    <xf numFmtId="0" fontId="37" fillId="9" borderId="0" xfId="1" applyFont="1" applyFill="1" applyAlignment="1" applyProtection="1">
      <alignment horizontal="left" wrapText="1"/>
    </xf>
    <xf numFmtId="0" fontId="59" fillId="6" borderId="0" xfId="0" applyFont="1" applyFill="1" applyAlignment="1">
      <alignment horizontal="left" vertical="center" wrapText="1"/>
    </xf>
    <xf numFmtId="0" fontId="54" fillId="9" borderId="0" xfId="0" applyFont="1" applyFill="1" applyAlignment="1">
      <alignment horizontal="left" vertical="center" wrapText="1"/>
    </xf>
    <xf numFmtId="0" fontId="0" fillId="0" borderId="0" xfId="0" applyAlignment="1">
      <alignment horizontal="left" wrapText="1"/>
    </xf>
    <xf numFmtId="2" fontId="16" fillId="41" borderId="4" xfId="0" applyNumberFormat="1" applyFont="1" applyFill="1" applyBorder="1" applyAlignment="1" applyProtection="1">
      <alignment horizontal="center" vertical="center"/>
      <protection locked="0"/>
    </xf>
    <xf numFmtId="2" fontId="16" fillId="41" borderId="9" xfId="0" applyNumberFormat="1" applyFont="1" applyFill="1" applyBorder="1" applyAlignment="1" applyProtection="1">
      <alignment horizontal="center" vertical="center"/>
      <protection locked="0"/>
    </xf>
    <xf numFmtId="0" fontId="16" fillId="41" borderId="5" xfId="0" applyFont="1" applyFill="1" applyBorder="1" applyAlignment="1" applyProtection="1">
      <alignment horizontal="center" vertical="center"/>
      <protection locked="0"/>
    </xf>
    <xf numFmtId="0" fontId="16" fillId="41" borderId="6" xfId="0" applyFont="1" applyFill="1" applyBorder="1" applyAlignment="1" applyProtection="1">
      <alignment horizontal="center" vertical="center"/>
      <protection locked="0"/>
    </xf>
    <xf numFmtId="0" fontId="16" fillId="41" borderId="10" xfId="0" applyFont="1" applyFill="1" applyBorder="1" applyAlignment="1" applyProtection="1">
      <alignment horizontal="center" vertical="center"/>
      <protection locked="0"/>
    </xf>
    <xf numFmtId="0" fontId="16" fillId="41" borderId="7" xfId="0" applyFont="1" applyFill="1" applyBorder="1" applyAlignment="1" applyProtection="1">
      <alignment horizontal="center" vertical="center"/>
      <protection locked="0"/>
    </xf>
    <xf numFmtId="0" fontId="126" fillId="9" borderId="0" xfId="0" applyFont="1" applyFill="1" applyAlignment="1">
      <alignment horizontal="left" vertical="top" wrapText="1" indent="2"/>
    </xf>
    <xf numFmtId="0" fontId="126" fillId="9" borderId="8" xfId="0" applyFont="1" applyFill="1" applyBorder="1" applyAlignment="1">
      <alignment horizontal="left" vertical="top" wrapText="1" indent="2"/>
    </xf>
    <xf numFmtId="0" fontId="126" fillId="9" borderId="8" xfId="0" applyFont="1" applyFill="1" applyBorder="1" applyAlignment="1">
      <alignment horizontal="left" vertical="center" wrapText="1" indent="2"/>
    </xf>
    <xf numFmtId="0" fontId="126" fillId="9" borderId="0" xfId="0" applyFont="1" applyFill="1" applyAlignment="1">
      <alignment horizontal="left" vertical="center" wrapText="1" indent="2"/>
    </xf>
    <xf numFmtId="0" fontId="59" fillId="9" borderId="0" xfId="0" applyFont="1" applyFill="1" applyAlignment="1">
      <alignment horizontal="left" wrapText="1"/>
    </xf>
    <xf numFmtId="0" fontId="59" fillId="6" borderId="0" xfId="5" applyFont="1" applyFill="1" applyAlignment="1">
      <alignment horizontal="left" wrapText="1"/>
    </xf>
    <xf numFmtId="0" fontId="20" fillId="2" borderId="2" xfId="6" applyFont="1" applyFill="1" applyBorder="1" applyAlignment="1">
      <alignment horizontal="left" wrapText="1"/>
    </xf>
    <xf numFmtId="0" fontId="141" fillId="6" borderId="0" xfId="1" applyFont="1" applyFill="1" applyAlignment="1" applyProtection="1"/>
    <xf numFmtId="0" fontId="141" fillId="0" borderId="0" xfId="1" applyFont="1" applyAlignment="1" applyProtection="1"/>
    <xf numFmtId="0" fontId="121" fillId="7" borderId="0" xfId="0" applyFont="1" applyFill="1" applyAlignment="1">
      <alignment horizontal="left" vertical="center"/>
    </xf>
    <xf numFmtId="1" fontId="108" fillId="3" borderId="0" xfId="0" applyNumberFormat="1" applyFont="1" applyFill="1" applyAlignment="1">
      <alignment horizontal="left" vertical="center" wrapText="1" indent="1"/>
    </xf>
    <xf numFmtId="1" fontId="22" fillId="15" borderId="0" xfId="0" applyNumberFormat="1" applyFont="1" applyFill="1" applyAlignment="1">
      <alignment horizontal="left" vertical="center" wrapText="1" indent="1"/>
    </xf>
    <xf numFmtId="1" fontId="108" fillId="15" borderId="0" xfId="0" applyNumberFormat="1" applyFont="1" applyFill="1" applyAlignment="1">
      <alignment horizontal="left" vertical="center" wrapText="1" indent="1"/>
    </xf>
    <xf numFmtId="0" fontId="22" fillId="39" borderId="0" xfId="0" applyFont="1" applyFill="1" applyAlignment="1">
      <alignment horizontal="center"/>
    </xf>
    <xf numFmtId="0" fontId="138" fillId="39" borderId="0" xfId="1" applyFont="1" applyFill="1" applyAlignment="1" applyProtection="1">
      <alignment horizontal="left" wrapText="1"/>
    </xf>
    <xf numFmtId="0" fontId="139" fillId="39" borderId="0" xfId="0" applyFont="1" applyFill="1" applyAlignment="1">
      <alignment horizontal="left" wrapText="1"/>
    </xf>
    <xf numFmtId="0" fontId="108" fillId="39" borderId="0" xfId="0" applyFont="1" applyFill="1" applyAlignment="1">
      <alignment horizontal="left" vertical="top" wrapText="1"/>
    </xf>
    <xf numFmtId="1" fontId="22" fillId="3" borderId="0" xfId="0" applyNumberFormat="1" applyFont="1" applyFill="1" applyAlignment="1">
      <alignment horizontal="left" vertical="center" wrapText="1" indent="1"/>
    </xf>
    <xf numFmtId="0" fontId="22" fillId="3" borderId="0" xfId="0" quotePrefix="1" applyFont="1" applyFill="1" applyAlignment="1">
      <alignment horizontal="left" vertical="center" wrapText="1" indent="1"/>
    </xf>
    <xf numFmtId="1" fontId="22" fillId="3" borderId="0" xfId="0" applyNumberFormat="1" applyFont="1" applyFill="1" applyAlignment="1">
      <alignment horizontal="left" vertical="center" wrapText="1"/>
    </xf>
    <xf numFmtId="0" fontId="67" fillId="39" borderId="0" xfId="0" applyFont="1" applyFill="1" applyAlignment="1">
      <alignment horizontal="left" vertical="center" wrapText="1"/>
    </xf>
    <xf numFmtId="0" fontId="22" fillId="39" borderId="3" xfId="0" applyFont="1" applyFill="1" applyBorder="1" applyAlignment="1">
      <alignment horizontal="center"/>
    </xf>
    <xf numFmtId="0" fontId="22" fillId="39" borderId="0" xfId="0" applyFont="1" applyFill="1" applyAlignment="1">
      <alignment horizontal="left" vertical="top" wrapText="1"/>
    </xf>
    <xf numFmtId="0" fontId="92" fillId="39" borderId="3" xfId="0" applyFont="1" applyFill="1" applyBorder="1" applyAlignment="1">
      <alignment horizontal="center"/>
    </xf>
    <xf numFmtId="0" fontId="140" fillId="39" borderId="0" xfId="1" applyFont="1" applyFill="1" applyBorder="1" applyAlignment="1" applyProtection="1">
      <alignment horizontal="left"/>
    </xf>
    <xf numFmtId="0" fontId="0" fillId="0" borderId="0" xfId="0"/>
    <xf numFmtId="0" fontId="75" fillId="39" borderId="0" xfId="0" applyFont="1" applyFill="1" applyAlignment="1">
      <alignment horizontal="center" vertical="top"/>
    </xf>
    <xf numFmtId="0" fontId="92" fillId="39" borderId="3" xfId="0" applyFont="1" applyFill="1" applyBorder="1" applyAlignment="1">
      <alignment horizontal="left"/>
    </xf>
    <xf numFmtId="0" fontId="22" fillId="39" borderId="0" xfId="0" applyFont="1" applyFill="1" applyAlignment="1">
      <alignment horizontal="left"/>
    </xf>
    <xf numFmtId="0" fontId="59" fillId="6" borderId="0" xfId="0" applyFont="1" applyFill="1" applyAlignment="1">
      <alignment horizontal="left" wrapText="1" indent="1"/>
    </xf>
    <xf numFmtId="0" fontId="129" fillId="6" borderId="0" xfId="1" applyFont="1" applyFill="1" applyBorder="1" applyAlignment="1" applyProtection="1">
      <alignment horizontal="left"/>
    </xf>
    <xf numFmtId="0" fontId="79" fillId="7" borderId="0" xfId="0" applyFont="1" applyFill="1" applyAlignment="1">
      <alignment horizontal="left"/>
    </xf>
    <xf numFmtId="0" fontId="63" fillId="6" borderId="0" xfId="1" applyFont="1" applyFill="1" applyBorder="1" applyAlignment="1" applyProtection="1">
      <alignment horizontal="left" indent="1"/>
    </xf>
    <xf numFmtId="0" fontId="59" fillId="6" borderId="0" xfId="0" applyFont="1" applyFill="1" applyAlignment="1">
      <alignment horizontal="left" indent="1"/>
    </xf>
    <xf numFmtId="0" fontId="63" fillId="6" borderId="0" xfId="1" applyFont="1" applyFill="1" applyBorder="1" applyAlignment="1" applyProtection="1"/>
    <xf numFmtId="0" fontId="59" fillId="6" borderId="0" xfId="0" applyFont="1" applyFill="1"/>
    <xf numFmtId="0" fontId="70" fillId="0" borderId="0" xfId="0" applyFont="1"/>
  </cellXfs>
  <cellStyles count="11">
    <cellStyle name="Comma" xfId="10" builtinId="3"/>
    <cellStyle name="Hyperlink" xfId="1" builtinId="8"/>
    <cellStyle name="Hyperlink 2" xfId="3" xr:uid="{00000000-0005-0000-0000-000001000000}"/>
    <cellStyle name="Hyperlink 2 2" xfId="4" xr:uid="{00000000-0005-0000-0000-000002000000}"/>
    <cellStyle name="Hyperlink 3" xfId="9" xr:uid="{FD8ED6C9-488A-4F18-90CF-259A4C765798}"/>
    <cellStyle name="Normal" xfId="0" builtinId="0"/>
    <cellStyle name="Normal 2" xfId="2" xr:uid="{00000000-0005-0000-0000-000004000000}"/>
    <cellStyle name="Normal 3" xfId="5" xr:uid="{00000000-0005-0000-0000-000005000000}"/>
    <cellStyle name="Normal 3 2" xfId="6" xr:uid="{00000000-0005-0000-0000-000006000000}"/>
    <cellStyle name="Normal 4" xfId="8" xr:uid="{8596273A-FAF7-4540-A3C0-DFC368F52690}"/>
    <cellStyle name="Percent" xfId="7" builtinId="5"/>
  </cellStyles>
  <dxfs count="95">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608C4A"/>
      </font>
      <fill>
        <patternFill patternType="solid">
          <bgColor theme="4" tint="0.7999816888943144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strike val="0"/>
        <color theme="0" tint="-0.24994659260841701"/>
      </font>
      <fill>
        <patternFill>
          <bgColor theme="4" tint="0.79998168889431442"/>
        </patternFill>
      </fill>
    </dxf>
    <dxf>
      <font>
        <strike val="0"/>
        <color theme="0" tint="-0.24994659260841701"/>
      </font>
      <fill>
        <patternFill>
          <bgColor theme="4" tint="0.7999816888943144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strike val="0"/>
        <color theme="0" tint="-0.24994659260841701"/>
      </font>
    </dxf>
    <dxf>
      <font>
        <strike val="0"/>
        <color theme="0" tint="-0.24994659260841701"/>
      </font>
      <fill>
        <patternFill>
          <bgColor theme="4" tint="0.79998168889431442"/>
        </patternFill>
      </fill>
    </dxf>
    <dxf>
      <font>
        <strike val="0"/>
        <color theme="0" tint="-0.24994659260841701"/>
      </font>
    </dxf>
    <dxf>
      <font>
        <strike val="0"/>
        <color theme="0" tint="-0.24994659260841701"/>
      </font>
    </dxf>
    <dxf>
      <font>
        <strike val="0"/>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strike val="0"/>
        <color theme="0" tint="-0.24994659260841701"/>
      </font>
      <fill>
        <patternFill>
          <bgColor theme="4" tint="0.79998168889431442"/>
        </patternFill>
      </fill>
    </dxf>
    <dxf>
      <font>
        <strike val="0"/>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
      <font>
        <color theme="0" tint="-0.24994659260841701"/>
      </font>
      <fill>
        <patternFill>
          <bgColor theme="4" tint="0.79998168889431442"/>
        </patternFill>
      </fill>
    </dxf>
  </dxfs>
  <tableStyles count="1" defaultTableStyle="TableStyleMedium2" defaultPivotStyle="PivotStyleLight16">
    <tableStyle name="MySqlDefault" pivot="0" table="0" count="0" xr9:uid="{00000000-0011-0000-FFFF-FFFF00000000}"/>
  </tableStyles>
  <colors>
    <mruColors>
      <color rgb="FF194C65"/>
      <color rgb="FF2B86B3"/>
      <color rgb="FFFAF0F0"/>
      <color rgb="FFFEF4EC"/>
      <color rgb="FFFFFFF5"/>
      <color rgb="FF9FBBC9"/>
      <color rgb="FFB1C8D3"/>
      <color rgb="FFC7D7DF"/>
      <color rgb="FFA6D3EA"/>
      <color rgb="FFB1C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2 Emission Factors'!A1"/><Relationship Id="rId2" Type="http://schemas.openxmlformats.org/officeDocument/2006/relationships/hyperlink" Target="#Equivalencies!A1"/><Relationship Id="rId1" Type="http://schemas.openxmlformats.org/officeDocument/2006/relationships/hyperlink" Target="#'Calculations and References'!A1"/><Relationship Id="rId4" Type="http://schemas.openxmlformats.org/officeDocument/2006/relationships/hyperlink" Target="#Tool!F2"/></Relationships>
</file>

<file path=xl/drawings/_rels/drawing2.xml.rels><?xml version="1.0" encoding="UTF-8" standalone="yes"?>
<Relationships xmlns="http://schemas.openxmlformats.org/package/2006/relationships"><Relationship Id="rId3" Type="http://schemas.openxmlformats.org/officeDocument/2006/relationships/hyperlink" Target="#'Calculations and References'!A1"/><Relationship Id="rId2" Type="http://schemas.openxmlformats.org/officeDocument/2006/relationships/hyperlink" Target="#'Calculations and References'!B79"/><Relationship Id="rId1" Type="http://schemas.openxmlformats.org/officeDocument/2006/relationships/hyperlink" Target="#'CO2 Emission Factors'!A1"/><Relationship Id="rId5" Type="http://schemas.openxmlformats.org/officeDocument/2006/relationships/image" Target="../media/image1.png"/><Relationship Id="rId4" Type="http://schemas.openxmlformats.org/officeDocument/2006/relationships/hyperlink" Target="#Equivalencies!A1"/></Relationships>
</file>

<file path=xl/drawings/_rels/drawing3.xml.rels><?xml version="1.0" encoding="UTF-8" standalone="yes"?>
<Relationships xmlns="http://schemas.openxmlformats.org/package/2006/relationships"><Relationship Id="rId2" Type="http://schemas.openxmlformats.org/officeDocument/2006/relationships/hyperlink" Target="#Tool!F2"/><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3" Type="http://schemas.openxmlformats.org/officeDocument/2006/relationships/hyperlink" Target="#'Calculations and References'!A57"/><Relationship Id="rId2" Type="http://schemas.openxmlformats.org/officeDocument/2006/relationships/hyperlink" Target="#Tool!F2"/><Relationship Id="rId1" Type="http://schemas.openxmlformats.org/officeDocument/2006/relationships/hyperlink" Target="#Tool!J44"/><Relationship Id="rId4" Type="http://schemas.openxmlformats.org/officeDocument/2006/relationships/hyperlink" Target="#'Calculations and References'!B79"/></Relationships>
</file>

<file path=xl/drawings/_rels/drawing5.xml.rels><?xml version="1.0" encoding="UTF-8" standalone="yes"?>
<Relationships xmlns="http://schemas.openxmlformats.org/package/2006/relationships"><Relationship Id="rId1" Type="http://schemas.openxmlformats.org/officeDocument/2006/relationships/hyperlink" Target="#Tool!F2"/></Relationships>
</file>

<file path=xl/drawings/drawing1.xml><?xml version="1.0" encoding="utf-8"?>
<xdr:wsDr xmlns:xdr="http://schemas.openxmlformats.org/drawingml/2006/spreadsheetDrawing" xmlns:a="http://schemas.openxmlformats.org/drawingml/2006/main">
  <xdr:twoCellAnchor>
    <xdr:from>
      <xdr:col>5</xdr:col>
      <xdr:colOff>186054</xdr:colOff>
      <xdr:row>2</xdr:row>
      <xdr:rowOff>85725</xdr:rowOff>
    </xdr:from>
    <xdr:to>
      <xdr:col>9</xdr:col>
      <xdr:colOff>292734</xdr:colOff>
      <xdr:row>4</xdr:row>
      <xdr:rowOff>144780</xdr:rowOff>
    </xdr:to>
    <xdr:sp macro="" textlink="">
      <xdr:nvSpPr>
        <xdr:cNvPr id="3" name="3cLinkButton">
          <a:hlinkClick xmlns:r="http://schemas.openxmlformats.org/officeDocument/2006/relationships" r:id="rId1"/>
          <a:extLst>
            <a:ext uri="{FF2B5EF4-FFF2-40B4-BE49-F238E27FC236}">
              <a16:creationId xmlns:a16="http://schemas.microsoft.com/office/drawing/2014/main" id="{242F7737-87CA-4173-82A7-10BCD8446983}"/>
            </a:ext>
          </a:extLst>
        </xdr:cNvPr>
        <xdr:cNvSpPr/>
      </xdr:nvSpPr>
      <xdr:spPr>
        <a:xfrm>
          <a:off x="3138804" y="609600"/>
          <a:ext cx="2468880" cy="440055"/>
        </a:xfrm>
        <a:prstGeom prst="roundRect">
          <a:avLst>
            <a:gd name="adj" fmla="val 12442"/>
          </a:avLst>
        </a:prstGeom>
        <a:solidFill>
          <a:srgbClr val="B1C8D3"/>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0" u="sng" cap="none" baseline="0">
              <a:solidFill>
                <a:srgbClr val="25749B"/>
              </a:solidFill>
              <a:latin typeface="+mn-lt"/>
              <a:ea typeface="+mn-ea"/>
              <a:cs typeface="+mn-cs"/>
            </a:rPr>
            <a:t>Calculations and References</a:t>
          </a:r>
        </a:p>
      </xdr:txBody>
    </xdr:sp>
    <xdr:clientData/>
  </xdr:twoCellAnchor>
  <xdr:twoCellAnchor>
    <xdr:from>
      <xdr:col>9</xdr:col>
      <xdr:colOff>381000</xdr:colOff>
      <xdr:row>2</xdr:row>
      <xdr:rowOff>85725</xdr:rowOff>
    </xdr:from>
    <xdr:to>
      <xdr:col>14</xdr:col>
      <xdr:colOff>552450</xdr:colOff>
      <xdr:row>4</xdr:row>
      <xdr:rowOff>144780</xdr:rowOff>
    </xdr:to>
    <xdr:sp macro="" textlink="">
      <xdr:nvSpPr>
        <xdr:cNvPr id="4" name="3cLinkButton">
          <a:hlinkClick xmlns:r="http://schemas.openxmlformats.org/officeDocument/2006/relationships" r:id="rId2"/>
          <a:extLst>
            <a:ext uri="{FF2B5EF4-FFF2-40B4-BE49-F238E27FC236}">
              <a16:creationId xmlns:a16="http://schemas.microsoft.com/office/drawing/2014/main" id="{33C4F741-2CE8-4452-8ED3-FED702FA0C81}"/>
            </a:ext>
          </a:extLst>
        </xdr:cNvPr>
        <xdr:cNvSpPr/>
      </xdr:nvSpPr>
      <xdr:spPr>
        <a:xfrm>
          <a:off x="5695950" y="609600"/>
          <a:ext cx="3124200" cy="440055"/>
        </a:xfrm>
        <a:prstGeom prst="roundRect">
          <a:avLst>
            <a:gd name="adj" fmla="val 12442"/>
          </a:avLst>
        </a:prstGeom>
        <a:solidFill>
          <a:srgbClr val="B1C8D3"/>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0" u="sng" cap="none" baseline="0">
              <a:solidFill>
                <a:srgbClr val="25749B"/>
              </a:solidFill>
              <a:latin typeface="+mn-lt"/>
              <a:ea typeface="+mn-ea"/>
              <a:cs typeface="+mn-cs"/>
            </a:rPr>
            <a:t>Environmental and Energy Benefit Equivalencies</a:t>
          </a:r>
        </a:p>
      </xdr:txBody>
    </xdr:sp>
    <xdr:clientData/>
  </xdr:twoCellAnchor>
  <xdr:twoCellAnchor>
    <xdr:from>
      <xdr:col>2</xdr:col>
      <xdr:colOff>135890</xdr:colOff>
      <xdr:row>2</xdr:row>
      <xdr:rowOff>85725</xdr:rowOff>
    </xdr:from>
    <xdr:to>
      <xdr:col>5</xdr:col>
      <xdr:colOff>97789</xdr:colOff>
      <xdr:row>4</xdr:row>
      <xdr:rowOff>144780</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5C73C9FC-60A2-4076-B177-B679F4D19B2D}"/>
            </a:ext>
          </a:extLst>
        </xdr:cNvPr>
        <xdr:cNvSpPr/>
      </xdr:nvSpPr>
      <xdr:spPr>
        <a:xfrm>
          <a:off x="1316990" y="609600"/>
          <a:ext cx="1733549" cy="440055"/>
        </a:xfrm>
        <a:prstGeom prst="roundRect">
          <a:avLst>
            <a:gd name="adj" fmla="val 12442"/>
          </a:avLst>
        </a:prstGeom>
        <a:solidFill>
          <a:srgbClr val="B1C8D3"/>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CO</a:t>
          </a:r>
          <a:r>
            <a:rPr lang="en-US" sz="1100" b="0" u="none" cap="none" baseline="-25000">
              <a:solidFill>
                <a:srgbClr val="2B86B3"/>
              </a:solidFill>
            </a:rPr>
            <a:t>2</a:t>
          </a:r>
          <a:r>
            <a:rPr lang="en-US" sz="1100" b="0" u="sng" cap="none" baseline="0">
              <a:solidFill>
                <a:srgbClr val="2B86B3"/>
              </a:solidFill>
            </a:rPr>
            <a:t> Emission Factors</a:t>
          </a:r>
        </a:p>
      </xdr:txBody>
    </xdr:sp>
    <xdr:clientData/>
  </xdr:twoCellAnchor>
  <xdr:twoCellAnchor>
    <xdr:from>
      <xdr:col>0</xdr:col>
      <xdr:colOff>85725</xdr:colOff>
      <xdr:row>2</xdr:row>
      <xdr:rowOff>85725</xdr:rowOff>
    </xdr:from>
    <xdr:to>
      <xdr:col>2</xdr:col>
      <xdr:colOff>47625</xdr:colOff>
      <xdr:row>4</xdr:row>
      <xdr:rowOff>144780</xdr:rowOff>
    </xdr:to>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FEBA32DA-6AC5-4E87-ACBC-90F1E904B3C1}"/>
            </a:ext>
          </a:extLst>
        </xdr:cNvPr>
        <xdr:cNvSpPr/>
      </xdr:nvSpPr>
      <xdr:spPr>
        <a:xfrm>
          <a:off x="85725" y="609600"/>
          <a:ext cx="1143000" cy="440055"/>
        </a:xfrm>
        <a:prstGeom prst="roundRect">
          <a:avLst>
            <a:gd name="adj" fmla="val 12442"/>
          </a:avLst>
        </a:prstGeom>
        <a:solidFill>
          <a:srgbClr val="B1C8D3"/>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Tool</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161924</xdr:colOff>
      <xdr:row>11</xdr:row>
      <xdr:rowOff>85725</xdr:rowOff>
    </xdr:from>
    <xdr:to>
      <xdr:col>7</xdr:col>
      <xdr:colOff>819149</xdr:colOff>
      <xdr:row>14</xdr:row>
      <xdr:rowOff>0</xdr:rowOff>
    </xdr:to>
    <xdr:sp macro="" textlink="">
      <xdr:nvSpPr>
        <xdr:cNvPr id="7" name="Rectangle: Rounded Corners 6">
          <a:extLst>
            <a:ext uri="{FF2B5EF4-FFF2-40B4-BE49-F238E27FC236}">
              <a16:creationId xmlns:a16="http://schemas.microsoft.com/office/drawing/2014/main" id="{7E85CB00-4204-452A-8A93-13A2BC58F628}"/>
            </a:ext>
          </a:extLst>
        </xdr:cNvPr>
        <xdr:cNvSpPr/>
      </xdr:nvSpPr>
      <xdr:spPr>
        <a:xfrm>
          <a:off x="3200399" y="2495550"/>
          <a:ext cx="657225" cy="400050"/>
        </a:xfrm>
        <a:prstGeom prst="roundRect">
          <a:avLst>
            <a:gd name="adj" fmla="val 12442"/>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cap="small" baseline="0">
              <a:solidFill>
                <a:srgbClr val="2B86B3"/>
              </a:solidFill>
            </a:rPr>
            <a:t>- OR -</a:t>
          </a:r>
        </a:p>
      </xdr:txBody>
    </xdr:sp>
    <xdr:clientData/>
  </xdr:twoCellAnchor>
  <xdr:twoCellAnchor>
    <xdr:from>
      <xdr:col>12</xdr:col>
      <xdr:colOff>99059</xdr:colOff>
      <xdr:row>11</xdr:row>
      <xdr:rowOff>93345</xdr:rowOff>
    </xdr:from>
    <xdr:to>
      <xdr:col>13</xdr:col>
      <xdr:colOff>315467</xdr:colOff>
      <xdr:row>14</xdr:row>
      <xdr:rowOff>7620</xdr:rowOff>
    </xdr:to>
    <xdr:sp macro="" textlink="">
      <xdr:nvSpPr>
        <xdr:cNvPr id="8" name="Rectangle: Rounded Corners 7">
          <a:extLst>
            <a:ext uri="{FF2B5EF4-FFF2-40B4-BE49-F238E27FC236}">
              <a16:creationId xmlns:a16="http://schemas.microsoft.com/office/drawing/2014/main" id="{5C8A279D-09D7-4381-8E63-EEC680A7FED1}"/>
            </a:ext>
          </a:extLst>
        </xdr:cNvPr>
        <xdr:cNvSpPr/>
      </xdr:nvSpPr>
      <xdr:spPr>
        <a:xfrm>
          <a:off x="7018019" y="2752725"/>
          <a:ext cx="688848" cy="417195"/>
        </a:xfrm>
        <a:prstGeom prst="roundRect">
          <a:avLst>
            <a:gd name="adj" fmla="val 12442"/>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cap="small" baseline="0">
              <a:solidFill>
                <a:srgbClr val="2B86B3"/>
              </a:solidFill>
            </a:rPr>
            <a:t>- OR -</a:t>
          </a:r>
        </a:p>
      </xdr:txBody>
    </xdr:sp>
    <xdr:clientData/>
  </xdr:twoCellAnchor>
  <xdr:twoCellAnchor>
    <xdr:from>
      <xdr:col>12</xdr:col>
      <xdr:colOff>238125</xdr:colOff>
      <xdr:row>25</xdr:row>
      <xdr:rowOff>152400</xdr:rowOff>
    </xdr:from>
    <xdr:to>
      <xdr:col>17</xdr:col>
      <xdr:colOff>1</xdr:colOff>
      <xdr:row>28</xdr:row>
      <xdr:rowOff>59436</xdr:rowOff>
    </xdr:to>
    <xdr:sp macro="" textlink="">
      <xdr:nvSpPr>
        <xdr:cNvPr id="10" name="Rectangle: Rounded Corners 9">
          <a:hlinkClick xmlns:r="http://schemas.openxmlformats.org/officeDocument/2006/relationships" r:id="rId1"/>
          <a:extLst>
            <a:ext uri="{FF2B5EF4-FFF2-40B4-BE49-F238E27FC236}">
              <a16:creationId xmlns:a16="http://schemas.microsoft.com/office/drawing/2014/main" id="{B4B268CC-1065-4229-92B9-3D32808A1919}"/>
            </a:ext>
          </a:extLst>
        </xdr:cNvPr>
        <xdr:cNvSpPr/>
      </xdr:nvSpPr>
      <xdr:spPr>
        <a:xfrm>
          <a:off x="6819900" y="4886325"/>
          <a:ext cx="3133726" cy="478536"/>
        </a:xfrm>
        <a:prstGeom prst="roundRect">
          <a:avLst>
            <a:gd name="adj" fmla="val 12442"/>
          </a:avLst>
        </a:prstGeom>
        <a:solidFill>
          <a:srgbClr val="C7D7DF"/>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View map and names </a:t>
          </a:r>
        </a:p>
        <a:p>
          <a:pPr algn="ctr"/>
          <a:r>
            <a:rPr lang="en-US" sz="1100" b="0" u="sng" cap="none" baseline="0">
              <a:solidFill>
                <a:srgbClr val="2B86B3"/>
              </a:solidFill>
            </a:rPr>
            <a:t>of EPA's AVERT regions</a:t>
          </a:r>
        </a:p>
      </xdr:txBody>
    </xdr:sp>
    <xdr:clientData/>
  </xdr:twoCellAnchor>
  <xdr:twoCellAnchor>
    <xdr:from>
      <xdr:col>12</xdr:col>
      <xdr:colOff>219076</xdr:colOff>
      <xdr:row>45</xdr:row>
      <xdr:rowOff>28575</xdr:rowOff>
    </xdr:from>
    <xdr:to>
      <xdr:col>17</xdr:col>
      <xdr:colOff>2</xdr:colOff>
      <xdr:row>47</xdr:row>
      <xdr:rowOff>115443</xdr:rowOff>
    </xdr:to>
    <xdr:sp macro="" textlink="">
      <xdr:nvSpPr>
        <xdr:cNvPr id="19" name="3cLinkButton">
          <a:hlinkClick xmlns:r="http://schemas.openxmlformats.org/officeDocument/2006/relationships" r:id="rId2"/>
          <a:extLst>
            <a:ext uri="{FF2B5EF4-FFF2-40B4-BE49-F238E27FC236}">
              <a16:creationId xmlns:a16="http://schemas.microsoft.com/office/drawing/2014/main" id="{343D6069-E254-4120-A6D5-09C0EFAFA748}"/>
            </a:ext>
          </a:extLst>
        </xdr:cNvPr>
        <xdr:cNvSpPr/>
      </xdr:nvSpPr>
      <xdr:spPr>
        <a:xfrm>
          <a:off x="7092316" y="9119235"/>
          <a:ext cx="3392806" cy="475488"/>
        </a:xfrm>
        <a:prstGeom prst="roundRect">
          <a:avLst>
            <a:gd name="adj" fmla="val 12442"/>
          </a:avLst>
        </a:prstGeom>
        <a:solidFill>
          <a:srgbClr val="C7D7DF"/>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0" u="sng" cap="none" baseline="0">
              <a:solidFill>
                <a:srgbClr val="2B86B3"/>
              </a:solidFill>
              <a:latin typeface="+mn-lt"/>
              <a:ea typeface="+mn-ea"/>
              <a:cs typeface="+mn-cs"/>
            </a:rPr>
            <a:t>View typical ranges in </a:t>
          </a:r>
        </a:p>
        <a:p>
          <a:pPr marL="0" indent="0" algn="ctr"/>
          <a:r>
            <a:rPr lang="en-US" sz="1100" b="0" u="sng" cap="none" baseline="0">
              <a:solidFill>
                <a:srgbClr val="2B86B3"/>
              </a:solidFill>
              <a:latin typeface="+mn-lt"/>
              <a:ea typeface="+mn-ea"/>
              <a:cs typeface="+mn-cs"/>
            </a:rPr>
            <a:t>Calculations and References tab</a:t>
          </a:r>
        </a:p>
      </xdr:txBody>
    </xdr:sp>
    <xdr:clientData/>
  </xdr:twoCellAnchor>
  <xdr:twoCellAnchor>
    <xdr:from>
      <xdr:col>10</xdr:col>
      <xdr:colOff>114301</xdr:colOff>
      <xdr:row>68</xdr:row>
      <xdr:rowOff>95249</xdr:rowOff>
    </xdr:from>
    <xdr:to>
      <xdr:col>14</xdr:col>
      <xdr:colOff>754381</xdr:colOff>
      <xdr:row>71</xdr:row>
      <xdr:rowOff>0</xdr:rowOff>
    </xdr:to>
    <xdr:sp macro="" textlink="">
      <xdr:nvSpPr>
        <xdr:cNvPr id="20" name="3cLinkButton">
          <a:hlinkClick xmlns:r="http://schemas.openxmlformats.org/officeDocument/2006/relationships" r:id="rId3"/>
          <a:extLst>
            <a:ext uri="{FF2B5EF4-FFF2-40B4-BE49-F238E27FC236}">
              <a16:creationId xmlns:a16="http://schemas.microsoft.com/office/drawing/2014/main" id="{3237C9C5-3645-4627-BDF3-2E1AB5355CF5}"/>
            </a:ext>
          </a:extLst>
        </xdr:cNvPr>
        <xdr:cNvSpPr/>
      </xdr:nvSpPr>
      <xdr:spPr>
        <a:xfrm>
          <a:off x="5857876" y="14868524"/>
          <a:ext cx="2468880" cy="447676"/>
        </a:xfrm>
        <a:prstGeom prst="roundRect">
          <a:avLst>
            <a:gd name="adj" fmla="val 12442"/>
          </a:avLst>
        </a:prstGeom>
        <a:solidFill>
          <a:srgbClr val="B1C8D3"/>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0" u="sng" cap="none" baseline="0">
              <a:solidFill>
                <a:srgbClr val="25749B"/>
              </a:solidFill>
              <a:latin typeface="+mn-lt"/>
              <a:ea typeface="+mn-ea"/>
              <a:cs typeface="+mn-cs"/>
            </a:rPr>
            <a:t>View Calculations and References</a:t>
          </a:r>
        </a:p>
      </xdr:txBody>
    </xdr:sp>
    <xdr:clientData/>
  </xdr:twoCellAnchor>
  <xdr:twoCellAnchor>
    <xdr:from>
      <xdr:col>15</xdr:col>
      <xdr:colOff>114301</xdr:colOff>
      <xdr:row>68</xdr:row>
      <xdr:rowOff>95249</xdr:rowOff>
    </xdr:from>
    <xdr:to>
      <xdr:col>20</xdr:col>
      <xdr:colOff>1906</xdr:colOff>
      <xdr:row>71</xdr:row>
      <xdr:rowOff>0</xdr:rowOff>
    </xdr:to>
    <xdr:sp macro="" textlink="">
      <xdr:nvSpPr>
        <xdr:cNvPr id="21" name="3cLinkButton">
          <a:hlinkClick xmlns:r="http://schemas.openxmlformats.org/officeDocument/2006/relationships" r:id="rId4"/>
          <a:extLst>
            <a:ext uri="{FF2B5EF4-FFF2-40B4-BE49-F238E27FC236}">
              <a16:creationId xmlns:a16="http://schemas.microsoft.com/office/drawing/2014/main" id="{5AE5D1BD-6B4B-41AC-A8D2-2E393DC78687}"/>
            </a:ext>
          </a:extLst>
        </xdr:cNvPr>
        <xdr:cNvSpPr/>
      </xdr:nvSpPr>
      <xdr:spPr>
        <a:xfrm>
          <a:off x="8543926" y="14868524"/>
          <a:ext cx="2468880" cy="447676"/>
        </a:xfrm>
        <a:prstGeom prst="roundRect">
          <a:avLst>
            <a:gd name="adj" fmla="val 12442"/>
          </a:avLst>
        </a:prstGeom>
        <a:solidFill>
          <a:srgbClr val="B1C8D3"/>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en-US" sz="1100" b="0" u="sng" cap="none" baseline="0">
              <a:solidFill>
                <a:srgbClr val="25749B"/>
              </a:solidFill>
              <a:latin typeface="+mn-lt"/>
              <a:ea typeface="+mn-ea"/>
              <a:cs typeface="+mn-cs"/>
            </a:rPr>
            <a:t>View Equivalencies</a:t>
          </a:r>
        </a:p>
      </xdr:txBody>
    </xdr:sp>
    <xdr:clientData/>
  </xdr:twoCellAnchor>
  <xdr:twoCellAnchor editAs="oneCell">
    <xdr:from>
      <xdr:col>1</xdr:col>
      <xdr:colOff>17733</xdr:colOff>
      <xdr:row>0</xdr:row>
      <xdr:rowOff>76200</xdr:rowOff>
    </xdr:from>
    <xdr:to>
      <xdr:col>4</xdr:col>
      <xdr:colOff>0</xdr:colOff>
      <xdr:row>3</xdr:row>
      <xdr:rowOff>171035</xdr:rowOff>
    </xdr:to>
    <xdr:pic>
      <xdr:nvPicPr>
        <xdr:cNvPr id="3" name="Picture 2">
          <a:extLst>
            <a:ext uri="{FF2B5EF4-FFF2-40B4-BE49-F238E27FC236}">
              <a16:creationId xmlns:a16="http://schemas.microsoft.com/office/drawing/2014/main" id="{1D6DD867-FB59-440B-8F55-DAC43E5B049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84433" y="76200"/>
          <a:ext cx="944292" cy="8682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271501</xdr:colOff>
      <xdr:row>6</xdr:row>
      <xdr:rowOff>14061</xdr:rowOff>
    </xdr:from>
    <xdr:to>
      <xdr:col>17</xdr:col>
      <xdr:colOff>320416</xdr:colOff>
      <xdr:row>23</xdr:row>
      <xdr:rowOff>1</xdr:rowOff>
    </xdr:to>
    <xdr:pic>
      <xdr:nvPicPr>
        <xdr:cNvPr id="3" name="Picture 2">
          <a:extLst>
            <a:ext uri="{FF2B5EF4-FFF2-40B4-BE49-F238E27FC236}">
              <a16:creationId xmlns:a16="http://schemas.microsoft.com/office/drawing/2014/main" id="{1790E01A-7C25-471C-A65D-FEF76CBB89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05276" y="3100161"/>
          <a:ext cx="5668665" cy="3395890"/>
        </a:xfrm>
        <a:prstGeom prst="rect">
          <a:avLst/>
        </a:prstGeom>
        <a:ln w="12700">
          <a:noFill/>
        </a:ln>
      </xdr:spPr>
    </xdr:pic>
    <xdr:clientData/>
  </xdr:twoCellAnchor>
  <xdr:twoCellAnchor>
    <xdr:from>
      <xdr:col>1</xdr:col>
      <xdr:colOff>28575</xdr:colOff>
      <xdr:row>1</xdr:row>
      <xdr:rowOff>114300</xdr:rowOff>
    </xdr:from>
    <xdr:to>
      <xdr:col>8</xdr:col>
      <xdr:colOff>57150</xdr:colOff>
      <xdr:row>2</xdr:row>
      <xdr:rowOff>200025</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8FE2902A-5BFC-417A-BEA6-B7A1B94A9701}"/>
            </a:ext>
          </a:extLst>
        </xdr:cNvPr>
        <xdr:cNvSpPr/>
      </xdr:nvSpPr>
      <xdr:spPr>
        <a:xfrm>
          <a:off x="314325" y="409575"/>
          <a:ext cx="2924175" cy="352425"/>
        </a:xfrm>
        <a:prstGeom prst="roundRect">
          <a:avLst>
            <a:gd name="adj" fmla="val 12442"/>
          </a:avLst>
        </a:prstGeom>
        <a:solidFill>
          <a:srgbClr val="C7D7DF"/>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Return to Tool</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9525</xdr:colOff>
      <xdr:row>70</xdr:row>
      <xdr:rowOff>66675</xdr:rowOff>
    </xdr:from>
    <xdr:to>
      <xdr:col>14</xdr:col>
      <xdr:colOff>200025</xdr:colOff>
      <xdr:row>74</xdr:row>
      <xdr:rowOff>95250</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836D76C8-F0AF-45A8-BBBA-60CD7F229628}"/>
            </a:ext>
          </a:extLst>
        </xdr:cNvPr>
        <xdr:cNvSpPr/>
      </xdr:nvSpPr>
      <xdr:spPr>
        <a:xfrm>
          <a:off x="4476750" y="15706725"/>
          <a:ext cx="2095500" cy="819150"/>
        </a:xfrm>
        <a:prstGeom prst="roundRect">
          <a:avLst>
            <a:gd name="adj" fmla="val 12442"/>
          </a:avLst>
        </a:prstGeom>
        <a:solidFill>
          <a:srgbClr val="C7D7DF"/>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Return to Tool</a:t>
          </a:r>
        </a:p>
      </xdr:txBody>
    </xdr:sp>
    <xdr:clientData/>
  </xdr:twoCellAnchor>
  <xdr:twoCellAnchor>
    <xdr:from>
      <xdr:col>1</xdr:col>
      <xdr:colOff>47625</xdr:colOff>
      <xdr:row>1</xdr:row>
      <xdr:rowOff>171449</xdr:rowOff>
    </xdr:from>
    <xdr:to>
      <xdr:col>7</xdr:col>
      <xdr:colOff>66675</xdr:colOff>
      <xdr:row>3</xdr:row>
      <xdr:rowOff>60959</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EB9E6598-1264-49DA-A784-1363D4A04BC3}"/>
            </a:ext>
          </a:extLst>
        </xdr:cNvPr>
        <xdr:cNvSpPr/>
      </xdr:nvSpPr>
      <xdr:spPr>
        <a:xfrm>
          <a:off x="171450" y="581024"/>
          <a:ext cx="3200400" cy="365760"/>
        </a:xfrm>
        <a:prstGeom prst="roundRect">
          <a:avLst>
            <a:gd name="adj" fmla="val 12442"/>
          </a:avLst>
        </a:prstGeom>
        <a:solidFill>
          <a:srgbClr val="C7D7DF"/>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Return to Tool</a:t>
          </a:r>
        </a:p>
      </xdr:txBody>
    </xdr:sp>
    <xdr:clientData/>
  </xdr:twoCellAnchor>
  <xdr:twoCellAnchor>
    <xdr:from>
      <xdr:col>7</xdr:col>
      <xdr:colOff>476250</xdr:colOff>
      <xdr:row>1</xdr:row>
      <xdr:rowOff>171449</xdr:rowOff>
    </xdr:from>
    <xdr:to>
      <xdr:col>16</xdr:col>
      <xdr:colOff>9525</xdr:colOff>
      <xdr:row>3</xdr:row>
      <xdr:rowOff>60959</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DF731903-0EF9-44F5-A370-D2AB98C6F240}"/>
            </a:ext>
          </a:extLst>
        </xdr:cNvPr>
        <xdr:cNvSpPr/>
      </xdr:nvSpPr>
      <xdr:spPr>
        <a:xfrm>
          <a:off x="3781425" y="581024"/>
          <a:ext cx="3200400" cy="365760"/>
        </a:xfrm>
        <a:prstGeom prst="roundRect">
          <a:avLst>
            <a:gd name="adj" fmla="val 12442"/>
          </a:avLst>
        </a:prstGeom>
        <a:solidFill>
          <a:srgbClr val="C7D7DF"/>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Factors Used in Calculations</a:t>
          </a:r>
        </a:p>
      </xdr:txBody>
    </xdr:sp>
    <xdr:clientData/>
  </xdr:twoCellAnchor>
  <xdr:twoCellAnchor>
    <xdr:from>
      <xdr:col>16</xdr:col>
      <xdr:colOff>419099</xdr:colOff>
      <xdr:row>1</xdr:row>
      <xdr:rowOff>171449</xdr:rowOff>
    </xdr:from>
    <xdr:to>
      <xdr:col>21</xdr:col>
      <xdr:colOff>666749</xdr:colOff>
      <xdr:row>3</xdr:row>
      <xdr:rowOff>60959</xdr:rowOff>
    </xdr:to>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6C0CECFA-D7E4-4B44-9A4F-BE7160D767F2}"/>
            </a:ext>
          </a:extLst>
        </xdr:cNvPr>
        <xdr:cNvSpPr/>
      </xdr:nvSpPr>
      <xdr:spPr>
        <a:xfrm>
          <a:off x="7391399" y="581024"/>
          <a:ext cx="3200400" cy="365760"/>
        </a:xfrm>
        <a:prstGeom prst="roundRect">
          <a:avLst>
            <a:gd name="adj" fmla="val 12442"/>
          </a:avLst>
        </a:prstGeom>
        <a:solidFill>
          <a:srgbClr val="C7D7DF"/>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RNG Technology Methane Capture Rate Table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152400</xdr:rowOff>
    </xdr:from>
    <xdr:to>
      <xdr:col>5</xdr:col>
      <xdr:colOff>419100</xdr:colOff>
      <xdr:row>4</xdr:row>
      <xdr:rowOff>32385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5C9A5C6E-95F7-432C-B7C3-9EDC41ACF978}"/>
            </a:ext>
          </a:extLst>
        </xdr:cNvPr>
        <xdr:cNvSpPr/>
      </xdr:nvSpPr>
      <xdr:spPr>
        <a:xfrm>
          <a:off x="219075" y="447675"/>
          <a:ext cx="3276600" cy="365760"/>
        </a:xfrm>
        <a:prstGeom prst="roundRect">
          <a:avLst>
            <a:gd name="adj" fmla="val 12442"/>
          </a:avLst>
        </a:prstGeom>
        <a:solidFill>
          <a:srgbClr val="C7D7DF"/>
        </a:solidFill>
        <a:ln>
          <a:noFill/>
        </a:ln>
        <a:effectLst>
          <a:outerShdw blurRad="50800" dist="38100" dir="5400000" algn="t"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0" u="sng" cap="none" baseline="0">
              <a:solidFill>
                <a:srgbClr val="2B86B3"/>
              </a:solidFill>
            </a:rPr>
            <a:t>Return to Tool</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asternresearchgroup-my.sharepoint.com/Documents%20and%20Settings/LENOVO%20USER/My%20Documents/amy%20a/LMOP/LFGcost/LFGcost-Web%20v2.2/May%202012%20corrected%20version/LFGcost-Web%20V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asternresearchgroup-my.sharepoint.com/LMOP/2017DomesticTO/Pubs&amp;Materials/Benefits%20Calculator%20CO2grid/LFGcost-WebV3.1_113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OUT"/>
      <sheetName val="WASTE"/>
      <sheetName val="Cost Estimates"/>
      <sheetName val="Economic and Job Benefits"/>
      <sheetName val="LOOKUP"/>
      <sheetName val="BUDGET-ENG"/>
      <sheetName val="BUDGET-DIR"/>
      <sheetName val="FD IMPACTS-ENG"/>
      <sheetName val="FD IMPACTS-DIR"/>
      <sheetName val="Ranked Multipliers"/>
      <sheetName val="MULTIPLIERS"/>
      <sheetName val="ECON-BEN SUMMARY"/>
      <sheetName val="CURVE"/>
      <sheetName val="ENV"/>
      <sheetName val="FLOW"/>
      <sheetName val="C&amp;F"/>
      <sheetName val="DIR"/>
      <sheetName val="TUR"/>
      <sheetName val="ENG"/>
      <sheetName val="HBTU"/>
      <sheetName val="MTUR"/>
      <sheetName val="SENG"/>
      <sheetName val="LCH"/>
      <sheetName val="CHPE"/>
      <sheetName val="CHPT"/>
      <sheetName val="CHPM"/>
      <sheetName val="Cash Flow Analysis"/>
      <sheetName val="ECN"/>
    </sheetNames>
    <sheetDataSet>
      <sheetData sheetId="0" refreshError="1"/>
      <sheetData sheetId="1" refreshError="1"/>
      <sheetData sheetId="2" refreshError="1"/>
      <sheetData sheetId="3" refreshError="1"/>
      <sheetData sheetId="4" refreshError="1"/>
      <sheetData sheetId="5">
        <row r="18">
          <cell r="A18" t="str">
            <v>LFG energy projects generate benefits for the communities and states in which they are located, as well as for the United States. These benefits include new jobs and expenditures directly impacting the local and state-wide economies as a result of the con</v>
          </cell>
        </row>
        <row r="26">
          <cell r="A26" t="str">
            <v>To view the economic benefits and job creation analysis, ensure that you have:
--Selected a state for the project in cell D2 of the 'INP-OUT' worksheet;
--Selected either a direct use (D) or reciprocating engine (E) project type in cell D12 of the 'INP-OU</v>
          </cell>
        </row>
      </sheetData>
      <sheetData sheetId="6" refreshError="1"/>
      <sheetData sheetId="7" refreshError="1"/>
      <sheetData sheetId="8" refreshError="1"/>
      <sheetData sheetId="9" refreshError="1"/>
      <sheetData sheetId="10" refreshError="1"/>
      <sheetData sheetId="11">
        <row r="3">
          <cell r="A3" t="str">
            <v>(Select State)</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
      <sheetName val="INP-OUT"/>
      <sheetName val="WASTE"/>
      <sheetName val="REGIONAL PRICING"/>
      <sheetName val="REPORT"/>
      <sheetName val="RPT-CASHFLOW"/>
      <sheetName val="CURVE"/>
      <sheetName val="AVOIDED CO2- ELEC"/>
      <sheetName val="ENV"/>
      <sheetName val="FLOW"/>
      <sheetName val="C&amp;F"/>
      <sheetName val="DIR"/>
      <sheetName val="BLR"/>
      <sheetName val="HBTU"/>
      <sheetName val="CNG"/>
      <sheetName val="LCH"/>
      <sheetName val="TUR"/>
      <sheetName val="ENG"/>
      <sheetName val="MTUR"/>
      <sheetName val="SENG"/>
      <sheetName val="CHPE"/>
      <sheetName val="CHPT"/>
      <sheetName val="CHPM"/>
      <sheetName val="ECN"/>
      <sheetName val="LOOKUP"/>
      <sheetName val="BUDGET-ENG"/>
      <sheetName val="BUDGET-DIR"/>
      <sheetName val="FD IMPACTS-ENG"/>
      <sheetName val="FD IMPACTS-DIR"/>
      <sheetName val="Ranked Multipliers"/>
      <sheetName val="MULTIPLIERS"/>
      <sheetName val="ECON-BEN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
          <cell r="A4" t="str">
            <v>Alabama</v>
          </cell>
          <cell r="B4">
            <v>1.3963000000000001</v>
          </cell>
          <cell r="C4">
            <v>0.39279999999999998</v>
          </cell>
          <cell r="D4">
            <v>13.608000000000001</v>
          </cell>
          <cell r="E4">
            <v>1.9055</v>
          </cell>
          <cell r="F4">
            <v>0.57289999999999996</v>
          </cell>
          <cell r="G4">
            <v>14.606400000000001</v>
          </cell>
          <cell r="H4">
            <v>2.0769000000000002</v>
          </cell>
          <cell r="I4">
            <v>0.47320000000000001</v>
          </cell>
          <cell r="J4">
            <v>11.628500000000001</v>
          </cell>
          <cell r="K4">
            <v>2.3881999999999999</v>
          </cell>
          <cell r="L4">
            <v>0.4773</v>
          </cell>
          <cell r="M4">
            <v>12.4345</v>
          </cell>
          <cell r="N4">
            <v>1.9572000000000001</v>
          </cell>
          <cell r="O4">
            <v>0.54900000000000004</v>
          </cell>
          <cell r="P4">
            <v>13.579700000000001</v>
          </cell>
          <cell r="Q4">
            <v>2.1732999999999998</v>
          </cell>
          <cell r="R4">
            <v>0.49380000000000002</v>
          </cell>
          <cell r="S4">
            <v>12.343999999999999</v>
          </cell>
          <cell r="T4">
            <v>1.8110999999999999</v>
          </cell>
          <cell r="U4">
            <v>0.40949999999999998</v>
          </cell>
          <cell r="V4">
            <v>8.3658000000000001</v>
          </cell>
          <cell r="W4">
            <v>2.3311000000000002</v>
          </cell>
          <cell r="X4">
            <v>0.53900000000000003</v>
          </cell>
          <cell r="Y4">
            <v>12.8315</v>
          </cell>
        </row>
        <row r="5">
          <cell r="A5" t="str">
            <v>Alaska</v>
          </cell>
          <cell r="B5">
            <v>1.0998000000000001</v>
          </cell>
          <cell r="C5">
            <v>0.31590000000000001</v>
          </cell>
          <cell r="D5">
            <v>10.653600000000001</v>
          </cell>
          <cell r="E5">
            <v>1.6345000000000001</v>
          </cell>
          <cell r="F5">
            <v>0.49390000000000001</v>
          </cell>
          <cell r="G5">
            <v>12.6473</v>
          </cell>
          <cell r="H5">
            <v>1</v>
          </cell>
          <cell r="I5">
            <v>0</v>
          </cell>
          <cell r="J5">
            <v>0</v>
          </cell>
          <cell r="K5">
            <v>1</v>
          </cell>
          <cell r="L5">
            <v>0</v>
          </cell>
          <cell r="M5">
            <v>0</v>
          </cell>
          <cell r="N5">
            <v>1.7199</v>
          </cell>
          <cell r="O5">
            <v>0.45639999999999997</v>
          </cell>
          <cell r="P5">
            <v>11.2959</v>
          </cell>
          <cell r="Q5">
            <v>1.4744999999999999</v>
          </cell>
          <cell r="R5">
            <v>0.35360000000000003</v>
          </cell>
          <cell r="S5">
            <v>8.3431999999999995</v>
          </cell>
          <cell r="T5">
            <v>1.6577</v>
          </cell>
          <cell r="U5">
            <v>0.36270000000000002</v>
          </cell>
          <cell r="V5">
            <v>6.8795999999999999</v>
          </cell>
          <cell r="W5">
            <v>1.4524999999999999</v>
          </cell>
          <cell r="X5">
            <v>0.31619999999999998</v>
          </cell>
          <cell r="Y5">
            <v>8.2395999999999994</v>
          </cell>
        </row>
        <row r="6">
          <cell r="A6" t="str">
            <v>Arizona</v>
          </cell>
          <cell r="B6">
            <v>1.2853000000000001</v>
          </cell>
          <cell r="C6">
            <v>0.37409999999999999</v>
          </cell>
          <cell r="D6">
            <v>11.622999999999999</v>
          </cell>
          <cell r="E6">
            <v>1.8953</v>
          </cell>
          <cell r="F6">
            <v>0.58720000000000006</v>
          </cell>
          <cell r="G6">
            <v>13.234</v>
          </cell>
          <cell r="H6">
            <v>1</v>
          </cell>
          <cell r="I6">
            <v>0</v>
          </cell>
          <cell r="J6">
            <v>0</v>
          </cell>
          <cell r="K6">
            <v>1.6877</v>
          </cell>
          <cell r="L6">
            <v>0.35870000000000002</v>
          </cell>
          <cell r="M6">
            <v>8.6959999999999997</v>
          </cell>
          <cell r="N6">
            <v>1.7983</v>
          </cell>
          <cell r="O6">
            <v>0.51549999999999996</v>
          </cell>
          <cell r="P6">
            <v>11.219799999999999</v>
          </cell>
          <cell r="Q6">
            <v>1.855</v>
          </cell>
          <cell r="R6">
            <v>0.45069999999999999</v>
          </cell>
          <cell r="S6">
            <v>10.5707</v>
          </cell>
          <cell r="T6">
            <v>1.6066</v>
          </cell>
          <cell r="U6">
            <v>0.37119999999999997</v>
          </cell>
          <cell r="V6">
            <v>6.8841000000000001</v>
          </cell>
          <cell r="W6">
            <v>1.8284</v>
          </cell>
          <cell r="X6">
            <v>0.43430000000000002</v>
          </cell>
          <cell r="Y6">
            <v>9.6356000000000002</v>
          </cell>
        </row>
        <row r="7">
          <cell r="A7" t="str">
            <v>Arkansas</v>
          </cell>
          <cell r="B7">
            <v>1.2331000000000001</v>
          </cell>
          <cell r="C7">
            <v>0.3412</v>
          </cell>
          <cell r="D7">
            <v>12.751899999999999</v>
          </cell>
          <cell r="E7">
            <v>1.8359000000000001</v>
          </cell>
          <cell r="F7">
            <v>0.54600000000000004</v>
          </cell>
          <cell r="G7">
            <v>14.5494</v>
          </cell>
          <cell r="H7">
            <v>1.9060999999999999</v>
          </cell>
          <cell r="I7">
            <v>0.42080000000000001</v>
          </cell>
          <cell r="J7">
            <v>10.8125</v>
          </cell>
          <cell r="K7">
            <v>2.0175999999999998</v>
          </cell>
          <cell r="L7">
            <v>0.38250000000000001</v>
          </cell>
          <cell r="M7">
            <v>10.2361</v>
          </cell>
          <cell r="N7">
            <v>1.8708</v>
          </cell>
          <cell r="O7">
            <v>0.5161</v>
          </cell>
          <cell r="P7">
            <v>13.5236</v>
          </cell>
          <cell r="Q7">
            <v>2.0301</v>
          </cell>
          <cell r="R7">
            <v>0.44629999999999997</v>
          </cell>
          <cell r="S7">
            <v>11.940200000000001</v>
          </cell>
          <cell r="T7">
            <v>1.6017999999999999</v>
          </cell>
          <cell r="U7">
            <v>0.35089999999999999</v>
          </cell>
          <cell r="V7">
            <v>7.5563000000000002</v>
          </cell>
          <cell r="W7">
            <v>2.1316999999999999</v>
          </cell>
          <cell r="X7">
            <v>0.48159999999999997</v>
          </cell>
          <cell r="Y7">
            <v>13.0418</v>
          </cell>
        </row>
        <row r="8">
          <cell r="A8" t="str">
            <v>California</v>
          </cell>
          <cell r="B8">
            <v>1.5906</v>
          </cell>
          <cell r="C8">
            <v>0.45200000000000001</v>
          </cell>
          <cell r="D8">
            <v>12.414400000000001</v>
          </cell>
          <cell r="E8">
            <v>2.1526000000000001</v>
          </cell>
          <cell r="F8">
            <v>0.66120000000000001</v>
          </cell>
          <cell r="G8">
            <v>13.914</v>
          </cell>
          <cell r="H8">
            <v>2.0072999999999999</v>
          </cell>
          <cell r="I8">
            <v>0.48070000000000002</v>
          </cell>
          <cell r="J8">
            <v>10.158099999999999</v>
          </cell>
          <cell r="K8">
            <v>1.9793000000000001</v>
          </cell>
          <cell r="L8">
            <v>0.43009999999999998</v>
          </cell>
          <cell r="M8">
            <v>9.5183</v>
          </cell>
          <cell r="N8">
            <v>2.0365000000000002</v>
          </cell>
          <cell r="O8">
            <v>0.56889999999999996</v>
          </cell>
          <cell r="P8">
            <v>10.9056</v>
          </cell>
          <cell r="Q8">
            <v>2.1132</v>
          </cell>
          <cell r="R8">
            <v>0.53749999999999998</v>
          </cell>
          <cell r="S8">
            <v>11.283799999999999</v>
          </cell>
          <cell r="T8">
            <v>1.7824</v>
          </cell>
          <cell r="U8">
            <v>0.41699999999999998</v>
          </cell>
          <cell r="V8">
            <v>7.1909000000000001</v>
          </cell>
          <cell r="W8">
            <v>2.1280000000000001</v>
          </cell>
          <cell r="X8">
            <v>0.51970000000000005</v>
          </cell>
          <cell r="Y8">
            <v>11.559900000000001</v>
          </cell>
        </row>
        <row r="9">
          <cell r="A9" t="str">
            <v>Colorado</v>
          </cell>
          <cell r="B9">
            <v>1.5744</v>
          </cell>
          <cell r="C9">
            <v>0.45240000000000002</v>
          </cell>
          <cell r="D9">
            <v>13.6317</v>
          </cell>
          <cell r="E9">
            <v>2.1392000000000002</v>
          </cell>
          <cell r="F9">
            <v>0.6593</v>
          </cell>
          <cell r="G9">
            <v>14.618499999999999</v>
          </cell>
          <cell r="H9">
            <v>1.9528000000000001</v>
          </cell>
          <cell r="I9">
            <v>0.46389999999999998</v>
          </cell>
          <cell r="J9">
            <v>9.8268000000000004</v>
          </cell>
          <cell r="K9">
            <v>1.8552</v>
          </cell>
          <cell r="L9">
            <v>0.41099999999999998</v>
          </cell>
          <cell r="M9">
            <v>9.4117999999999995</v>
          </cell>
          <cell r="N9">
            <v>2.1358000000000001</v>
          </cell>
          <cell r="O9">
            <v>0.61029999999999995</v>
          </cell>
          <cell r="P9">
            <v>12.787699999999999</v>
          </cell>
          <cell r="Q9">
            <v>1.9973000000000001</v>
          </cell>
          <cell r="R9">
            <v>0.5202</v>
          </cell>
          <cell r="S9">
            <v>11.6264</v>
          </cell>
          <cell r="T9">
            <v>2.0036</v>
          </cell>
          <cell r="U9">
            <v>0.46939999999999998</v>
          </cell>
          <cell r="V9">
            <v>8.8533000000000008</v>
          </cell>
          <cell r="W9">
            <v>2.0291000000000001</v>
          </cell>
          <cell r="X9">
            <v>0.49419999999999997</v>
          </cell>
          <cell r="Y9">
            <v>11.401300000000001</v>
          </cell>
        </row>
        <row r="10">
          <cell r="A10" t="str">
            <v>Connecticut</v>
          </cell>
          <cell r="B10">
            <v>1.1456999999999999</v>
          </cell>
          <cell r="C10">
            <v>0.31929999999999997</v>
          </cell>
          <cell r="D10">
            <v>8.8256999999999994</v>
          </cell>
          <cell r="E10">
            <v>1.8194999999999999</v>
          </cell>
          <cell r="F10">
            <v>0.52600000000000002</v>
          </cell>
          <cell r="G10">
            <v>10.4815</v>
          </cell>
          <cell r="H10">
            <v>1.8535999999999999</v>
          </cell>
          <cell r="I10">
            <v>0.41089999999999999</v>
          </cell>
          <cell r="J10">
            <v>7.5152000000000001</v>
          </cell>
          <cell r="K10">
            <v>2.0424000000000002</v>
          </cell>
          <cell r="L10">
            <v>0.39450000000000002</v>
          </cell>
          <cell r="M10">
            <v>8.1841000000000008</v>
          </cell>
          <cell r="N10">
            <v>1.7427999999999999</v>
          </cell>
          <cell r="O10">
            <v>0.4657</v>
          </cell>
          <cell r="P10">
            <v>8.3214000000000006</v>
          </cell>
          <cell r="Q10">
            <v>1.9637</v>
          </cell>
          <cell r="R10">
            <v>0.46439999999999998</v>
          </cell>
          <cell r="S10">
            <v>8.8470999999999993</v>
          </cell>
          <cell r="T10">
            <v>1.4832000000000001</v>
          </cell>
          <cell r="U10">
            <v>0.32150000000000001</v>
          </cell>
          <cell r="V10">
            <v>5.0660999999999996</v>
          </cell>
          <cell r="W10">
            <v>1.9159999999999999</v>
          </cell>
          <cell r="X10">
            <v>0.43120000000000003</v>
          </cell>
          <cell r="Y10">
            <v>8.4318000000000008</v>
          </cell>
        </row>
        <row r="11">
          <cell r="A11" t="str">
            <v>Delaware</v>
          </cell>
          <cell r="B11">
            <v>1.1701999999999999</v>
          </cell>
          <cell r="C11">
            <v>0.28070000000000001</v>
          </cell>
          <cell r="D11">
            <v>8.5945</v>
          </cell>
          <cell r="E11">
            <v>1.6856</v>
          </cell>
          <cell r="F11">
            <v>0.41210000000000002</v>
          </cell>
          <cell r="G11">
            <v>8.5855999999999995</v>
          </cell>
          <cell r="H11">
            <v>1</v>
          </cell>
          <cell r="I11">
            <v>0</v>
          </cell>
          <cell r="J11">
            <v>0</v>
          </cell>
          <cell r="K11">
            <v>2.1833</v>
          </cell>
          <cell r="L11">
            <v>0.33939999999999998</v>
          </cell>
          <cell r="M11">
            <v>7.1539999999999999</v>
          </cell>
          <cell r="N11">
            <v>1.6544000000000001</v>
          </cell>
          <cell r="O11">
            <v>0.3644</v>
          </cell>
          <cell r="P11">
            <v>7.1285999999999996</v>
          </cell>
          <cell r="Q11">
            <v>1.6041000000000001</v>
          </cell>
          <cell r="R11">
            <v>0.23200000000000001</v>
          </cell>
          <cell r="S11">
            <v>4.476</v>
          </cell>
          <cell r="T11">
            <v>1.4517</v>
          </cell>
          <cell r="U11">
            <v>0.26390000000000002</v>
          </cell>
          <cell r="V11">
            <v>4.3691000000000004</v>
          </cell>
          <cell r="W11">
            <v>1.6842999999999999</v>
          </cell>
          <cell r="X11">
            <v>0.28820000000000001</v>
          </cell>
          <cell r="Y11">
            <v>6.8795000000000002</v>
          </cell>
        </row>
        <row r="12">
          <cell r="A12" t="str">
            <v>Florida</v>
          </cell>
          <cell r="B12">
            <v>1.3095000000000001</v>
          </cell>
          <cell r="C12">
            <v>0.38390000000000002</v>
          </cell>
          <cell r="D12">
            <v>12.111599999999999</v>
          </cell>
          <cell r="E12">
            <v>1.9224000000000001</v>
          </cell>
          <cell r="F12">
            <v>0.59870000000000001</v>
          </cell>
          <cell r="G12">
            <v>13.980499999999999</v>
          </cell>
          <cell r="H12">
            <v>1.7051000000000001</v>
          </cell>
          <cell r="I12">
            <v>0.39579999999999999</v>
          </cell>
          <cell r="J12">
            <v>9.6091999999999995</v>
          </cell>
          <cell r="K12">
            <v>1.71</v>
          </cell>
          <cell r="L12">
            <v>0.36209999999999998</v>
          </cell>
          <cell r="M12">
            <v>8.9908000000000001</v>
          </cell>
          <cell r="N12">
            <v>1.7579</v>
          </cell>
          <cell r="O12">
            <v>0.50919999999999999</v>
          </cell>
          <cell r="P12">
            <v>10.63</v>
          </cell>
          <cell r="Q12">
            <v>1.7788999999999999</v>
          </cell>
          <cell r="R12">
            <v>0.44650000000000001</v>
          </cell>
          <cell r="S12">
            <v>10.871700000000001</v>
          </cell>
          <cell r="T12">
            <v>1.5568</v>
          </cell>
          <cell r="U12">
            <v>0.36080000000000001</v>
          </cell>
          <cell r="V12">
            <v>6.9146000000000001</v>
          </cell>
          <cell r="W12">
            <v>1.7513000000000001</v>
          </cell>
          <cell r="X12">
            <v>0.41670000000000001</v>
          </cell>
          <cell r="Y12">
            <v>10.0054</v>
          </cell>
        </row>
        <row r="13">
          <cell r="A13" t="str">
            <v>Georgia</v>
          </cell>
          <cell r="B13">
            <v>1.6188</v>
          </cell>
          <cell r="C13">
            <v>0.4496</v>
          </cell>
          <cell r="D13">
            <v>13.626099999999999</v>
          </cell>
          <cell r="E13">
            <v>2.1892999999999998</v>
          </cell>
          <cell r="F13">
            <v>0.65620000000000001</v>
          </cell>
          <cell r="G13">
            <v>14.524100000000001</v>
          </cell>
          <cell r="H13">
            <v>2.0427</v>
          </cell>
          <cell r="I13">
            <v>0.47420000000000001</v>
          </cell>
          <cell r="J13">
            <v>11.170400000000001</v>
          </cell>
          <cell r="K13">
            <v>2.2944</v>
          </cell>
          <cell r="L13">
            <v>0.48280000000000001</v>
          </cell>
          <cell r="M13">
            <v>11.007899999999999</v>
          </cell>
          <cell r="N13">
            <v>2.0785</v>
          </cell>
          <cell r="O13">
            <v>0.58189999999999997</v>
          </cell>
          <cell r="P13">
            <v>12.096399999999999</v>
          </cell>
          <cell r="Q13">
            <v>2.0261</v>
          </cell>
          <cell r="R13">
            <v>0.48080000000000001</v>
          </cell>
          <cell r="S13">
            <v>10.572699999999999</v>
          </cell>
          <cell r="T13">
            <v>1.6992</v>
          </cell>
          <cell r="U13">
            <v>0.38769999999999999</v>
          </cell>
          <cell r="V13">
            <v>7.4438000000000004</v>
          </cell>
          <cell r="W13">
            <v>2.1315</v>
          </cell>
          <cell r="X13">
            <v>0.50380000000000003</v>
          </cell>
          <cell r="Y13">
            <v>11.8734</v>
          </cell>
        </row>
        <row r="14">
          <cell r="A14" t="str">
            <v>Hawaii</v>
          </cell>
          <cell r="B14">
            <v>1.2684</v>
          </cell>
          <cell r="C14">
            <v>0.371</v>
          </cell>
          <cell r="D14">
            <v>12.342700000000001</v>
          </cell>
          <cell r="E14">
            <v>1.8208</v>
          </cell>
          <cell r="F14">
            <v>0.56899999999999995</v>
          </cell>
          <cell r="G14">
            <v>14.742699999999999</v>
          </cell>
          <cell r="H14">
            <v>1</v>
          </cell>
          <cell r="I14">
            <v>0</v>
          </cell>
          <cell r="J14">
            <v>0</v>
          </cell>
          <cell r="K14">
            <v>1.5346</v>
          </cell>
          <cell r="L14">
            <v>0.32190000000000002</v>
          </cell>
          <cell r="M14">
            <v>8.6011000000000006</v>
          </cell>
          <cell r="N14">
            <v>1.7569999999999999</v>
          </cell>
          <cell r="O14">
            <v>0.46920000000000001</v>
          </cell>
          <cell r="P14">
            <v>9.5954999999999995</v>
          </cell>
          <cell r="Q14">
            <v>1.6644000000000001</v>
          </cell>
          <cell r="R14">
            <v>0.4204</v>
          </cell>
          <cell r="S14">
            <v>11.8733</v>
          </cell>
          <cell r="T14">
            <v>1.4785999999999999</v>
          </cell>
          <cell r="U14">
            <v>0.33739999999999998</v>
          </cell>
          <cell r="V14">
            <v>6.5109000000000004</v>
          </cell>
          <cell r="W14">
            <v>1.5589999999999999</v>
          </cell>
          <cell r="X14">
            <v>0.36499999999999999</v>
          </cell>
          <cell r="Y14">
            <v>9.4845000000000006</v>
          </cell>
        </row>
        <row r="15">
          <cell r="A15" t="str">
            <v>Idaho</v>
          </cell>
          <cell r="B15">
            <v>1.2286999999999999</v>
          </cell>
          <cell r="C15">
            <v>0.35060000000000002</v>
          </cell>
          <cell r="D15">
            <v>13.5335</v>
          </cell>
          <cell r="E15">
            <v>1.8309</v>
          </cell>
          <cell r="F15">
            <v>0.55969999999999998</v>
          </cell>
          <cell r="G15">
            <v>15.588699999999999</v>
          </cell>
          <cell r="H15">
            <v>1</v>
          </cell>
          <cell r="I15">
            <v>0</v>
          </cell>
          <cell r="J15">
            <v>0</v>
          </cell>
          <cell r="K15">
            <v>1.6555</v>
          </cell>
          <cell r="L15">
            <v>0.35160000000000002</v>
          </cell>
          <cell r="M15">
            <v>10.3881</v>
          </cell>
          <cell r="N15">
            <v>1.8001</v>
          </cell>
          <cell r="O15">
            <v>0.50970000000000004</v>
          </cell>
          <cell r="P15">
            <v>13.6896</v>
          </cell>
          <cell r="Q15">
            <v>1.7563</v>
          </cell>
          <cell r="R15">
            <v>0.42070000000000002</v>
          </cell>
          <cell r="S15">
            <v>11.4032</v>
          </cell>
          <cell r="T15">
            <v>1.5265</v>
          </cell>
          <cell r="U15">
            <v>0.34350000000000003</v>
          </cell>
          <cell r="V15">
            <v>7.2992999999999997</v>
          </cell>
          <cell r="W15">
            <v>1.7583</v>
          </cell>
          <cell r="X15">
            <v>0.40620000000000001</v>
          </cell>
          <cell r="Y15">
            <v>10.2723</v>
          </cell>
        </row>
        <row r="16">
          <cell r="A16" t="str">
            <v>Illinois</v>
          </cell>
          <cell r="B16">
            <v>1.6616</v>
          </cell>
          <cell r="C16">
            <v>0.45900000000000002</v>
          </cell>
          <cell r="D16">
            <v>12.966100000000001</v>
          </cell>
          <cell r="E16">
            <v>2.1993</v>
          </cell>
          <cell r="F16">
            <v>0.65310000000000001</v>
          </cell>
          <cell r="G16">
            <v>13.855</v>
          </cell>
          <cell r="H16">
            <v>2.3898999999999999</v>
          </cell>
          <cell r="I16">
            <v>0.55740000000000001</v>
          </cell>
          <cell r="J16">
            <v>11.0679</v>
          </cell>
          <cell r="K16">
            <v>2.6320000000000001</v>
          </cell>
          <cell r="L16">
            <v>0.54730000000000001</v>
          </cell>
          <cell r="M16">
            <v>11.9107</v>
          </cell>
          <cell r="N16">
            <v>2.1701999999999999</v>
          </cell>
          <cell r="O16">
            <v>0.58169999999999999</v>
          </cell>
          <cell r="P16">
            <v>11.2378</v>
          </cell>
          <cell r="Q16">
            <v>2.3801999999999999</v>
          </cell>
          <cell r="R16">
            <v>0.59460000000000002</v>
          </cell>
          <cell r="S16">
            <v>12.3085</v>
          </cell>
          <cell r="T16">
            <v>1.9127000000000001</v>
          </cell>
          <cell r="U16">
            <v>0.43440000000000001</v>
          </cell>
          <cell r="V16">
            <v>7.8019999999999996</v>
          </cell>
          <cell r="W16">
            <v>2.5634000000000001</v>
          </cell>
          <cell r="X16">
            <v>0.59319999999999995</v>
          </cell>
          <cell r="Y16">
            <v>12.809200000000001</v>
          </cell>
        </row>
        <row r="17">
          <cell r="A17" t="str">
            <v>Indiana</v>
          </cell>
          <cell r="B17">
            <v>1.4291</v>
          </cell>
          <cell r="C17">
            <v>0.38800000000000001</v>
          </cell>
          <cell r="D17">
            <v>13.568</v>
          </cell>
          <cell r="E17">
            <v>1.9326000000000001</v>
          </cell>
          <cell r="F17">
            <v>0.56679999999999997</v>
          </cell>
          <cell r="G17">
            <v>14.5039</v>
          </cell>
          <cell r="H17">
            <v>2.1515</v>
          </cell>
          <cell r="I17">
            <v>0.48249999999999998</v>
          </cell>
          <cell r="J17">
            <v>11.2699</v>
          </cell>
          <cell r="K17">
            <v>2.3469000000000002</v>
          </cell>
          <cell r="L17">
            <v>0.45519999999999999</v>
          </cell>
          <cell r="M17">
            <v>11.8925</v>
          </cell>
          <cell r="N17">
            <v>1.964</v>
          </cell>
          <cell r="O17">
            <v>0.52869999999999995</v>
          </cell>
          <cell r="P17">
            <v>12.3062</v>
          </cell>
          <cell r="Q17">
            <v>2.2132999999999998</v>
          </cell>
          <cell r="R17">
            <v>0.51500000000000001</v>
          </cell>
          <cell r="S17">
            <v>12.266</v>
          </cell>
          <cell r="T17">
            <v>1.7679</v>
          </cell>
          <cell r="U17">
            <v>0.38819999999999999</v>
          </cell>
          <cell r="V17">
            <v>8.0508000000000006</v>
          </cell>
          <cell r="W17">
            <v>2.367</v>
          </cell>
          <cell r="X17">
            <v>0.53610000000000002</v>
          </cell>
          <cell r="Y17">
            <v>12.531599999999999</v>
          </cell>
        </row>
        <row r="18">
          <cell r="A18" t="str">
            <v>Iowa</v>
          </cell>
          <cell r="B18">
            <v>1.2946</v>
          </cell>
          <cell r="C18">
            <v>0.35670000000000002</v>
          </cell>
          <cell r="D18">
            <v>13.226800000000001</v>
          </cell>
          <cell r="E18">
            <v>1.8301000000000001</v>
          </cell>
          <cell r="F18">
            <v>0.53969999999999996</v>
          </cell>
          <cell r="G18">
            <v>14.5182</v>
          </cell>
          <cell r="H18">
            <v>1.986</v>
          </cell>
          <cell r="I18">
            <v>0.43519999999999998</v>
          </cell>
          <cell r="J18">
            <v>11.8223</v>
          </cell>
          <cell r="K18">
            <v>2.1145</v>
          </cell>
          <cell r="L18">
            <v>0.40760000000000002</v>
          </cell>
          <cell r="M18">
            <v>11.331899999999999</v>
          </cell>
          <cell r="N18">
            <v>1.8314999999999999</v>
          </cell>
          <cell r="O18">
            <v>0.50009999999999999</v>
          </cell>
          <cell r="P18">
            <v>12.4572</v>
          </cell>
          <cell r="Q18">
            <v>2.0773000000000001</v>
          </cell>
          <cell r="R18">
            <v>0.45429999999999998</v>
          </cell>
          <cell r="S18">
            <v>11.2538</v>
          </cell>
          <cell r="T18">
            <v>1.5551999999999999</v>
          </cell>
          <cell r="U18">
            <v>0.33260000000000001</v>
          </cell>
          <cell r="V18">
            <v>7.0994999999999999</v>
          </cell>
          <cell r="W18">
            <v>2.1951000000000001</v>
          </cell>
          <cell r="X18">
            <v>0.49030000000000001</v>
          </cell>
          <cell r="Y18">
            <v>12.3857</v>
          </cell>
        </row>
        <row r="19">
          <cell r="A19" t="str">
            <v>Kansas</v>
          </cell>
          <cell r="B19">
            <v>1.3447</v>
          </cell>
          <cell r="C19">
            <v>0.35139999999999999</v>
          </cell>
          <cell r="D19">
            <v>12.7028</v>
          </cell>
          <cell r="E19">
            <v>1.8449</v>
          </cell>
          <cell r="F19">
            <v>0.503</v>
          </cell>
          <cell r="G19">
            <v>12.7979</v>
          </cell>
          <cell r="H19">
            <v>1.9278</v>
          </cell>
          <cell r="I19">
            <v>0.40260000000000001</v>
          </cell>
          <cell r="J19">
            <v>9.7843</v>
          </cell>
          <cell r="K19">
            <v>2.0007000000000001</v>
          </cell>
          <cell r="L19">
            <v>0.38369999999999999</v>
          </cell>
          <cell r="M19">
            <v>10.704000000000001</v>
          </cell>
          <cell r="N19">
            <v>1.9152</v>
          </cell>
          <cell r="O19">
            <v>0.49780000000000002</v>
          </cell>
          <cell r="P19">
            <v>11.5647</v>
          </cell>
          <cell r="Q19">
            <v>1.8593</v>
          </cell>
          <cell r="R19">
            <v>0.43149999999999999</v>
          </cell>
          <cell r="S19">
            <v>10.803000000000001</v>
          </cell>
          <cell r="T19">
            <v>1.7208000000000001</v>
          </cell>
          <cell r="U19">
            <v>0.36530000000000001</v>
          </cell>
          <cell r="V19">
            <v>7.6346999999999996</v>
          </cell>
          <cell r="W19">
            <v>1.917</v>
          </cell>
          <cell r="X19">
            <v>0.41870000000000002</v>
          </cell>
          <cell r="Y19">
            <v>11.2789</v>
          </cell>
        </row>
        <row r="20">
          <cell r="A20" t="str">
            <v>Kentucky</v>
          </cell>
          <cell r="B20">
            <v>1.4167000000000001</v>
          </cell>
          <cell r="C20">
            <v>0.372</v>
          </cell>
          <cell r="D20">
            <v>13.216900000000001</v>
          </cell>
          <cell r="E20">
            <v>1.9034</v>
          </cell>
          <cell r="F20">
            <v>0.53369999999999995</v>
          </cell>
          <cell r="G20">
            <v>13.7018</v>
          </cell>
          <cell r="H20">
            <v>2.0691999999999999</v>
          </cell>
          <cell r="I20">
            <v>0.438</v>
          </cell>
          <cell r="J20">
            <v>11.0648</v>
          </cell>
          <cell r="K20">
            <v>2.3995000000000002</v>
          </cell>
          <cell r="L20">
            <v>0.45190000000000002</v>
          </cell>
          <cell r="M20">
            <v>11.913399999999999</v>
          </cell>
          <cell r="N20">
            <v>1.9528000000000001</v>
          </cell>
          <cell r="O20">
            <v>0.5101</v>
          </cell>
          <cell r="P20">
            <v>12.4535</v>
          </cell>
          <cell r="Q20">
            <v>2.1924000000000001</v>
          </cell>
          <cell r="R20">
            <v>0.46820000000000001</v>
          </cell>
          <cell r="S20">
            <v>11.1142</v>
          </cell>
          <cell r="T20">
            <v>1.7995000000000001</v>
          </cell>
          <cell r="U20">
            <v>0.3805</v>
          </cell>
          <cell r="V20">
            <v>8.1856000000000009</v>
          </cell>
          <cell r="W20">
            <v>2.3052999999999999</v>
          </cell>
          <cell r="X20">
            <v>0.49880000000000002</v>
          </cell>
          <cell r="Y20">
            <v>12.526899999999999</v>
          </cell>
        </row>
        <row r="21">
          <cell r="A21" t="str">
            <v>Louisiana</v>
          </cell>
          <cell r="B21">
            <v>1.2638</v>
          </cell>
          <cell r="C21">
            <v>0.36759999999999998</v>
          </cell>
          <cell r="D21">
            <v>12.942299999999999</v>
          </cell>
          <cell r="E21">
            <v>1.81</v>
          </cell>
          <cell r="F21">
            <v>0.55369999999999997</v>
          </cell>
          <cell r="G21">
            <v>14.0634</v>
          </cell>
          <cell r="H21">
            <v>1.7704</v>
          </cell>
          <cell r="I21">
            <v>0.40339999999999998</v>
          </cell>
          <cell r="J21">
            <v>9.6821000000000002</v>
          </cell>
          <cell r="K21">
            <v>2.3767999999999998</v>
          </cell>
          <cell r="L21">
            <v>0.47410000000000002</v>
          </cell>
          <cell r="M21">
            <v>12.465999999999999</v>
          </cell>
          <cell r="N21">
            <v>1.88</v>
          </cell>
          <cell r="O21">
            <v>0.50009999999999999</v>
          </cell>
          <cell r="P21">
            <v>10.760899999999999</v>
          </cell>
          <cell r="Q21">
            <v>1.8219000000000001</v>
          </cell>
          <cell r="R21">
            <v>0.42620000000000002</v>
          </cell>
          <cell r="S21">
            <v>10.3299</v>
          </cell>
          <cell r="T21">
            <v>1.7447999999999999</v>
          </cell>
          <cell r="U21">
            <v>0.39150000000000001</v>
          </cell>
          <cell r="V21">
            <v>8.0028000000000006</v>
          </cell>
          <cell r="W21">
            <v>1.823</v>
          </cell>
          <cell r="X21">
            <v>0.41389999999999999</v>
          </cell>
          <cell r="Y21">
            <v>9.5741999999999994</v>
          </cell>
        </row>
        <row r="22">
          <cell r="A22" t="str">
            <v>Maine</v>
          </cell>
          <cell r="B22">
            <v>1.2677</v>
          </cell>
          <cell r="C22">
            <v>0.37209999999999999</v>
          </cell>
          <cell r="D22">
            <v>13.5969</v>
          </cell>
          <cell r="E22">
            <v>1.8270999999999999</v>
          </cell>
          <cell r="F22">
            <v>0.56140000000000001</v>
          </cell>
          <cell r="G22">
            <v>15.377000000000001</v>
          </cell>
          <cell r="H22">
            <v>1</v>
          </cell>
          <cell r="I22">
            <v>0</v>
          </cell>
          <cell r="J22">
            <v>0</v>
          </cell>
          <cell r="K22">
            <v>1.6432</v>
          </cell>
          <cell r="L22">
            <v>0.34260000000000002</v>
          </cell>
          <cell r="M22">
            <v>8.7949999999999999</v>
          </cell>
          <cell r="N22">
            <v>1.6079000000000001</v>
          </cell>
          <cell r="O22">
            <v>0.38919999999999999</v>
          </cell>
          <cell r="P22">
            <v>10.062099999999999</v>
          </cell>
          <cell r="Q22">
            <v>1.7148000000000001</v>
          </cell>
          <cell r="R22">
            <v>0.42409999999999998</v>
          </cell>
          <cell r="S22">
            <v>10.4955</v>
          </cell>
          <cell r="T22">
            <v>1.526</v>
          </cell>
          <cell r="U22">
            <v>0.3468</v>
          </cell>
          <cell r="V22">
            <v>7.4798</v>
          </cell>
          <cell r="W22">
            <v>1.7323</v>
          </cell>
          <cell r="X22">
            <v>0.3906</v>
          </cell>
          <cell r="Y22">
            <v>10.391400000000001</v>
          </cell>
        </row>
        <row r="23">
          <cell r="A23" t="str">
            <v>Maryland</v>
          </cell>
          <cell r="B23">
            <v>1.3625</v>
          </cell>
          <cell r="C23">
            <v>0.37209999999999999</v>
          </cell>
          <cell r="D23">
            <v>10.991899999999999</v>
          </cell>
          <cell r="E23">
            <v>1.9298999999999999</v>
          </cell>
          <cell r="F23">
            <v>0.55269999999999997</v>
          </cell>
          <cell r="G23">
            <v>11.8491</v>
          </cell>
          <cell r="H23">
            <v>1.7076</v>
          </cell>
          <cell r="I23">
            <v>0.35239999999999999</v>
          </cell>
          <cell r="J23">
            <v>6.9122000000000003</v>
          </cell>
          <cell r="K23">
            <v>1.702</v>
          </cell>
          <cell r="L23">
            <v>0.3236</v>
          </cell>
          <cell r="M23">
            <v>7.8571</v>
          </cell>
          <cell r="N23">
            <v>1.7802</v>
          </cell>
          <cell r="O23">
            <v>0.43619999999999998</v>
          </cell>
          <cell r="P23">
            <v>8.4620999999999995</v>
          </cell>
          <cell r="Q23">
            <v>1.8252999999999999</v>
          </cell>
          <cell r="R23">
            <v>0.40229999999999999</v>
          </cell>
          <cell r="S23">
            <v>8.7116000000000007</v>
          </cell>
          <cell r="T23">
            <v>1.5628</v>
          </cell>
          <cell r="U23">
            <v>0.33500000000000002</v>
          </cell>
          <cell r="V23">
            <v>5.8270999999999997</v>
          </cell>
          <cell r="W23">
            <v>1.8392999999999999</v>
          </cell>
          <cell r="X23">
            <v>0.38990000000000002</v>
          </cell>
          <cell r="Y23">
            <v>8.1211000000000002</v>
          </cell>
        </row>
        <row r="24">
          <cell r="A24" t="str">
            <v>Massachusetts</v>
          </cell>
          <cell r="B24">
            <v>1.3274999999999999</v>
          </cell>
          <cell r="C24">
            <v>0.37090000000000001</v>
          </cell>
          <cell r="D24">
            <v>10.2492</v>
          </cell>
          <cell r="E24">
            <v>1.9315</v>
          </cell>
          <cell r="F24">
            <v>0.56440000000000001</v>
          </cell>
          <cell r="G24">
            <v>11.449299999999999</v>
          </cell>
          <cell r="H24">
            <v>1.8869</v>
          </cell>
          <cell r="I24">
            <v>0.41880000000000001</v>
          </cell>
          <cell r="J24">
            <v>7.8407</v>
          </cell>
          <cell r="K24">
            <v>2.1682999999999999</v>
          </cell>
          <cell r="L24">
            <v>0.42870000000000003</v>
          </cell>
          <cell r="M24">
            <v>9.0785999999999998</v>
          </cell>
          <cell r="N24">
            <v>1.7714000000000001</v>
          </cell>
          <cell r="O24">
            <v>0.4652</v>
          </cell>
          <cell r="P24">
            <v>8.7866999999999997</v>
          </cell>
          <cell r="Q24">
            <v>1.9554</v>
          </cell>
          <cell r="R24">
            <v>0.4294</v>
          </cell>
          <cell r="S24">
            <v>8.2410999999999994</v>
          </cell>
          <cell r="T24">
            <v>1.5508999999999999</v>
          </cell>
          <cell r="U24">
            <v>0.33789999999999998</v>
          </cell>
          <cell r="V24">
            <v>5.5617000000000001</v>
          </cell>
          <cell r="W24">
            <v>1.9486000000000001</v>
          </cell>
          <cell r="X24">
            <v>0.43809999999999999</v>
          </cell>
          <cell r="Y24">
            <v>8.7909000000000006</v>
          </cell>
        </row>
        <row r="25">
          <cell r="A25" t="str">
            <v>Michigan</v>
          </cell>
          <cell r="B25">
            <v>1.369</v>
          </cell>
          <cell r="C25">
            <v>0.3962</v>
          </cell>
          <cell r="D25">
            <v>13.0397</v>
          </cell>
          <cell r="E25">
            <v>1.9549000000000001</v>
          </cell>
          <cell r="F25">
            <v>0.60560000000000003</v>
          </cell>
          <cell r="G25">
            <v>13.803599999999999</v>
          </cell>
          <cell r="H25">
            <v>2.1646000000000001</v>
          </cell>
          <cell r="I25">
            <v>0.51449999999999996</v>
          </cell>
          <cell r="J25">
            <v>11.0152</v>
          </cell>
          <cell r="K25">
            <v>2.2534000000000001</v>
          </cell>
          <cell r="L25">
            <v>0.47349999999999998</v>
          </cell>
          <cell r="M25">
            <v>10.9191</v>
          </cell>
          <cell r="N25">
            <v>1.9372</v>
          </cell>
          <cell r="O25">
            <v>0.55910000000000004</v>
          </cell>
          <cell r="P25">
            <v>11.7829</v>
          </cell>
          <cell r="Q25">
            <v>2.2181000000000002</v>
          </cell>
          <cell r="R25">
            <v>0.52910000000000001</v>
          </cell>
          <cell r="S25">
            <v>11.6761</v>
          </cell>
          <cell r="T25">
            <v>1.5969</v>
          </cell>
          <cell r="U25">
            <v>0.36209999999999998</v>
          </cell>
          <cell r="V25">
            <v>6.8754</v>
          </cell>
          <cell r="W25">
            <v>2.4094000000000002</v>
          </cell>
          <cell r="X25">
            <v>0.58330000000000004</v>
          </cell>
          <cell r="Y25">
            <v>12.8399</v>
          </cell>
        </row>
        <row r="26">
          <cell r="A26" t="str">
            <v>Minnesota</v>
          </cell>
          <cell r="B26">
            <v>1.5033000000000001</v>
          </cell>
          <cell r="C26">
            <v>0.42009999999999997</v>
          </cell>
          <cell r="D26">
            <v>13.2295</v>
          </cell>
          <cell r="E26">
            <v>2.0680000000000001</v>
          </cell>
          <cell r="F26">
            <v>0.62250000000000005</v>
          </cell>
          <cell r="G26">
            <v>13.852399999999999</v>
          </cell>
          <cell r="H26">
            <v>2.1355</v>
          </cell>
          <cell r="I26">
            <v>0.50049999999999994</v>
          </cell>
          <cell r="J26">
            <v>11.3329</v>
          </cell>
          <cell r="K26">
            <v>2.0188000000000001</v>
          </cell>
          <cell r="L26">
            <v>0.42209999999999998</v>
          </cell>
          <cell r="M26">
            <v>9.8405000000000005</v>
          </cell>
          <cell r="N26">
            <v>2.0327999999999999</v>
          </cell>
          <cell r="O26">
            <v>0.57299999999999995</v>
          </cell>
          <cell r="P26">
            <v>12.481299999999999</v>
          </cell>
          <cell r="Q26">
            <v>2.0945999999999998</v>
          </cell>
          <cell r="R26">
            <v>0.55489999999999995</v>
          </cell>
          <cell r="S26">
            <v>12.3925</v>
          </cell>
          <cell r="T26">
            <v>1.6598999999999999</v>
          </cell>
          <cell r="U26">
            <v>0.37309999999999999</v>
          </cell>
          <cell r="V26">
            <v>7.0639000000000003</v>
          </cell>
          <cell r="W26">
            <v>2.1614</v>
          </cell>
          <cell r="X26">
            <v>0.51080000000000003</v>
          </cell>
          <cell r="Y26">
            <v>12.095800000000001</v>
          </cell>
        </row>
        <row r="27">
          <cell r="A27" t="str">
            <v>Mississippi</v>
          </cell>
          <cell r="B27">
            <v>1.2829999999999999</v>
          </cell>
          <cell r="C27">
            <v>0.35470000000000002</v>
          </cell>
          <cell r="D27">
            <v>13.2826</v>
          </cell>
          <cell r="E27">
            <v>1.7779</v>
          </cell>
          <cell r="F27">
            <v>0.52590000000000003</v>
          </cell>
          <cell r="G27">
            <v>14.1187</v>
          </cell>
          <cell r="H27">
            <v>1</v>
          </cell>
          <cell r="I27">
            <v>0</v>
          </cell>
          <cell r="J27">
            <v>0</v>
          </cell>
          <cell r="K27">
            <v>2.1844000000000001</v>
          </cell>
          <cell r="L27">
            <v>0.4042</v>
          </cell>
          <cell r="M27">
            <v>10.3788</v>
          </cell>
          <cell r="N27">
            <v>1.8239000000000001</v>
          </cell>
          <cell r="O27">
            <v>0.47810000000000002</v>
          </cell>
          <cell r="P27">
            <v>10.774100000000001</v>
          </cell>
          <cell r="Q27">
            <v>1.8689</v>
          </cell>
          <cell r="R27">
            <v>0.41670000000000001</v>
          </cell>
          <cell r="S27">
            <v>11.571899999999999</v>
          </cell>
          <cell r="T27">
            <v>1.6704000000000001</v>
          </cell>
          <cell r="U27">
            <v>0.36680000000000001</v>
          </cell>
          <cell r="V27">
            <v>7.9077000000000002</v>
          </cell>
          <cell r="W27">
            <v>1.9945999999999999</v>
          </cell>
          <cell r="X27">
            <v>0.42870000000000003</v>
          </cell>
          <cell r="Y27">
            <v>10.860200000000001</v>
          </cell>
        </row>
        <row r="28">
          <cell r="A28" t="str">
            <v>Missouri</v>
          </cell>
          <cell r="B28">
            <v>1.5569</v>
          </cell>
          <cell r="C28">
            <v>0.40089999999999998</v>
          </cell>
          <cell r="D28">
            <v>13.6602</v>
          </cell>
          <cell r="E28">
            <v>2.028</v>
          </cell>
          <cell r="F28">
            <v>0.56020000000000003</v>
          </cell>
          <cell r="G28">
            <v>13.7713</v>
          </cell>
          <cell r="H28">
            <v>2.0899000000000001</v>
          </cell>
          <cell r="I28">
            <v>0.45250000000000001</v>
          </cell>
          <cell r="J28">
            <v>10.672000000000001</v>
          </cell>
          <cell r="K28">
            <v>2.3246000000000002</v>
          </cell>
          <cell r="L28">
            <v>0.44940000000000002</v>
          </cell>
          <cell r="M28">
            <v>11.456799999999999</v>
          </cell>
          <cell r="N28">
            <v>1.9765999999999999</v>
          </cell>
          <cell r="O28">
            <v>0.51670000000000005</v>
          </cell>
          <cell r="P28">
            <v>12.1249</v>
          </cell>
          <cell r="Q28">
            <v>2.0463</v>
          </cell>
          <cell r="R28">
            <v>0.47160000000000002</v>
          </cell>
          <cell r="S28">
            <v>11.4933</v>
          </cell>
          <cell r="T28">
            <v>1.7750999999999999</v>
          </cell>
          <cell r="U28">
            <v>0.3674</v>
          </cell>
          <cell r="V28">
            <v>7.6718999999999999</v>
          </cell>
          <cell r="W28">
            <v>2.2421000000000002</v>
          </cell>
          <cell r="X28">
            <v>0.49280000000000002</v>
          </cell>
          <cell r="Y28">
            <v>12.620900000000001</v>
          </cell>
        </row>
        <row r="29">
          <cell r="A29" t="str">
            <v>Montana</v>
          </cell>
          <cell r="B29">
            <v>1.2142999999999999</v>
          </cell>
          <cell r="C29">
            <v>0.3543</v>
          </cell>
          <cell r="D29">
            <v>14.036799999999999</v>
          </cell>
          <cell r="E29">
            <v>1.7451000000000001</v>
          </cell>
          <cell r="F29">
            <v>0.5363</v>
          </cell>
          <cell r="G29">
            <v>15.194699999999999</v>
          </cell>
          <cell r="H29">
            <v>1</v>
          </cell>
          <cell r="I29">
            <v>0</v>
          </cell>
          <cell r="J29">
            <v>0</v>
          </cell>
          <cell r="K29">
            <v>1.6189</v>
          </cell>
          <cell r="L29">
            <v>0.33150000000000002</v>
          </cell>
          <cell r="M29">
            <v>10.052899999999999</v>
          </cell>
          <cell r="N29">
            <v>1.7987</v>
          </cell>
          <cell r="O29">
            <v>0.45379999999999998</v>
          </cell>
          <cell r="P29">
            <v>11.4293</v>
          </cell>
          <cell r="Q29">
            <v>1.6597999999999999</v>
          </cell>
          <cell r="R29">
            <v>0.41720000000000002</v>
          </cell>
          <cell r="S29">
            <v>11.4366</v>
          </cell>
          <cell r="T29">
            <v>1.7905</v>
          </cell>
          <cell r="U29">
            <v>0.40489999999999998</v>
          </cell>
          <cell r="V29">
            <v>8.9974000000000007</v>
          </cell>
          <cell r="W29">
            <v>1.5959000000000001</v>
          </cell>
          <cell r="X29">
            <v>0.36809999999999998</v>
          </cell>
          <cell r="Y29">
            <v>10.2691</v>
          </cell>
        </row>
        <row r="30">
          <cell r="A30" t="str">
            <v>Nebraska</v>
          </cell>
          <cell r="B30">
            <v>1.2895000000000001</v>
          </cell>
          <cell r="C30">
            <v>0.3609</v>
          </cell>
          <cell r="D30">
            <v>13.208500000000001</v>
          </cell>
          <cell r="E30">
            <v>1.8573999999999999</v>
          </cell>
          <cell r="F30">
            <v>0.55320000000000003</v>
          </cell>
          <cell r="G30">
            <v>14.4964</v>
          </cell>
          <cell r="H30">
            <v>1.8980999999999999</v>
          </cell>
          <cell r="I30">
            <v>0.42870000000000003</v>
          </cell>
          <cell r="J30">
            <v>9.9357000000000006</v>
          </cell>
          <cell r="K30">
            <v>2.0440999999999998</v>
          </cell>
          <cell r="L30">
            <v>0.4098</v>
          </cell>
          <cell r="M30">
            <v>11.094200000000001</v>
          </cell>
          <cell r="N30">
            <v>1.8487</v>
          </cell>
          <cell r="O30">
            <v>0.51039999999999996</v>
          </cell>
          <cell r="P30">
            <v>12.0717</v>
          </cell>
          <cell r="Q30">
            <v>1.8714</v>
          </cell>
          <cell r="R30">
            <v>0.4476</v>
          </cell>
          <cell r="S30">
            <v>11.7338</v>
          </cell>
          <cell r="T30">
            <v>1.5679000000000001</v>
          </cell>
          <cell r="U30">
            <v>0.33610000000000001</v>
          </cell>
          <cell r="V30">
            <v>6.7321999999999997</v>
          </cell>
          <cell r="W30">
            <v>2.0609999999999999</v>
          </cell>
          <cell r="X30">
            <v>0.47120000000000001</v>
          </cell>
          <cell r="Y30">
            <v>12.069100000000001</v>
          </cell>
        </row>
        <row r="31">
          <cell r="A31" t="str">
            <v>Nevada</v>
          </cell>
          <cell r="B31">
            <v>1.0276000000000001</v>
          </cell>
          <cell r="C31">
            <v>0.2908</v>
          </cell>
          <cell r="D31">
            <v>9.2382000000000009</v>
          </cell>
          <cell r="E31">
            <v>1.7335</v>
          </cell>
          <cell r="F31">
            <v>0.52849999999999997</v>
          </cell>
          <cell r="G31">
            <v>11.769600000000001</v>
          </cell>
          <cell r="H31">
            <v>1.5912999999999999</v>
          </cell>
          <cell r="I31">
            <v>0.35580000000000001</v>
          </cell>
          <cell r="J31">
            <v>8.6603999999999992</v>
          </cell>
          <cell r="K31">
            <v>1.5359</v>
          </cell>
          <cell r="L31">
            <v>0.31130000000000002</v>
          </cell>
          <cell r="M31">
            <v>7.5388999999999999</v>
          </cell>
          <cell r="N31">
            <v>1.7297</v>
          </cell>
          <cell r="O31">
            <v>0.49780000000000002</v>
          </cell>
          <cell r="P31">
            <v>11.031700000000001</v>
          </cell>
          <cell r="Q31">
            <v>1.6063000000000001</v>
          </cell>
          <cell r="R31">
            <v>0.37830000000000003</v>
          </cell>
          <cell r="S31">
            <v>8.4048999999999996</v>
          </cell>
          <cell r="T31">
            <v>1.4307000000000001</v>
          </cell>
          <cell r="U31">
            <v>0.30630000000000002</v>
          </cell>
          <cell r="V31">
            <v>5.2775999999999996</v>
          </cell>
          <cell r="W31">
            <v>1.6261000000000001</v>
          </cell>
          <cell r="X31">
            <v>0.378</v>
          </cell>
          <cell r="Y31">
            <v>8.7863000000000007</v>
          </cell>
        </row>
        <row r="32">
          <cell r="A32" t="str">
            <v>New Hampshire</v>
          </cell>
          <cell r="B32">
            <v>1.2736000000000001</v>
          </cell>
          <cell r="C32">
            <v>0.34899999999999998</v>
          </cell>
          <cell r="D32">
            <v>10.8855</v>
          </cell>
          <cell r="E32">
            <v>1.8371</v>
          </cell>
          <cell r="F32">
            <v>0.51639999999999997</v>
          </cell>
          <cell r="G32">
            <v>11.173299999999999</v>
          </cell>
          <cell r="H32">
            <v>1.9624999999999999</v>
          </cell>
          <cell r="I32">
            <v>0.42330000000000001</v>
          </cell>
          <cell r="J32">
            <v>9.8787000000000003</v>
          </cell>
          <cell r="K32">
            <v>1.7713000000000001</v>
          </cell>
          <cell r="L32">
            <v>0.34839999999999999</v>
          </cell>
          <cell r="M32">
            <v>7.8205</v>
          </cell>
          <cell r="N32">
            <v>1.8230999999999999</v>
          </cell>
          <cell r="O32">
            <v>0.50860000000000005</v>
          </cell>
          <cell r="P32">
            <v>11.3355</v>
          </cell>
          <cell r="Q32">
            <v>1.9329000000000001</v>
          </cell>
          <cell r="R32">
            <v>0.4118</v>
          </cell>
          <cell r="S32">
            <v>8.8285</v>
          </cell>
          <cell r="T32">
            <v>1.4858</v>
          </cell>
          <cell r="U32">
            <v>0.30990000000000001</v>
          </cell>
          <cell r="V32">
            <v>5.5364000000000004</v>
          </cell>
          <cell r="W32">
            <v>1.9693000000000001</v>
          </cell>
          <cell r="X32">
            <v>0.43640000000000001</v>
          </cell>
          <cell r="Y32">
            <v>9.4864999999999995</v>
          </cell>
        </row>
        <row r="33">
          <cell r="A33" t="str">
            <v>New Jersey</v>
          </cell>
          <cell r="B33">
            <v>1.4917</v>
          </cell>
          <cell r="C33">
            <v>0.3977</v>
          </cell>
          <cell r="D33">
            <v>10.948</v>
          </cell>
          <cell r="E33">
            <v>2.0392000000000001</v>
          </cell>
          <cell r="F33">
            <v>0.56930000000000003</v>
          </cell>
          <cell r="G33">
            <v>11.7158</v>
          </cell>
          <cell r="H33">
            <v>1.9169</v>
          </cell>
          <cell r="I33">
            <v>0.41120000000000001</v>
          </cell>
          <cell r="J33">
            <v>7.7743000000000002</v>
          </cell>
          <cell r="K33">
            <v>2.2778999999999998</v>
          </cell>
          <cell r="L33">
            <v>0.43759999999999999</v>
          </cell>
          <cell r="M33">
            <v>9.1618999999999993</v>
          </cell>
          <cell r="N33">
            <v>1.8994</v>
          </cell>
          <cell r="O33">
            <v>0.4773</v>
          </cell>
          <cell r="P33">
            <v>8.8478999999999992</v>
          </cell>
          <cell r="Q33">
            <v>2.0945</v>
          </cell>
          <cell r="R33">
            <v>0.496</v>
          </cell>
          <cell r="S33">
            <v>10.0656</v>
          </cell>
          <cell r="T33">
            <v>1.609</v>
          </cell>
          <cell r="U33">
            <v>0.34389999999999998</v>
          </cell>
          <cell r="V33">
            <v>5.7591999999999999</v>
          </cell>
          <cell r="W33">
            <v>2.0015999999999998</v>
          </cell>
          <cell r="X33">
            <v>0.43440000000000001</v>
          </cell>
          <cell r="Y33">
            <v>9.2179000000000002</v>
          </cell>
        </row>
        <row r="34">
          <cell r="A34" t="str">
            <v>New Mexico</v>
          </cell>
          <cell r="B34">
            <v>1.1800999999999999</v>
          </cell>
          <cell r="C34">
            <v>0.34420000000000001</v>
          </cell>
          <cell r="D34">
            <v>13.0166</v>
          </cell>
          <cell r="E34">
            <v>1.7176</v>
          </cell>
          <cell r="F34">
            <v>0.52700000000000002</v>
          </cell>
          <cell r="G34">
            <v>14.4506</v>
          </cell>
          <cell r="H34">
            <v>1.5496000000000001</v>
          </cell>
          <cell r="I34">
            <v>0.33350000000000002</v>
          </cell>
          <cell r="J34">
            <v>9.2121999999999993</v>
          </cell>
          <cell r="K34">
            <v>1.5737000000000001</v>
          </cell>
          <cell r="L34">
            <v>0.32079999999999997</v>
          </cell>
          <cell r="M34">
            <v>8.1672999999999991</v>
          </cell>
          <cell r="N34">
            <v>1.7742</v>
          </cell>
          <cell r="O34">
            <v>0.49099999999999999</v>
          </cell>
          <cell r="P34">
            <v>12.981999999999999</v>
          </cell>
          <cell r="Q34">
            <v>1.6358999999999999</v>
          </cell>
          <cell r="R34">
            <v>0.42020000000000002</v>
          </cell>
          <cell r="S34">
            <v>12.139099999999999</v>
          </cell>
          <cell r="T34">
            <v>1.7464</v>
          </cell>
          <cell r="U34">
            <v>0.39319999999999999</v>
          </cell>
          <cell r="V34">
            <v>8.4107000000000003</v>
          </cell>
          <cell r="W34">
            <v>1.5954999999999999</v>
          </cell>
          <cell r="X34">
            <v>0.36409999999999998</v>
          </cell>
          <cell r="Y34">
            <v>10.0192</v>
          </cell>
        </row>
        <row r="35">
          <cell r="A35" t="str">
            <v>New York</v>
          </cell>
          <cell r="B35">
            <v>1.2142999999999999</v>
          </cell>
          <cell r="C35">
            <v>0.31319999999999998</v>
          </cell>
          <cell r="D35">
            <v>8.6646999999999998</v>
          </cell>
          <cell r="E35">
            <v>1.8366</v>
          </cell>
          <cell r="F35">
            <v>0.50600000000000001</v>
          </cell>
          <cell r="G35">
            <v>10.0829</v>
          </cell>
          <cell r="H35">
            <v>1.7416</v>
          </cell>
          <cell r="I35">
            <v>0.37530000000000002</v>
          </cell>
          <cell r="J35">
            <v>7.1337999999999999</v>
          </cell>
          <cell r="K35">
            <v>1.7138</v>
          </cell>
          <cell r="L35">
            <v>0.32850000000000001</v>
          </cell>
          <cell r="M35">
            <v>6.8387000000000002</v>
          </cell>
          <cell r="N35">
            <v>1.712</v>
          </cell>
          <cell r="O35">
            <v>0.44080000000000003</v>
          </cell>
          <cell r="P35">
            <v>7.8339999999999996</v>
          </cell>
          <cell r="Q35">
            <v>1.8371999999999999</v>
          </cell>
          <cell r="R35">
            <v>0.43309999999999998</v>
          </cell>
          <cell r="S35">
            <v>8.7349999999999994</v>
          </cell>
          <cell r="T35">
            <v>1.4819</v>
          </cell>
          <cell r="U35">
            <v>0.30969999999999998</v>
          </cell>
          <cell r="V35">
            <v>4.8430999999999997</v>
          </cell>
          <cell r="W35">
            <v>1.8409</v>
          </cell>
          <cell r="X35">
            <v>0.40439999999999998</v>
          </cell>
          <cell r="Y35">
            <v>7.8864000000000001</v>
          </cell>
        </row>
        <row r="36">
          <cell r="A36" t="str">
            <v>North Carolina</v>
          </cell>
          <cell r="B36">
            <v>1.4495</v>
          </cell>
          <cell r="C36">
            <v>0.40760000000000002</v>
          </cell>
          <cell r="D36">
            <v>13.581799999999999</v>
          </cell>
          <cell r="E36">
            <v>2.0341</v>
          </cell>
          <cell r="F36">
            <v>0.6089</v>
          </cell>
          <cell r="G36">
            <v>15.042199999999999</v>
          </cell>
          <cell r="H36">
            <v>2.1015000000000001</v>
          </cell>
          <cell r="I36">
            <v>0.48089999999999999</v>
          </cell>
          <cell r="J36">
            <v>10.5669</v>
          </cell>
          <cell r="K36">
            <v>2.2610999999999999</v>
          </cell>
          <cell r="L36">
            <v>0.4667</v>
          </cell>
          <cell r="M36">
            <v>11.7098</v>
          </cell>
          <cell r="N36">
            <v>1.9024000000000001</v>
          </cell>
          <cell r="O36">
            <v>0.5363</v>
          </cell>
          <cell r="P36">
            <v>12.787800000000001</v>
          </cell>
          <cell r="Q36">
            <v>2.1246</v>
          </cell>
          <cell r="R36">
            <v>0.50139999999999996</v>
          </cell>
          <cell r="S36">
            <v>11.7316</v>
          </cell>
          <cell r="T36">
            <v>1.5972999999999999</v>
          </cell>
          <cell r="U36">
            <v>0.3538</v>
          </cell>
          <cell r="V36">
            <v>7.1772999999999998</v>
          </cell>
          <cell r="W36">
            <v>2.2481</v>
          </cell>
          <cell r="X36">
            <v>0.52990000000000004</v>
          </cell>
          <cell r="Y36">
            <v>12.601100000000001</v>
          </cell>
        </row>
        <row r="37">
          <cell r="A37" t="str">
            <v>North Dakota</v>
          </cell>
          <cell r="B37">
            <v>1.2012</v>
          </cell>
          <cell r="C37">
            <v>0.32569999999999999</v>
          </cell>
          <cell r="D37">
            <v>12.622299999999999</v>
          </cell>
          <cell r="E37">
            <v>1.7149000000000001</v>
          </cell>
          <cell r="F37">
            <v>0.48599999999999999</v>
          </cell>
          <cell r="G37">
            <v>13.4016</v>
          </cell>
          <cell r="H37">
            <v>1</v>
          </cell>
          <cell r="I37">
            <v>0</v>
          </cell>
          <cell r="J37">
            <v>0</v>
          </cell>
          <cell r="K37">
            <v>1.6319999999999999</v>
          </cell>
          <cell r="L37">
            <v>0.30980000000000002</v>
          </cell>
          <cell r="M37">
            <v>8.8644999999999996</v>
          </cell>
          <cell r="N37">
            <v>1.853</v>
          </cell>
          <cell r="O37">
            <v>0.50649999999999995</v>
          </cell>
          <cell r="P37">
            <v>12.645200000000001</v>
          </cell>
          <cell r="Q37">
            <v>1.4663999999999999</v>
          </cell>
          <cell r="R37">
            <v>0.1804</v>
          </cell>
          <cell r="S37">
            <v>5.1698000000000004</v>
          </cell>
          <cell r="T37">
            <v>1.7492000000000001</v>
          </cell>
          <cell r="U37">
            <v>0.37909999999999999</v>
          </cell>
          <cell r="V37">
            <v>8.0821000000000005</v>
          </cell>
          <cell r="W37">
            <v>1.6344000000000001</v>
          </cell>
          <cell r="X37">
            <v>0.33910000000000001</v>
          </cell>
          <cell r="Y37">
            <v>9.4579000000000004</v>
          </cell>
        </row>
        <row r="38">
          <cell r="A38" t="str">
            <v>Ohio</v>
          </cell>
          <cell r="B38">
            <v>1.5186999999999999</v>
          </cell>
          <cell r="C38">
            <v>0.41959999999999997</v>
          </cell>
          <cell r="D38">
            <v>13.975</v>
          </cell>
          <cell r="E38">
            <v>2.0577000000000001</v>
          </cell>
          <cell r="F38">
            <v>0.61050000000000004</v>
          </cell>
          <cell r="G38">
            <v>14.9361</v>
          </cell>
          <cell r="H38">
            <v>2.3283999999999998</v>
          </cell>
          <cell r="I38">
            <v>0.54079999999999995</v>
          </cell>
          <cell r="J38">
            <v>11.7781</v>
          </cell>
          <cell r="K38">
            <v>2.5867</v>
          </cell>
          <cell r="L38">
            <v>0.52990000000000004</v>
          </cell>
          <cell r="M38">
            <v>12.836399999999999</v>
          </cell>
          <cell r="N38">
            <v>2.0815000000000001</v>
          </cell>
          <cell r="O38">
            <v>0.57169999999999999</v>
          </cell>
          <cell r="P38">
            <v>13.252700000000001</v>
          </cell>
          <cell r="Q38">
            <v>2.3336000000000001</v>
          </cell>
          <cell r="R38">
            <v>0.57709999999999995</v>
          </cell>
          <cell r="S38">
            <v>13.261699999999999</v>
          </cell>
          <cell r="T38">
            <v>1.7925</v>
          </cell>
          <cell r="U38">
            <v>0.39560000000000001</v>
          </cell>
          <cell r="V38">
            <v>7.9678000000000004</v>
          </cell>
          <cell r="W38">
            <v>2.5535000000000001</v>
          </cell>
          <cell r="X38">
            <v>0.59730000000000005</v>
          </cell>
          <cell r="Y38">
            <v>13.591900000000001</v>
          </cell>
        </row>
        <row r="39">
          <cell r="A39" t="str">
            <v>Oklahoma</v>
          </cell>
          <cell r="B39">
            <v>1.4339999999999999</v>
          </cell>
          <cell r="C39">
            <v>0.4083</v>
          </cell>
          <cell r="D39">
            <v>14.9392</v>
          </cell>
          <cell r="E39">
            <v>1.9379</v>
          </cell>
          <cell r="F39">
            <v>0.59109999999999996</v>
          </cell>
          <cell r="G39">
            <v>16.191099999999999</v>
          </cell>
          <cell r="H39">
            <v>2.0386000000000002</v>
          </cell>
          <cell r="I39">
            <v>0.47460000000000002</v>
          </cell>
          <cell r="J39">
            <v>11.684699999999999</v>
          </cell>
          <cell r="K39">
            <v>1.9077</v>
          </cell>
          <cell r="L39">
            <v>0.39989999999999998</v>
          </cell>
          <cell r="M39">
            <v>11.3996</v>
          </cell>
          <cell r="N39">
            <v>2.0396999999999998</v>
          </cell>
          <cell r="O39">
            <v>0.56120000000000003</v>
          </cell>
          <cell r="P39">
            <v>13.314500000000001</v>
          </cell>
          <cell r="Q39">
            <v>1.9789000000000001</v>
          </cell>
          <cell r="R39">
            <v>0.49390000000000001</v>
          </cell>
          <cell r="S39">
            <v>13.812900000000001</v>
          </cell>
          <cell r="T39">
            <v>1.8101</v>
          </cell>
          <cell r="U39">
            <v>0.41110000000000002</v>
          </cell>
          <cell r="V39">
            <v>9.0989000000000004</v>
          </cell>
          <cell r="W39">
            <v>2.0771000000000002</v>
          </cell>
          <cell r="X39">
            <v>0.48880000000000001</v>
          </cell>
          <cell r="Y39">
            <v>13.190099999999999</v>
          </cell>
        </row>
        <row r="40">
          <cell r="A40" t="str">
            <v>Oregon</v>
          </cell>
          <cell r="B40">
            <v>1.3268</v>
          </cell>
          <cell r="C40">
            <v>0.3659</v>
          </cell>
          <cell r="D40">
            <v>12.470800000000001</v>
          </cell>
          <cell r="E40">
            <v>1.9241999999999999</v>
          </cell>
          <cell r="F40">
            <v>0.55959999999999999</v>
          </cell>
          <cell r="G40">
            <v>13.180400000000001</v>
          </cell>
          <cell r="H40">
            <v>1.9641</v>
          </cell>
          <cell r="I40">
            <v>0.43990000000000001</v>
          </cell>
          <cell r="J40">
            <v>10.1731</v>
          </cell>
          <cell r="K40">
            <v>1.865</v>
          </cell>
          <cell r="L40">
            <v>0.38250000000000001</v>
          </cell>
          <cell r="M40">
            <v>9.3033999999999999</v>
          </cell>
          <cell r="N40">
            <v>1.8808</v>
          </cell>
          <cell r="O40">
            <v>0.51329999999999998</v>
          </cell>
          <cell r="P40">
            <v>10.6798</v>
          </cell>
          <cell r="Q40">
            <v>1.9452</v>
          </cell>
          <cell r="R40">
            <v>0.46939999999999998</v>
          </cell>
          <cell r="S40">
            <v>11.2288</v>
          </cell>
          <cell r="T40">
            <v>1.5658000000000001</v>
          </cell>
          <cell r="U40">
            <v>0.33410000000000001</v>
          </cell>
          <cell r="V40">
            <v>6.5613999999999999</v>
          </cell>
          <cell r="W40">
            <v>2.1046999999999998</v>
          </cell>
          <cell r="X40">
            <v>0.4647</v>
          </cell>
          <cell r="Y40">
            <v>11.2974</v>
          </cell>
        </row>
        <row r="41">
          <cell r="A41" t="str">
            <v>Pennsylvania</v>
          </cell>
          <cell r="B41">
            <v>1.5834999999999999</v>
          </cell>
          <cell r="C41">
            <v>0.43030000000000002</v>
          </cell>
          <cell r="D41">
            <v>12.9754</v>
          </cell>
          <cell r="E41">
            <v>2.0994999999999999</v>
          </cell>
          <cell r="F41">
            <v>0.61099999999999999</v>
          </cell>
          <cell r="G41">
            <v>13.6229</v>
          </cell>
          <cell r="H41">
            <v>2.3029000000000002</v>
          </cell>
          <cell r="I41">
            <v>0.53080000000000005</v>
          </cell>
          <cell r="J41">
            <v>11.107200000000001</v>
          </cell>
          <cell r="K41">
            <v>2.6055999999999999</v>
          </cell>
          <cell r="L41">
            <v>0.52910000000000001</v>
          </cell>
          <cell r="M41">
            <v>11.7996</v>
          </cell>
          <cell r="N41">
            <v>2.0868000000000002</v>
          </cell>
          <cell r="O41">
            <v>0.55510000000000004</v>
          </cell>
          <cell r="P41">
            <v>12.228999999999999</v>
          </cell>
          <cell r="Q41">
            <v>2.2799</v>
          </cell>
          <cell r="R41">
            <v>0.53600000000000003</v>
          </cell>
          <cell r="S41">
            <v>11.5732</v>
          </cell>
          <cell r="T41">
            <v>1.9104000000000001</v>
          </cell>
          <cell r="U41">
            <v>0.4264</v>
          </cell>
          <cell r="V41">
            <v>7.8261000000000003</v>
          </cell>
          <cell r="W41">
            <v>2.4807000000000001</v>
          </cell>
          <cell r="X41">
            <v>0.56920000000000004</v>
          </cell>
          <cell r="Y41">
            <v>12.749700000000001</v>
          </cell>
        </row>
        <row r="42">
          <cell r="A42" t="str">
            <v>Rhode Island</v>
          </cell>
          <cell r="B42">
            <v>1.2098</v>
          </cell>
          <cell r="C42">
            <v>0.32290000000000002</v>
          </cell>
          <cell r="D42">
            <v>10.4282</v>
          </cell>
          <cell r="E42">
            <v>1.7739</v>
          </cell>
          <cell r="F42">
            <v>0.49320000000000003</v>
          </cell>
          <cell r="G42">
            <v>11.085000000000001</v>
          </cell>
          <cell r="H42">
            <v>1.6309</v>
          </cell>
          <cell r="I42">
            <v>0.32969999999999999</v>
          </cell>
          <cell r="J42">
            <v>6.6177000000000001</v>
          </cell>
          <cell r="K42">
            <v>1.9934000000000001</v>
          </cell>
          <cell r="L42">
            <v>0.3619</v>
          </cell>
          <cell r="M42">
            <v>8.2142999999999997</v>
          </cell>
          <cell r="N42">
            <v>1.6669</v>
          </cell>
          <cell r="O42">
            <v>0.43259999999999998</v>
          </cell>
          <cell r="P42">
            <v>10.342000000000001</v>
          </cell>
          <cell r="Q42">
            <v>1.8648</v>
          </cell>
          <cell r="R42">
            <v>0.39200000000000002</v>
          </cell>
          <cell r="S42">
            <v>8.3686000000000007</v>
          </cell>
          <cell r="T42">
            <v>1.4509000000000001</v>
          </cell>
          <cell r="U42">
            <v>0.28010000000000002</v>
          </cell>
          <cell r="V42">
            <v>5.1340000000000003</v>
          </cell>
          <cell r="W42">
            <v>1.7121</v>
          </cell>
          <cell r="X42">
            <v>0.3407</v>
          </cell>
          <cell r="Y42">
            <v>7.3804999999999996</v>
          </cell>
        </row>
        <row r="43">
          <cell r="A43" t="str">
            <v>South Carolina</v>
          </cell>
          <cell r="B43">
            <v>1.4184000000000001</v>
          </cell>
          <cell r="C43">
            <v>0.39279999999999998</v>
          </cell>
          <cell r="D43">
            <v>13.986000000000001</v>
          </cell>
          <cell r="E43">
            <v>1.9217</v>
          </cell>
          <cell r="F43">
            <v>0.56559999999999999</v>
          </cell>
          <cell r="G43">
            <v>14.853400000000001</v>
          </cell>
          <cell r="H43">
            <v>2.0693000000000001</v>
          </cell>
          <cell r="I43">
            <v>0.46679999999999999</v>
          </cell>
          <cell r="J43">
            <v>12.080299999999999</v>
          </cell>
          <cell r="K43">
            <v>2.3978000000000002</v>
          </cell>
          <cell r="L43">
            <v>0.47270000000000001</v>
          </cell>
          <cell r="M43">
            <v>12.1251</v>
          </cell>
          <cell r="N43">
            <v>1.8660000000000001</v>
          </cell>
          <cell r="O43">
            <v>0.50829999999999997</v>
          </cell>
          <cell r="P43">
            <v>13.0761</v>
          </cell>
          <cell r="Q43">
            <v>2.0499999999999998</v>
          </cell>
          <cell r="R43">
            <v>0.48399999999999999</v>
          </cell>
          <cell r="S43">
            <v>11.8125</v>
          </cell>
          <cell r="T43">
            <v>1.5729</v>
          </cell>
          <cell r="U43">
            <v>0.32829999999999998</v>
          </cell>
          <cell r="V43">
            <v>7.1082999999999998</v>
          </cell>
          <cell r="W43">
            <v>2.2955999999999999</v>
          </cell>
          <cell r="X43">
            <v>0.52490000000000003</v>
          </cell>
          <cell r="Y43">
            <v>12.945600000000001</v>
          </cell>
        </row>
        <row r="44">
          <cell r="A44" t="str">
            <v>South Dakota</v>
          </cell>
          <cell r="B44">
            <v>1.1966000000000001</v>
          </cell>
          <cell r="C44">
            <v>0.33889999999999998</v>
          </cell>
          <cell r="D44">
            <v>13.3024</v>
          </cell>
          <cell r="E44">
            <v>1.7407999999999999</v>
          </cell>
          <cell r="F44">
            <v>0.51890000000000003</v>
          </cell>
          <cell r="G44">
            <v>14.427099999999999</v>
          </cell>
          <cell r="H44">
            <v>1.7272000000000001</v>
          </cell>
          <cell r="I44">
            <v>0.37630000000000002</v>
          </cell>
          <cell r="J44">
            <v>10.3765</v>
          </cell>
          <cell r="K44">
            <v>1</v>
          </cell>
          <cell r="L44">
            <v>0</v>
          </cell>
          <cell r="M44">
            <v>0</v>
          </cell>
          <cell r="N44">
            <v>1.7149000000000001</v>
          </cell>
          <cell r="O44">
            <v>0.46639999999999998</v>
          </cell>
          <cell r="P44">
            <v>11.6892</v>
          </cell>
          <cell r="Q44">
            <v>1.6245000000000001</v>
          </cell>
          <cell r="R44">
            <v>0.38479999999999998</v>
          </cell>
          <cell r="S44">
            <v>10.0587</v>
          </cell>
          <cell r="T44">
            <v>1.4939</v>
          </cell>
          <cell r="U44">
            <v>0.3301</v>
          </cell>
          <cell r="V44">
            <v>7.2019000000000002</v>
          </cell>
          <cell r="W44">
            <v>1.7056</v>
          </cell>
          <cell r="X44">
            <v>0.37990000000000002</v>
          </cell>
          <cell r="Y44">
            <v>10.752700000000001</v>
          </cell>
        </row>
        <row r="45">
          <cell r="A45" t="str">
            <v>Tennessee</v>
          </cell>
          <cell r="B45">
            <v>1.6446000000000001</v>
          </cell>
          <cell r="C45">
            <v>0.44180000000000003</v>
          </cell>
          <cell r="D45">
            <v>13.855700000000001</v>
          </cell>
          <cell r="E45">
            <v>2.0758000000000001</v>
          </cell>
          <cell r="F45">
            <v>0.59850000000000003</v>
          </cell>
          <cell r="G45">
            <v>14.379300000000001</v>
          </cell>
          <cell r="H45">
            <v>2.2181999999999999</v>
          </cell>
          <cell r="I45">
            <v>0.49309999999999998</v>
          </cell>
          <cell r="J45">
            <v>12.3292</v>
          </cell>
          <cell r="K45">
            <v>2.3874</v>
          </cell>
          <cell r="L45">
            <v>0.47260000000000002</v>
          </cell>
          <cell r="M45">
            <v>11.5366</v>
          </cell>
          <cell r="N45">
            <v>2.0733999999999999</v>
          </cell>
          <cell r="O45">
            <v>0.55689999999999995</v>
          </cell>
          <cell r="P45">
            <v>11.525</v>
          </cell>
          <cell r="Q45">
            <v>2.2109999999999999</v>
          </cell>
          <cell r="R45">
            <v>0.50170000000000003</v>
          </cell>
          <cell r="S45">
            <v>12.078799999999999</v>
          </cell>
          <cell r="T45">
            <v>1.7157</v>
          </cell>
          <cell r="U45">
            <v>0.37259999999999999</v>
          </cell>
          <cell r="V45">
            <v>7.6344000000000003</v>
          </cell>
          <cell r="W45">
            <v>2.4487000000000001</v>
          </cell>
          <cell r="X45">
            <v>0.56210000000000004</v>
          </cell>
          <cell r="Y45">
            <v>13.449</v>
          </cell>
        </row>
        <row r="46">
          <cell r="A46" t="str">
            <v>Texas</v>
          </cell>
          <cell r="B46">
            <v>1.6983999999999999</v>
          </cell>
          <cell r="C46">
            <v>0.47299999999999998</v>
          </cell>
          <cell r="D46">
            <v>14.180999999999999</v>
          </cell>
          <cell r="E46">
            <v>2.1697000000000002</v>
          </cell>
          <cell r="F46">
            <v>0.65290000000000004</v>
          </cell>
          <cell r="G46">
            <v>14.4595</v>
          </cell>
          <cell r="H46">
            <v>2.1798000000000002</v>
          </cell>
          <cell r="I46">
            <v>0.51029999999999998</v>
          </cell>
          <cell r="J46">
            <v>10.585800000000001</v>
          </cell>
          <cell r="K46">
            <v>2.7334000000000001</v>
          </cell>
          <cell r="L46">
            <v>0.56689999999999996</v>
          </cell>
          <cell r="M46">
            <v>12.6309</v>
          </cell>
          <cell r="N46">
            <v>2.1804000000000001</v>
          </cell>
          <cell r="O46">
            <v>0.59870000000000001</v>
          </cell>
          <cell r="P46">
            <v>12.442299999999999</v>
          </cell>
          <cell r="Q46">
            <v>2.2351000000000001</v>
          </cell>
          <cell r="R46">
            <v>0.5363</v>
          </cell>
          <cell r="S46">
            <v>11.6747</v>
          </cell>
          <cell r="T46">
            <v>2.0142000000000002</v>
          </cell>
          <cell r="U46">
            <v>0.46679999999999999</v>
          </cell>
          <cell r="V46">
            <v>8.6640999999999995</v>
          </cell>
          <cell r="W46">
            <v>2.3149999999999999</v>
          </cell>
          <cell r="X46">
            <v>0.54710000000000003</v>
          </cell>
          <cell r="Y46">
            <v>12.410299999999999</v>
          </cell>
        </row>
        <row r="47">
          <cell r="A47" t="str">
            <v>Utah</v>
          </cell>
          <cell r="B47">
            <v>1.5331999999999999</v>
          </cell>
          <cell r="C47">
            <v>0.43280000000000002</v>
          </cell>
          <cell r="D47">
            <v>15.4551</v>
          </cell>
          <cell r="E47">
            <v>2.1</v>
          </cell>
          <cell r="F47">
            <v>0.63870000000000005</v>
          </cell>
          <cell r="G47">
            <v>17.256499999999999</v>
          </cell>
          <cell r="H47">
            <v>2.0621999999999998</v>
          </cell>
          <cell r="I47">
            <v>0.48809999999999998</v>
          </cell>
          <cell r="J47">
            <v>13.279400000000001</v>
          </cell>
          <cell r="K47">
            <v>1.9049</v>
          </cell>
          <cell r="L47">
            <v>0.40439999999999998</v>
          </cell>
          <cell r="M47">
            <v>11.5594</v>
          </cell>
          <cell r="N47">
            <v>2.1522000000000001</v>
          </cell>
          <cell r="O47">
            <v>0.60850000000000004</v>
          </cell>
          <cell r="P47">
            <v>16.1098</v>
          </cell>
          <cell r="Q47">
            <v>2.0255000000000001</v>
          </cell>
          <cell r="R47">
            <v>0.55610000000000004</v>
          </cell>
          <cell r="S47">
            <v>13.880800000000001</v>
          </cell>
          <cell r="T47">
            <v>1.9428000000000001</v>
          </cell>
          <cell r="U47">
            <v>0.4506</v>
          </cell>
          <cell r="V47">
            <v>9.4949999999999992</v>
          </cell>
          <cell r="W47">
            <v>2.2416</v>
          </cell>
          <cell r="X47">
            <v>0.5393</v>
          </cell>
          <cell r="Y47">
            <v>13.742599999999999</v>
          </cell>
        </row>
        <row r="48">
          <cell r="A48" t="str">
            <v>Vermont</v>
          </cell>
          <cell r="B48">
            <v>1.1473</v>
          </cell>
          <cell r="C48">
            <v>0.31850000000000001</v>
          </cell>
          <cell r="D48">
            <v>11.750999999999999</v>
          </cell>
          <cell r="E48">
            <v>1.6612</v>
          </cell>
          <cell r="F48">
            <v>0.4672</v>
          </cell>
          <cell r="G48">
            <v>12.6388</v>
          </cell>
          <cell r="H48">
            <v>1</v>
          </cell>
          <cell r="I48">
            <v>0</v>
          </cell>
          <cell r="J48">
            <v>0</v>
          </cell>
          <cell r="K48">
            <v>1.5946</v>
          </cell>
          <cell r="L48">
            <v>0.29220000000000002</v>
          </cell>
          <cell r="M48">
            <v>8.4403000000000006</v>
          </cell>
          <cell r="N48">
            <v>1.6057999999999999</v>
          </cell>
          <cell r="O48">
            <v>0.41720000000000002</v>
          </cell>
          <cell r="P48">
            <v>10.969799999999999</v>
          </cell>
          <cell r="Q48">
            <v>1.6141000000000001</v>
          </cell>
          <cell r="R48">
            <v>0.32040000000000002</v>
          </cell>
          <cell r="S48">
            <v>8.1419999999999995</v>
          </cell>
          <cell r="T48">
            <v>1.4093</v>
          </cell>
          <cell r="U48">
            <v>0.2727</v>
          </cell>
          <cell r="V48">
            <v>5.3822999999999999</v>
          </cell>
          <cell r="W48">
            <v>1.7010000000000001</v>
          </cell>
          <cell r="X48">
            <v>0.37009999999999998</v>
          </cell>
          <cell r="Y48">
            <v>9.1012000000000004</v>
          </cell>
        </row>
        <row r="49">
          <cell r="A49" t="str">
            <v>Virginia</v>
          </cell>
          <cell r="B49">
            <v>1.3738999999999999</v>
          </cell>
          <cell r="C49">
            <v>0.36459999999999998</v>
          </cell>
          <cell r="D49">
            <v>11.676600000000001</v>
          </cell>
          <cell r="E49">
            <v>1.9777</v>
          </cell>
          <cell r="F49">
            <v>0.56730000000000003</v>
          </cell>
          <cell r="G49">
            <v>12.7158</v>
          </cell>
          <cell r="H49">
            <v>1.9224000000000001</v>
          </cell>
          <cell r="I49">
            <v>0.4199</v>
          </cell>
          <cell r="J49">
            <v>10.314500000000001</v>
          </cell>
          <cell r="K49">
            <v>2.0110999999999999</v>
          </cell>
          <cell r="L49">
            <v>0.39219999999999999</v>
          </cell>
          <cell r="M49">
            <v>9.4910999999999994</v>
          </cell>
          <cell r="N49">
            <v>1.8660000000000001</v>
          </cell>
          <cell r="O49">
            <v>0.49370000000000003</v>
          </cell>
          <cell r="P49">
            <v>11.218999999999999</v>
          </cell>
          <cell r="Q49">
            <v>1.9366000000000001</v>
          </cell>
          <cell r="R49">
            <v>0.46289999999999998</v>
          </cell>
          <cell r="S49">
            <v>10.1478</v>
          </cell>
          <cell r="T49">
            <v>1.7346999999999999</v>
          </cell>
          <cell r="U49">
            <v>0.37390000000000001</v>
          </cell>
          <cell r="V49">
            <v>6.8727</v>
          </cell>
          <cell r="W49">
            <v>2.0051999999999999</v>
          </cell>
          <cell r="X49">
            <v>0.44740000000000002</v>
          </cell>
          <cell r="Y49">
            <v>10.3468</v>
          </cell>
        </row>
        <row r="50">
          <cell r="A50" t="str">
            <v>Washington</v>
          </cell>
          <cell r="B50">
            <v>1.4517</v>
          </cell>
          <cell r="C50">
            <v>0.40860000000000002</v>
          </cell>
          <cell r="D50">
            <v>12.561199999999999</v>
          </cell>
          <cell r="E50">
            <v>1.9904999999999999</v>
          </cell>
          <cell r="F50">
            <v>0.60099999999999998</v>
          </cell>
          <cell r="G50">
            <v>13.484999999999999</v>
          </cell>
          <cell r="H50">
            <v>1.8533999999999999</v>
          </cell>
          <cell r="I50">
            <v>0.42459999999999998</v>
          </cell>
          <cell r="J50">
            <v>10.4529</v>
          </cell>
          <cell r="K50">
            <v>1.8862000000000001</v>
          </cell>
          <cell r="L50">
            <v>0.39829999999999999</v>
          </cell>
          <cell r="M50">
            <v>9.5580999999999996</v>
          </cell>
          <cell r="N50">
            <v>2.0156000000000001</v>
          </cell>
          <cell r="O50">
            <v>0.56479999999999997</v>
          </cell>
          <cell r="P50">
            <v>11.711399999999999</v>
          </cell>
          <cell r="Q50">
            <v>2.0341</v>
          </cell>
          <cell r="R50">
            <v>0.56220000000000003</v>
          </cell>
          <cell r="S50">
            <v>11.9634</v>
          </cell>
          <cell r="T50">
            <v>1.6717</v>
          </cell>
          <cell r="U50">
            <v>0.37159999999999999</v>
          </cell>
          <cell r="V50">
            <v>6.8665000000000003</v>
          </cell>
          <cell r="W50">
            <v>1.9430000000000001</v>
          </cell>
          <cell r="X50">
            <v>0.46300000000000002</v>
          </cell>
          <cell r="Y50">
            <v>10.8553</v>
          </cell>
        </row>
        <row r="51">
          <cell r="A51" t="str">
            <v>West Virginia</v>
          </cell>
          <cell r="B51">
            <v>1.0849</v>
          </cell>
          <cell r="C51">
            <v>0.29430000000000001</v>
          </cell>
          <cell r="D51">
            <v>11.5741</v>
          </cell>
          <cell r="E51">
            <v>1.6168</v>
          </cell>
          <cell r="F51">
            <v>0.45440000000000003</v>
          </cell>
          <cell r="G51">
            <v>12.457700000000001</v>
          </cell>
          <cell r="H51">
            <v>1.6489</v>
          </cell>
          <cell r="I51">
            <v>0.32400000000000001</v>
          </cell>
          <cell r="J51">
            <v>7.5225999999999997</v>
          </cell>
          <cell r="K51">
            <v>2.1414</v>
          </cell>
          <cell r="L51">
            <v>0.36380000000000001</v>
          </cell>
          <cell r="M51">
            <v>10.0945</v>
          </cell>
          <cell r="N51">
            <v>1.758</v>
          </cell>
          <cell r="O51">
            <v>0.45190000000000002</v>
          </cell>
          <cell r="P51">
            <v>10.200900000000001</v>
          </cell>
          <cell r="Q51">
            <v>1.7292000000000001</v>
          </cell>
          <cell r="R51">
            <v>0.43059999999999998</v>
          </cell>
          <cell r="S51">
            <v>10.228300000000001</v>
          </cell>
          <cell r="T51">
            <v>1.7021999999999999</v>
          </cell>
          <cell r="U51">
            <v>0.35099999999999998</v>
          </cell>
          <cell r="V51">
            <v>7.4829999999999997</v>
          </cell>
          <cell r="W51">
            <v>1.8438000000000001</v>
          </cell>
          <cell r="X51">
            <v>0.3624</v>
          </cell>
          <cell r="Y51">
            <v>8.7317999999999998</v>
          </cell>
        </row>
        <row r="52">
          <cell r="A52" t="str">
            <v>Wisconsin</v>
          </cell>
          <cell r="B52">
            <v>1.3984000000000001</v>
          </cell>
          <cell r="C52">
            <v>0.39400000000000002</v>
          </cell>
          <cell r="D52">
            <v>13.747</v>
          </cell>
          <cell r="E52">
            <v>1.9386000000000001</v>
          </cell>
          <cell r="F52">
            <v>0.58740000000000003</v>
          </cell>
          <cell r="G52">
            <v>14.8337</v>
          </cell>
          <cell r="H52">
            <v>2.1591</v>
          </cell>
          <cell r="I52">
            <v>0.50590000000000002</v>
          </cell>
          <cell r="J52">
            <v>11.869199999999999</v>
          </cell>
          <cell r="K52">
            <v>2.0333000000000001</v>
          </cell>
          <cell r="L52">
            <v>0.42380000000000001</v>
          </cell>
          <cell r="M52">
            <v>11.411</v>
          </cell>
          <cell r="N52">
            <v>1.8917999999999999</v>
          </cell>
          <cell r="O52">
            <v>0.51629999999999998</v>
          </cell>
          <cell r="P52">
            <v>11.1937</v>
          </cell>
          <cell r="Q52">
            <v>2.0566</v>
          </cell>
          <cell r="R52">
            <v>0.54949999999999999</v>
          </cell>
          <cell r="S52">
            <v>12.437099999999999</v>
          </cell>
          <cell r="T52">
            <v>1.5892999999999999</v>
          </cell>
          <cell r="U52">
            <v>0.3569</v>
          </cell>
          <cell r="V52">
            <v>7.3128000000000002</v>
          </cell>
          <cell r="W52">
            <v>2.2597999999999998</v>
          </cell>
          <cell r="X52">
            <v>0.53659999999999997</v>
          </cell>
          <cell r="Y52">
            <v>12.5465</v>
          </cell>
        </row>
        <row r="53">
          <cell r="A53" t="str">
            <v>Wyoming</v>
          </cell>
          <cell r="B53">
            <v>0.91449999999999998</v>
          </cell>
          <cell r="C53">
            <v>0.26150000000000001</v>
          </cell>
          <cell r="D53">
            <v>10.1456</v>
          </cell>
          <cell r="E53">
            <v>1.5224</v>
          </cell>
          <cell r="F53">
            <v>0.45610000000000001</v>
          </cell>
          <cell r="G53">
            <v>11.473699999999999</v>
          </cell>
          <cell r="H53">
            <v>1</v>
          </cell>
          <cell r="I53">
            <v>0</v>
          </cell>
          <cell r="J53">
            <v>0</v>
          </cell>
          <cell r="K53">
            <v>1.4751000000000001</v>
          </cell>
          <cell r="L53">
            <v>0.27089999999999997</v>
          </cell>
          <cell r="M53">
            <v>7.6744000000000003</v>
          </cell>
          <cell r="N53">
            <v>1.7055</v>
          </cell>
          <cell r="O53">
            <v>0.46550000000000002</v>
          </cell>
          <cell r="P53">
            <v>11.448600000000001</v>
          </cell>
          <cell r="Q53">
            <v>1.4729000000000001</v>
          </cell>
          <cell r="R53">
            <v>0.34760000000000002</v>
          </cell>
          <cell r="S53">
            <v>8.1690000000000005</v>
          </cell>
          <cell r="T53">
            <v>1.6437999999999999</v>
          </cell>
          <cell r="U53">
            <v>0.35439999999999999</v>
          </cell>
          <cell r="V53">
            <v>6.9581</v>
          </cell>
          <cell r="W53">
            <v>1.4753000000000001</v>
          </cell>
          <cell r="X53">
            <v>0.32419999999999999</v>
          </cell>
          <cell r="Y53">
            <v>8.7619000000000007</v>
          </cell>
        </row>
      </sheetData>
      <sheetData sheetId="3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ergy.gov/eere/greet" TargetMode="External"/><Relationship Id="rId1" Type="http://schemas.openxmlformats.org/officeDocument/2006/relationships/hyperlink" Target="https://www.energy.gov/eere/gre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energy/greenhouse-gas-equivalencies-calculator" TargetMode="External"/><Relationship Id="rId1" Type="http://schemas.openxmlformats.org/officeDocument/2006/relationships/hyperlink" Target="http://www.epa.gov/cleanenergy/energy-resources/calculator.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pa.gov/avert/avoided-emission-rates-generated-avert"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eia.gov/environment/emissions/co2_vol_mass.php" TargetMode="External"/><Relationship Id="rId7" Type="http://schemas.openxmlformats.org/officeDocument/2006/relationships/drawing" Target="../drawings/drawing4.xml"/><Relationship Id="rId2" Type="http://schemas.openxmlformats.org/officeDocument/2006/relationships/hyperlink" Target="https://www.eia.gov/environment/emissions/co2_vol_mass.php" TargetMode="External"/><Relationship Id="rId1" Type="http://schemas.openxmlformats.org/officeDocument/2006/relationships/hyperlink" Target="https://www.epa.gov/sites/default/files/2020-11/documents/appa.pdf" TargetMode="External"/><Relationship Id="rId6" Type="http://schemas.openxmlformats.org/officeDocument/2006/relationships/printerSettings" Target="../printerSettings/printerSettings4.bin"/><Relationship Id="rId5" Type="http://schemas.openxmlformats.org/officeDocument/2006/relationships/hyperlink" Target="https://www.epa.gov/lmop/lfgcost-web-landfill-gas-energy-cost-model" TargetMode="External"/><Relationship Id="rId4" Type="http://schemas.openxmlformats.org/officeDocument/2006/relationships/hyperlink" Target="https://greet.anl.gov/"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epa.gov/energy/greenhouse-gas-equivalencies-calculator" TargetMode="External"/><Relationship Id="rId3" Type="http://schemas.openxmlformats.org/officeDocument/2006/relationships/hyperlink" Target="https://www.epa.gov/energy/greenhouse-gases-equivalencies-calculator-calculations-and-references" TargetMode="External"/><Relationship Id="rId7" Type="http://schemas.openxmlformats.org/officeDocument/2006/relationships/hyperlink" Target="https://www.eia.gov/consumption/residential/data/2020/index.php?view=consumption" TargetMode="External"/><Relationship Id="rId2" Type="http://schemas.openxmlformats.org/officeDocument/2006/relationships/hyperlink" Target="https://www.epa.gov/energy/greenhouse-gases-equivalencies-calculator-calculations-and-references" TargetMode="External"/><Relationship Id="rId1" Type="http://schemas.openxmlformats.org/officeDocument/2006/relationships/hyperlink" Target="https://www.epa.gov/energy/greenhouse-gases-equivalencies-calculator-calculations-and-references" TargetMode="External"/><Relationship Id="rId6" Type="http://schemas.openxmlformats.org/officeDocument/2006/relationships/hyperlink" Target="https://www.eia.gov/consumption/residential/data/2020/index.php?view=consumption" TargetMode="External"/><Relationship Id="rId5" Type="http://schemas.openxmlformats.org/officeDocument/2006/relationships/hyperlink" Target="https://www.epa.gov/energy/greenhouse-gases-equivalencies-calculator-calculations-and-references" TargetMode="External"/><Relationship Id="rId10" Type="http://schemas.openxmlformats.org/officeDocument/2006/relationships/drawing" Target="../drawings/drawing5.xml"/><Relationship Id="rId4" Type="http://schemas.openxmlformats.org/officeDocument/2006/relationships/hyperlink" Target="https://www.epa.gov/energy/greenhouse-gases-equivalencies-calculator-calculations-and-references" TargetMode="External"/><Relationship Id="rId9"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F570-54EA-4805-8146-1CB50D71DF74}">
  <sheetPr codeName="Sheet4">
    <pageSetUpPr fitToPage="1"/>
  </sheetPr>
  <dimension ref="A1:S44"/>
  <sheetViews>
    <sheetView showGridLines="0" tabSelected="1" zoomScaleNormal="100" zoomScaleSheetLayoutView="115" workbookViewId="0">
      <selection sqref="A1:O1"/>
    </sheetView>
  </sheetViews>
  <sheetFormatPr defaultColWidth="8.88671875" defaultRowHeight="13.8" x14ac:dyDescent="0.3"/>
  <cols>
    <col min="1" max="14" width="8.88671875" style="157"/>
    <col min="15" max="15" width="9.5546875" style="157" customWidth="1"/>
    <col min="16" max="16384" width="8.88671875" style="152"/>
  </cols>
  <sheetData>
    <row r="1" spans="1:19" ht="25.8" x14ac:dyDescent="0.5">
      <c r="A1" s="455" t="s">
        <v>160</v>
      </c>
      <c r="B1" s="456"/>
      <c r="C1" s="456"/>
      <c r="D1" s="456"/>
      <c r="E1" s="456"/>
      <c r="F1" s="456"/>
      <c r="G1" s="456"/>
      <c r="H1" s="456"/>
      <c r="I1" s="456"/>
      <c r="J1" s="456"/>
      <c r="K1" s="456"/>
      <c r="L1" s="456"/>
      <c r="M1" s="456"/>
      <c r="N1" s="456"/>
      <c r="O1" s="456"/>
    </row>
    <row r="2" spans="1:19" ht="15" customHeight="1" x14ac:dyDescent="0.3">
      <c r="A2" s="458" t="s">
        <v>201</v>
      </c>
      <c r="B2" s="458"/>
      <c r="C2" s="458"/>
      <c r="D2" s="458"/>
      <c r="E2" s="458"/>
      <c r="F2" s="458"/>
      <c r="G2" s="458"/>
      <c r="H2" s="458"/>
      <c r="I2" s="458"/>
      <c r="J2" s="458"/>
      <c r="K2" s="458"/>
      <c r="L2" s="458"/>
      <c r="M2" s="458"/>
      <c r="N2" s="458"/>
      <c r="O2" s="458"/>
    </row>
    <row r="3" spans="1:19" ht="15" customHeight="1" x14ac:dyDescent="0.3">
      <c r="A3" s="75"/>
      <c r="B3" s="75"/>
      <c r="C3" s="75"/>
      <c r="D3" s="75"/>
      <c r="E3" s="75"/>
      <c r="F3" s="75"/>
      <c r="G3" s="75"/>
      <c r="H3" s="75"/>
      <c r="I3" s="75"/>
      <c r="J3" s="75"/>
      <c r="K3" s="75"/>
      <c r="L3" s="75"/>
      <c r="M3" s="75"/>
      <c r="N3" s="75"/>
      <c r="O3" s="75"/>
    </row>
    <row r="4" spans="1:19" ht="15" customHeight="1" x14ac:dyDescent="0.3">
      <c r="A4" s="154"/>
      <c r="B4" s="155"/>
      <c r="C4" s="154"/>
      <c r="D4" s="155"/>
      <c r="E4" s="155"/>
      <c r="F4" s="154"/>
      <c r="G4" s="155"/>
      <c r="H4" s="155"/>
      <c r="I4" s="155"/>
      <c r="J4" s="154"/>
      <c r="K4" s="155"/>
      <c r="L4" s="155"/>
      <c r="M4" s="155"/>
      <c r="N4" s="155"/>
      <c r="O4" s="155"/>
    </row>
    <row r="5" spans="1:19" ht="15" customHeight="1" x14ac:dyDescent="0.3">
      <c r="A5" s="75"/>
      <c r="B5" s="75"/>
      <c r="C5" s="75"/>
      <c r="D5" s="75"/>
      <c r="E5" s="75"/>
      <c r="F5" s="75"/>
      <c r="G5" s="75"/>
      <c r="H5" s="75"/>
      <c r="I5" s="75"/>
      <c r="J5" s="75"/>
      <c r="K5" s="75"/>
      <c r="L5" s="75"/>
      <c r="M5" s="75"/>
      <c r="N5" s="75"/>
      <c r="O5" s="75"/>
    </row>
    <row r="6" spans="1:19" ht="15" customHeight="1" x14ac:dyDescent="0.3">
      <c r="A6" s="75"/>
      <c r="B6" s="75"/>
      <c r="C6" s="75"/>
      <c r="D6" s="75"/>
      <c r="E6" s="75"/>
      <c r="F6" s="75"/>
      <c r="G6" s="75"/>
      <c r="H6" s="75"/>
      <c r="I6" s="75"/>
      <c r="J6" s="75"/>
      <c r="K6" s="75"/>
      <c r="L6" s="75"/>
      <c r="M6" s="75"/>
      <c r="N6" s="75"/>
      <c r="O6" s="75"/>
    </row>
    <row r="7" spans="1:19" ht="16.2" customHeight="1" x14ac:dyDescent="0.3">
      <c r="A7" s="459" t="s">
        <v>189</v>
      </c>
      <c r="B7" s="460"/>
      <c r="C7" s="460"/>
      <c r="D7" s="460"/>
      <c r="E7" s="460"/>
      <c r="F7" s="460"/>
      <c r="G7" s="460"/>
      <c r="H7" s="460"/>
      <c r="I7" s="460"/>
      <c r="J7" s="460"/>
      <c r="K7" s="460"/>
      <c r="L7" s="460"/>
      <c r="M7" s="460"/>
      <c r="N7" s="460"/>
      <c r="O7" s="460"/>
      <c r="P7" s="153"/>
      <c r="Q7" s="153"/>
      <c r="R7" s="153"/>
      <c r="S7" s="153"/>
    </row>
    <row r="8" spans="1:19" ht="16.2" customHeight="1" x14ac:dyDescent="0.3">
      <c r="A8" s="460"/>
      <c r="B8" s="460"/>
      <c r="C8" s="460"/>
      <c r="D8" s="460"/>
      <c r="E8" s="460"/>
      <c r="F8" s="460"/>
      <c r="G8" s="460"/>
      <c r="H8" s="460"/>
      <c r="I8" s="460"/>
      <c r="J8" s="460"/>
      <c r="K8" s="460"/>
      <c r="L8" s="460"/>
      <c r="M8" s="460"/>
      <c r="N8" s="460"/>
      <c r="O8" s="460"/>
      <c r="P8" s="153"/>
      <c r="Q8" s="153"/>
      <c r="R8" s="153"/>
      <c r="S8" s="153"/>
    </row>
    <row r="9" spans="1:19" ht="16.2" customHeight="1" x14ac:dyDescent="0.3">
      <c r="A9" s="461"/>
      <c r="B9" s="461"/>
      <c r="C9" s="461"/>
      <c r="D9" s="461"/>
      <c r="E9" s="461"/>
      <c r="F9" s="461"/>
      <c r="G9" s="461"/>
      <c r="H9" s="461"/>
      <c r="I9" s="461"/>
      <c r="J9" s="461"/>
      <c r="K9" s="461"/>
      <c r="L9" s="461"/>
      <c r="M9" s="461"/>
      <c r="N9" s="461"/>
      <c r="O9" s="461"/>
      <c r="P9" s="153"/>
      <c r="Q9" s="153"/>
      <c r="R9" s="153"/>
      <c r="S9" s="153"/>
    </row>
    <row r="10" spans="1:19" ht="15" customHeight="1" x14ac:dyDescent="0.3">
      <c r="A10" s="396"/>
      <c r="B10" s="397"/>
      <c r="C10" s="397"/>
      <c r="D10" s="397"/>
      <c r="E10" s="397"/>
      <c r="F10" s="397"/>
      <c r="G10" s="397"/>
      <c r="H10" s="397"/>
      <c r="I10" s="397"/>
      <c r="J10" s="397"/>
      <c r="K10" s="397"/>
      <c r="L10" s="397"/>
      <c r="M10" s="397"/>
      <c r="N10" s="397"/>
      <c r="O10" s="397"/>
      <c r="P10" s="153"/>
      <c r="Q10" s="153"/>
      <c r="R10" s="153"/>
      <c r="S10" s="153"/>
    </row>
    <row r="11" spans="1:19" ht="15" customHeight="1" x14ac:dyDescent="0.3">
      <c r="A11" s="432" t="s">
        <v>183</v>
      </c>
      <c r="B11" s="397"/>
      <c r="C11" s="397"/>
      <c r="D11" s="397"/>
      <c r="E11" s="397"/>
      <c r="F11" s="397"/>
      <c r="G11" s="397"/>
      <c r="H11" s="397"/>
      <c r="I11" s="397"/>
      <c r="J11" s="397"/>
      <c r="K11" s="397"/>
      <c r="L11" s="397"/>
      <c r="M11" s="397"/>
      <c r="N11" s="397"/>
      <c r="O11" s="397"/>
      <c r="P11" s="153"/>
      <c r="Q11" s="153"/>
      <c r="R11" s="153"/>
      <c r="S11" s="153"/>
    </row>
    <row r="12" spans="1:19" ht="12" customHeight="1" x14ac:dyDescent="0.3">
      <c r="A12" s="396"/>
      <c r="B12" s="397"/>
      <c r="C12" s="397"/>
      <c r="D12" s="397"/>
      <c r="E12" s="397"/>
      <c r="F12" s="397"/>
      <c r="G12" s="397"/>
      <c r="H12" s="397"/>
      <c r="I12" s="397"/>
      <c r="J12" s="397"/>
      <c r="K12" s="397"/>
      <c r="L12" s="397"/>
      <c r="M12" s="397"/>
      <c r="N12" s="397"/>
      <c r="O12" s="397"/>
      <c r="P12" s="153"/>
      <c r="Q12" s="153"/>
      <c r="R12" s="153"/>
      <c r="S12" s="153"/>
    </row>
    <row r="13" spans="1:19" ht="15" customHeight="1" x14ac:dyDescent="0.3">
      <c r="A13" s="449" t="s">
        <v>185</v>
      </c>
      <c r="B13" s="450"/>
      <c r="C13" s="450"/>
      <c r="D13" s="450"/>
      <c r="E13" s="450"/>
      <c r="F13" s="450"/>
      <c r="G13" s="450"/>
      <c r="H13" s="450"/>
      <c r="I13" s="450"/>
      <c r="J13" s="450"/>
      <c r="K13" s="450"/>
      <c r="L13" s="450"/>
      <c r="M13" s="450"/>
      <c r="N13" s="450"/>
      <c r="O13" s="450"/>
      <c r="P13" s="153"/>
      <c r="Q13" s="153"/>
      <c r="R13" s="153"/>
      <c r="S13" s="153"/>
    </row>
    <row r="14" spans="1:19" ht="15" customHeight="1" x14ac:dyDescent="0.3">
      <c r="A14" s="450"/>
      <c r="B14" s="450"/>
      <c r="C14" s="450"/>
      <c r="D14" s="450"/>
      <c r="E14" s="450"/>
      <c r="F14" s="450"/>
      <c r="G14" s="450"/>
      <c r="H14" s="450"/>
      <c r="I14" s="450"/>
      <c r="J14" s="450"/>
      <c r="K14" s="450"/>
      <c r="L14" s="450"/>
      <c r="M14" s="450"/>
      <c r="N14" s="450"/>
      <c r="O14" s="450"/>
      <c r="P14" s="153"/>
      <c r="Q14" s="153"/>
      <c r="R14" s="153"/>
      <c r="S14" s="153"/>
    </row>
    <row r="15" spans="1:19" ht="15" customHeight="1" x14ac:dyDescent="0.3">
      <c r="A15" s="451"/>
      <c r="B15" s="451"/>
      <c r="C15" s="451"/>
      <c r="D15" s="451"/>
      <c r="E15" s="451"/>
      <c r="F15" s="451"/>
      <c r="G15" s="451"/>
      <c r="H15" s="451"/>
      <c r="I15" s="451"/>
      <c r="J15" s="451"/>
      <c r="K15" s="451"/>
      <c r="L15" s="451"/>
      <c r="M15" s="451"/>
      <c r="N15" s="451"/>
      <c r="O15" s="451"/>
      <c r="P15" s="153"/>
      <c r="Q15" s="153"/>
      <c r="R15" s="153"/>
      <c r="S15" s="153"/>
    </row>
    <row r="16" spans="1:19" ht="15" customHeight="1" x14ac:dyDescent="0.3">
      <c r="A16" s="397"/>
      <c r="B16" s="397"/>
      <c r="C16" s="397"/>
      <c r="D16" s="397"/>
      <c r="E16" s="397"/>
      <c r="F16" s="397"/>
      <c r="G16" s="397"/>
      <c r="H16" s="397"/>
      <c r="I16" s="397"/>
      <c r="J16" s="397"/>
      <c r="K16" s="397"/>
      <c r="L16" s="397"/>
      <c r="M16" s="397"/>
      <c r="N16" s="397"/>
      <c r="O16" s="397"/>
      <c r="P16" s="153"/>
      <c r="Q16" s="153"/>
      <c r="R16" s="153"/>
      <c r="S16" s="153"/>
    </row>
    <row r="17" spans="1:19" ht="15" customHeight="1" x14ac:dyDescent="0.4">
      <c r="A17" s="432" t="s">
        <v>190</v>
      </c>
      <c r="B17" s="397"/>
      <c r="C17" s="397"/>
      <c r="D17" s="397"/>
      <c r="E17" s="397"/>
      <c r="F17" s="397"/>
      <c r="G17" s="397"/>
      <c r="H17" s="397"/>
      <c r="I17" s="397"/>
      <c r="J17" s="397"/>
      <c r="K17" s="397"/>
      <c r="L17" s="397"/>
      <c r="M17" s="397"/>
      <c r="N17" s="397"/>
      <c r="O17" s="397"/>
      <c r="P17" s="153"/>
      <c r="Q17" s="153"/>
      <c r="R17" s="153"/>
      <c r="S17" s="153"/>
    </row>
    <row r="18" spans="1:19" ht="12" customHeight="1" x14ac:dyDescent="0.3">
      <c r="A18" s="172"/>
      <c r="B18" s="172"/>
      <c r="C18" s="172"/>
      <c r="D18" s="172"/>
      <c r="E18" s="172"/>
      <c r="F18" s="172"/>
      <c r="G18" s="172"/>
      <c r="H18" s="172"/>
      <c r="I18" s="172"/>
      <c r="J18" s="172"/>
      <c r="K18" s="172"/>
      <c r="L18" s="172"/>
      <c r="M18" s="172"/>
      <c r="N18" s="172"/>
      <c r="O18" s="172"/>
      <c r="P18" s="153"/>
      <c r="Q18" s="153"/>
      <c r="R18" s="153"/>
      <c r="S18" s="153"/>
    </row>
    <row r="19" spans="1:19" ht="15" customHeight="1" x14ac:dyDescent="0.3">
      <c r="A19" s="449" t="s">
        <v>138</v>
      </c>
      <c r="B19" s="450"/>
      <c r="C19" s="450"/>
      <c r="D19" s="450"/>
      <c r="E19" s="450"/>
      <c r="F19" s="450"/>
      <c r="G19" s="450"/>
      <c r="H19" s="450"/>
      <c r="I19" s="450"/>
      <c r="J19" s="450"/>
      <c r="K19" s="450"/>
      <c r="L19" s="450"/>
      <c r="M19" s="450"/>
      <c r="N19" s="450"/>
      <c r="O19" s="450"/>
      <c r="P19" s="153"/>
      <c r="Q19" s="153"/>
      <c r="R19" s="153"/>
      <c r="S19" s="153"/>
    </row>
    <row r="20" spans="1:19" ht="15" customHeight="1" x14ac:dyDescent="0.3">
      <c r="A20" s="450"/>
      <c r="B20" s="450"/>
      <c r="C20" s="450"/>
      <c r="D20" s="450"/>
      <c r="E20" s="450"/>
      <c r="F20" s="450"/>
      <c r="G20" s="450"/>
      <c r="H20" s="450"/>
      <c r="I20" s="450"/>
      <c r="J20" s="450"/>
      <c r="K20" s="450"/>
      <c r="L20" s="450"/>
      <c r="M20" s="450"/>
      <c r="N20" s="450"/>
      <c r="O20" s="450"/>
      <c r="P20" s="153"/>
      <c r="Q20" s="153"/>
      <c r="R20" s="153"/>
      <c r="S20" s="153"/>
    </row>
    <row r="21" spans="1:19" ht="11.25" customHeight="1" x14ac:dyDescent="0.3">
      <c r="A21" s="401"/>
      <c r="B21" s="401"/>
      <c r="C21" s="401"/>
      <c r="D21" s="401"/>
      <c r="E21" s="401"/>
      <c r="F21" s="401"/>
      <c r="G21" s="401"/>
      <c r="H21" s="401"/>
      <c r="I21" s="401"/>
      <c r="J21" s="401"/>
      <c r="K21" s="401"/>
      <c r="L21" s="401"/>
      <c r="M21" s="401"/>
      <c r="N21" s="401"/>
      <c r="O21" s="401"/>
      <c r="P21" s="153"/>
      <c r="Q21" s="153"/>
      <c r="R21" s="153"/>
      <c r="S21" s="153"/>
    </row>
    <row r="22" spans="1:19" ht="15" customHeight="1" x14ac:dyDescent="0.3">
      <c r="A22" s="449" t="s">
        <v>139</v>
      </c>
      <c r="B22" s="450"/>
      <c r="C22" s="450"/>
      <c r="D22" s="450"/>
      <c r="E22" s="450"/>
      <c r="F22" s="450"/>
      <c r="G22" s="450"/>
      <c r="H22" s="450"/>
      <c r="I22" s="450"/>
      <c r="J22" s="450"/>
      <c r="K22" s="450"/>
      <c r="L22" s="450"/>
      <c r="M22" s="450"/>
      <c r="N22" s="450"/>
      <c r="O22" s="450"/>
      <c r="P22" s="153"/>
      <c r="Q22" s="153"/>
      <c r="R22" s="153"/>
      <c r="S22" s="153"/>
    </row>
    <row r="23" spans="1:19" ht="11.25" customHeight="1" x14ac:dyDescent="0.3">
      <c r="A23" s="400"/>
      <c r="B23" s="401"/>
      <c r="C23" s="401"/>
      <c r="D23" s="401"/>
      <c r="E23" s="401"/>
      <c r="F23" s="401"/>
      <c r="G23" s="401"/>
      <c r="H23" s="401"/>
      <c r="I23" s="401"/>
      <c r="J23" s="401"/>
      <c r="K23" s="401"/>
      <c r="L23" s="401"/>
      <c r="M23" s="401"/>
      <c r="N23" s="401"/>
      <c r="O23" s="401"/>
      <c r="P23" s="153"/>
      <c r="Q23" s="153"/>
      <c r="R23" s="153"/>
      <c r="S23" s="153"/>
    </row>
    <row r="24" spans="1:19" ht="15" customHeight="1" x14ac:dyDescent="0.3">
      <c r="A24" s="449" t="s">
        <v>186</v>
      </c>
      <c r="B24" s="457"/>
      <c r="C24" s="457"/>
      <c r="D24" s="457"/>
      <c r="E24" s="457"/>
      <c r="F24" s="457"/>
      <c r="G24" s="457"/>
      <c r="H24" s="457"/>
      <c r="I24" s="457"/>
      <c r="J24" s="457"/>
      <c r="K24" s="457"/>
      <c r="L24" s="457"/>
      <c r="M24" s="457"/>
      <c r="N24" s="457"/>
      <c r="O24" s="457"/>
      <c r="P24" s="153"/>
      <c r="Q24" s="153"/>
      <c r="R24" s="153"/>
      <c r="S24" s="153"/>
    </row>
    <row r="25" spans="1:19" ht="15" customHeight="1" x14ac:dyDescent="0.3">
      <c r="A25" s="457"/>
      <c r="B25" s="457"/>
      <c r="C25" s="457"/>
      <c r="D25" s="457"/>
      <c r="E25" s="457"/>
      <c r="F25" s="457"/>
      <c r="G25" s="457"/>
      <c r="H25" s="457"/>
      <c r="I25" s="457"/>
      <c r="J25" s="457"/>
      <c r="K25" s="457"/>
      <c r="L25" s="457"/>
      <c r="M25" s="457"/>
      <c r="N25" s="457"/>
      <c r="O25" s="457"/>
      <c r="P25" s="153"/>
      <c r="Q25" s="153"/>
      <c r="R25" s="153"/>
      <c r="S25" s="153"/>
    </row>
    <row r="26" spans="1:19" ht="15" customHeight="1" x14ac:dyDescent="0.3">
      <c r="A26" s="371"/>
      <c r="B26" s="174"/>
      <c r="C26" s="174"/>
      <c r="D26" s="174"/>
      <c r="E26" s="174"/>
      <c r="F26" s="174"/>
      <c r="G26" s="174"/>
      <c r="H26" s="174"/>
      <c r="I26" s="174"/>
      <c r="J26" s="174"/>
      <c r="K26" s="174"/>
      <c r="L26" s="174"/>
      <c r="M26" s="174"/>
      <c r="N26" s="174"/>
      <c r="O26" s="174"/>
      <c r="P26" s="153"/>
      <c r="Q26" s="153"/>
      <c r="R26" s="153"/>
      <c r="S26" s="153"/>
    </row>
    <row r="27" spans="1:19" s="403" customFormat="1" ht="15" customHeight="1" x14ac:dyDescent="0.25">
      <c r="A27" s="452" t="s">
        <v>191</v>
      </c>
      <c r="B27" s="448"/>
      <c r="C27" s="448"/>
      <c r="D27" s="448"/>
      <c r="E27" s="448"/>
      <c r="F27" s="448"/>
      <c r="G27" s="448"/>
      <c r="H27" s="448"/>
      <c r="I27" s="448"/>
      <c r="J27" s="448"/>
      <c r="K27" s="448"/>
      <c r="L27" s="448"/>
      <c r="M27" s="448"/>
      <c r="N27" s="448"/>
      <c r="O27" s="448"/>
      <c r="P27" s="402"/>
      <c r="Q27" s="402"/>
      <c r="R27" s="402"/>
      <c r="S27" s="402"/>
    </row>
    <row r="28" spans="1:19" s="403" customFormat="1" ht="15" customHeight="1" x14ac:dyDescent="0.25">
      <c r="A28" s="448"/>
      <c r="B28" s="448"/>
      <c r="C28" s="448"/>
      <c r="D28" s="448"/>
      <c r="E28" s="448"/>
      <c r="F28" s="448"/>
      <c r="G28" s="448"/>
      <c r="H28" s="448"/>
      <c r="I28" s="448"/>
      <c r="J28" s="448"/>
      <c r="K28" s="448"/>
      <c r="L28" s="448"/>
      <c r="M28" s="448"/>
      <c r="N28" s="448"/>
      <c r="O28" s="448"/>
      <c r="P28" s="402"/>
      <c r="Q28" s="402"/>
      <c r="R28" s="402"/>
      <c r="S28" s="402"/>
    </row>
    <row r="29" spans="1:19" s="403" customFormat="1" ht="15" customHeight="1" x14ac:dyDescent="0.25">
      <c r="A29" s="448"/>
      <c r="B29" s="448"/>
      <c r="C29" s="448"/>
      <c r="D29" s="448"/>
      <c r="E29" s="448"/>
      <c r="F29" s="448"/>
      <c r="G29" s="448"/>
      <c r="H29" s="448"/>
      <c r="I29" s="448"/>
      <c r="J29" s="448"/>
      <c r="K29" s="448"/>
      <c r="L29" s="448"/>
      <c r="M29" s="448"/>
      <c r="N29" s="448"/>
      <c r="O29" s="448"/>
      <c r="P29" s="402"/>
      <c r="Q29" s="402"/>
      <c r="R29" s="402"/>
      <c r="S29" s="402"/>
    </row>
    <row r="30" spans="1:19" s="403" customFormat="1" ht="15" customHeight="1" x14ac:dyDescent="0.25">
      <c r="A30" s="448"/>
      <c r="B30" s="448"/>
      <c r="C30" s="448"/>
      <c r="D30" s="448"/>
      <c r="E30" s="448"/>
      <c r="F30" s="448"/>
      <c r="G30" s="448"/>
      <c r="H30" s="448"/>
      <c r="I30" s="448"/>
      <c r="J30" s="448"/>
      <c r="K30" s="448"/>
      <c r="L30" s="448"/>
      <c r="M30" s="448"/>
      <c r="N30" s="448"/>
      <c r="O30" s="448"/>
      <c r="P30" s="402"/>
      <c r="Q30" s="402"/>
      <c r="R30" s="402"/>
      <c r="S30" s="402"/>
    </row>
    <row r="31" spans="1:19" s="403" customFormat="1" ht="15" customHeight="1" x14ac:dyDescent="0.25">
      <c r="A31" s="448"/>
      <c r="B31" s="448"/>
      <c r="C31" s="448"/>
      <c r="D31" s="448"/>
      <c r="E31" s="448"/>
      <c r="F31" s="448"/>
      <c r="G31" s="448"/>
      <c r="H31" s="448"/>
      <c r="I31" s="448"/>
      <c r="J31" s="448"/>
      <c r="K31" s="448"/>
      <c r="L31" s="448"/>
      <c r="M31" s="448"/>
      <c r="N31" s="448"/>
      <c r="O31" s="448"/>
      <c r="P31" s="402"/>
      <c r="Q31" s="402"/>
      <c r="R31" s="402"/>
      <c r="S31" s="402"/>
    </row>
    <row r="32" spans="1:19" s="403" customFormat="1" ht="15" customHeight="1" x14ac:dyDescent="0.25">
      <c r="A32" s="448"/>
      <c r="B32" s="448"/>
      <c r="C32" s="448"/>
      <c r="D32" s="448"/>
      <c r="E32" s="448"/>
      <c r="F32" s="448"/>
      <c r="G32" s="448"/>
      <c r="H32" s="448"/>
      <c r="I32" s="448"/>
      <c r="J32" s="448"/>
      <c r="K32" s="448"/>
      <c r="L32" s="448"/>
      <c r="M32" s="448"/>
      <c r="N32" s="448"/>
      <c r="O32" s="448"/>
      <c r="P32" s="402"/>
      <c r="Q32" s="402"/>
      <c r="R32" s="402"/>
      <c r="S32" s="402"/>
    </row>
    <row r="33" spans="1:19" ht="12" customHeight="1" x14ac:dyDescent="0.3">
      <c r="A33" s="370"/>
      <c r="B33" s="173"/>
      <c r="C33" s="173"/>
      <c r="D33" s="173"/>
      <c r="E33" s="173"/>
      <c r="F33" s="173"/>
      <c r="G33" s="173"/>
      <c r="H33" s="173"/>
      <c r="I33" s="173"/>
      <c r="J33" s="173"/>
      <c r="K33" s="173"/>
      <c r="L33" s="173"/>
      <c r="M33" s="173"/>
      <c r="N33" s="173"/>
      <c r="O33" s="173"/>
      <c r="P33" s="153"/>
      <c r="Q33" s="153"/>
      <c r="R33" s="153"/>
      <c r="S33" s="153"/>
    </row>
    <row r="34" spans="1:19" ht="15" customHeight="1" x14ac:dyDescent="0.3">
      <c r="A34" s="453" t="s">
        <v>200</v>
      </c>
      <c r="B34" s="454"/>
      <c r="C34" s="454"/>
      <c r="D34" s="454"/>
      <c r="E34" s="454"/>
      <c r="F34" s="454"/>
      <c r="G34" s="454"/>
      <c r="H34" s="454"/>
      <c r="I34" s="454"/>
      <c r="J34" s="454"/>
      <c r="K34" s="454"/>
      <c r="L34" s="454"/>
      <c r="M34" s="454"/>
      <c r="N34" s="454"/>
      <c r="O34" s="454"/>
      <c r="P34" s="153"/>
      <c r="Q34" s="153"/>
      <c r="R34" s="153"/>
      <c r="S34" s="153"/>
    </row>
    <row r="35" spans="1:19" ht="15" customHeight="1" x14ac:dyDescent="0.3">
      <c r="A35" s="393"/>
      <c r="B35" s="394"/>
      <c r="C35" s="394"/>
      <c r="D35" s="394"/>
      <c r="E35" s="394"/>
      <c r="F35" s="394"/>
      <c r="G35" s="394"/>
      <c r="H35" s="394"/>
      <c r="I35" s="394"/>
      <c r="J35" s="394"/>
      <c r="K35" s="394"/>
      <c r="L35" s="394"/>
      <c r="M35" s="394"/>
      <c r="N35" s="394"/>
      <c r="O35" s="394"/>
      <c r="P35" s="153"/>
      <c r="Q35" s="153"/>
      <c r="R35" s="153"/>
      <c r="S35" s="153"/>
    </row>
    <row r="36" spans="1:19" ht="15" customHeight="1" x14ac:dyDescent="0.3">
      <c r="A36" s="447" t="s">
        <v>192</v>
      </c>
      <c r="B36" s="448"/>
      <c r="C36" s="448"/>
      <c r="D36" s="448"/>
      <c r="E36" s="448"/>
      <c r="F36" s="448"/>
      <c r="G36" s="448"/>
      <c r="H36" s="448"/>
      <c r="I36" s="448"/>
      <c r="J36" s="448"/>
      <c r="K36" s="448"/>
      <c r="L36" s="448"/>
      <c r="M36" s="448"/>
      <c r="N36" s="448"/>
      <c r="O36" s="448"/>
      <c r="P36" s="153"/>
      <c r="Q36" s="153"/>
      <c r="R36" s="153"/>
      <c r="S36" s="153"/>
    </row>
    <row r="37" spans="1:19" s="399" customFormat="1" ht="15" customHeight="1" x14ac:dyDescent="0.25">
      <c r="A37" s="445" t="s">
        <v>187</v>
      </c>
      <c r="B37" s="446"/>
      <c r="C37" s="446"/>
      <c r="D37" s="446"/>
      <c r="E37" s="446"/>
      <c r="F37" s="446"/>
      <c r="G37" s="446"/>
      <c r="H37" s="446"/>
      <c r="I37" s="446"/>
      <c r="J37" s="446"/>
      <c r="K37" s="446"/>
      <c r="L37" s="446"/>
      <c r="M37" s="446"/>
      <c r="N37" s="446"/>
      <c r="O37" s="446"/>
      <c r="P37" s="398"/>
      <c r="Q37" s="398"/>
      <c r="R37" s="398"/>
      <c r="S37" s="398"/>
    </row>
    <row r="38" spans="1:19" ht="15" customHeight="1" x14ac:dyDescent="0.3">
      <c r="A38" s="393"/>
      <c r="B38" s="394"/>
      <c r="C38" s="394"/>
      <c r="D38" s="394"/>
      <c r="E38" s="394"/>
      <c r="F38" s="394"/>
      <c r="G38" s="394"/>
      <c r="H38" s="394"/>
      <c r="I38" s="394"/>
      <c r="J38" s="394"/>
      <c r="K38" s="394"/>
      <c r="L38" s="394"/>
      <c r="M38" s="394"/>
      <c r="N38" s="394"/>
      <c r="O38" s="394"/>
      <c r="P38" s="153"/>
      <c r="Q38" s="153"/>
      <c r="R38" s="153"/>
      <c r="S38" s="153"/>
    </row>
    <row r="39" spans="1:19" ht="14.4" x14ac:dyDescent="0.3">
      <c r="A39" s="156"/>
      <c r="B39" s="156"/>
      <c r="C39" s="156"/>
      <c r="D39" s="156"/>
      <c r="E39" s="156"/>
      <c r="F39" s="156"/>
      <c r="G39" s="156"/>
      <c r="H39" s="156"/>
      <c r="I39" s="156"/>
      <c r="J39" s="156"/>
      <c r="K39" s="156"/>
      <c r="L39" s="156"/>
      <c r="M39" s="156"/>
      <c r="N39" s="156"/>
      <c r="O39" s="156"/>
      <c r="P39" s="153"/>
      <c r="Q39" s="153"/>
      <c r="R39" s="153"/>
      <c r="S39" s="153"/>
    </row>
    <row r="40" spans="1:19" ht="14.4" x14ac:dyDescent="0.3">
      <c r="A40" s="156"/>
      <c r="B40" s="156"/>
      <c r="C40" s="156"/>
      <c r="D40" s="156"/>
      <c r="E40" s="156"/>
      <c r="F40" s="156"/>
      <c r="G40" s="156"/>
      <c r="H40" s="156"/>
      <c r="I40" s="156"/>
      <c r="J40" s="156"/>
      <c r="K40" s="156"/>
      <c r="L40" s="156"/>
      <c r="M40" s="156"/>
      <c r="N40" s="156"/>
      <c r="O40" s="156"/>
      <c r="P40" s="153"/>
      <c r="Q40" s="153"/>
      <c r="R40" s="153"/>
      <c r="S40" s="153"/>
    </row>
    <row r="41" spans="1:19" ht="14.4" x14ac:dyDescent="0.3">
      <c r="A41" s="156"/>
      <c r="B41" s="156"/>
      <c r="C41" s="156"/>
      <c r="D41" s="156"/>
      <c r="E41" s="156"/>
      <c r="F41" s="156"/>
      <c r="G41" s="156"/>
      <c r="H41" s="156"/>
      <c r="I41" s="156"/>
      <c r="J41" s="156"/>
      <c r="K41" s="156"/>
      <c r="L41" s="156"/>
      <c r="M41" s="156"/>
      <c r="N41" s="156"/>
      <c r="O41" s="156"/>
      <c r="P41" s="153"/>
      <c r="Q41" s="153"/>
      <c r="R41" s="153"/>
      <c r="S41" s="153"/>
    </row>
    <row r="42" spans="1:19" ht="14.4" x14ac:dyDescent="0.3">
      <c r="A42" s="156"/>
      <c r="B42" s="156"/>
      <c r="C42" s="156"/>
      <c r="D42" s="156"/>
      <c r="E42" s="156"/>
      <c r="F42" s="156"/>
      <c r="G42" s="156"/>
      <c r="H42" s="156"/>
      <c r="I42" s="156"/>
      <c r="J42" s="156"/>
      <c r="K42" s="156"/>
      <c r="L42" s="156"/>
      <c r="M42" s="156"/>
      <c r="N42" s="156"/>
      <c r="O42" s="156"/>
      <c r="P42" s="153"/>
      <c r="Q42" s="153"/>
      <c r="R42" s="153"/>
      <c r="S42" s="153"/>
    </row>
    <row r="43" spans="1:19" ht="14.4" x14ac:dyDescent="0.3">
      <c r="A43" s="156"/>
      <c r="B43" s="156"/>
      <c r="C43" s="156"/>
      <c r="D43" s="156"/>
      <c r="E43" s="156"/>
      <c r="F43" s="156"/>
      <c r="G43" s="156"/>
      <c r="H43" s="156"/>
      <c r="I43" s="156"/>
      <c r="J43" s="156"/>
      <c r="K43" s="156"/>
      <c r="L43" s="156"/>
      <c r="M43" s="156"/>
      <c r="N43" s="156"/>
      <c r="O43" s="156"/>
      <c r="P43" s="153"/>
      <c r="Q43" s="153"/>
      <c r="R43" s="153"/>
      <c r="S43" s="153"/>
    </row>
    <row r="44" spans="1:19" ht="14.4" x14ac:dyDescent="0.3">
      <c r="A44" s="156"/>
      <c r="B44" s="156"/>
      <c r="C44" s="156"/>
      <c r="D44" s="156"/>
      <c r="E44" s="156"/>
      <c r="F44" s="156"/>
      <c r="G44" s="156"/>
      <c r="H44" s="156"/>
      <c r="I44" s="156"/>
      <c r="J44" s="156"/>
      <c r="K44" s="156"/>
      <c r="L44" s="156"/>
      <c r="M44" s="156"/>
      <c r="N44" s="156"/>
      <c r="O44" s="156"/>
      <c r="P44" s="153"/>
      <c r="Q44" s="153"/>
      <c r="R44" s="153"/>
      <c r="S44" s="153"/>
    </row>
  </sheetData>
  <sheetProtection algorithmName="SHA-512" hashValue="DKDCbcjYydISLgi0TA9yTlnJapYCG6kMXgYX6puUNFte3rlSX0+1g5PKKoKe976/kkHzO5U3liX648kYU0kkYg==" saltValue="Mv+F2AhpZmoFBRIkZofsOA==" spinCount="100000" sheet="1" objects="1" scenarios="1"/>
  <mergeCells count="11">
    <mergeCell ref="A1:O1"/>
    <mergeCell ref="A19:O20"/>
    <mergeCell ref="A22:O22"/>
    <mergeCell ref="A24:O25"/>
    <mergeCell ref="A2:O2"/>
    <mergeCell ref="A7:O9"/>
    <mergeCell ref="A37:O37"/>
    <mergeCell ref="A36:O36"/>
    <mergeCell ref="A13:O15"/>
    <mergeCell ref="A27:O32"/>
    <mergeCell ref="A34:O34"/>
  </mergeCells>
  <hyperlinks>
    <hyperlink ref="A34" r:id="rId1" display="The GREET model along with information about it is available online at https://www.energy.gov/eere/greet." xr:uid="{92F2A227-A672-4655-9EBC-3E7C33CF7F19}"/>
    <hyperlink ref="A34:O34" r:id="rId2" display="—The Argonne R&amp;D GREET Model and more information about it are available online at https://www.energy.gov/eere/greet." xr:uid="{0B551D43-C695-4566-819C-802D20C1637D}"/>
  </hyperlinks>
  <pageMargins left="0.7" right="0.7" top="0.75" bottom="0.75" header="0.3" footer="0.3"/>
  <pageSetup scale="93" orientation="landscape" horizontalDpi="300" verticalDpi="300" r:id="rId3"/>
  <headerFooter>
    <oddFooter>&amp;LLFG Energy Benefits Calculator
https://www.epa.gov/lmop/
landfill-gas-energy-benefits-calculator&amp;CPage 1 of 6&amp;RLast updated December 2024</oddFoot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93"/>
  <sheetViews>
    <sheetView zoomScaleNormal="100" workbookViewId="0">
      <selection activeCell="F1" sqref="F1:U2"/>
    </sheetView>
  </sheetViews>
  <sheetFormatPr defaultColWidth="9.109375" defaultRowHeight="13.2" x14ac:dyDescent="0.25"/>
  <cols>
    <col min="1" max="1" width="4" style="42" customWidth="1"/>
    <col min="2" max="3" width="2.88671875" style="42" customWidth="1"/>
    <col min="4" max="4" width="8.6640625" style="42" customWidth="1"/>
    <col min="5" max="5" width="0.88671875" style="42" customWidth="1"/>
    <col min="6" max="6" width="12.88671875" style="42" customWidth="1"/>
    <col min="7" max="7" width="14" style="42" customWidth="1"/>
    <col min="8" max="8" width="15.88671875" style="42" customWidth="1"/>
    <col min="9" max="9" width="12.88671875" style="42" customWidth="1"/>
    <col min="10" max="10" width="12.109375" style="42" customWidth="1"/>
    <col min="11" max="14" width="6.88671875" style="42" customWidth="1"/>
    <col min="15" max="15" width="12.88671875" style="42" customWidth="1"/>
    <col min="16" max="16" width="19.88671875" style="42" customWidth="1"/>
    <col min="17" max="17" width="12.33203125" style="42" customWidth="1"/>
    <col min="18" max="18" width="9" style="42" customWidth="1"/>
    <col min="19" max="20" width="2.88671875" style="42" customWidth="1"/>
    <col min="21" max="21" width="4" style="42" customWidth="1"/>
    <col min="22" max="22" width="13.88671875" style="42" customWidth="1"/>
    <col min="23" max="23" width="11.6640625" style="42" customWidth="1"/>
    <col min="24" max="24" width="12.33203125" style="42" bestFit="1" customWidth="1"/>
    <col min="25" max="25" width="10.88671875" style="42" customWidth="1"/>
    <col min="26" max="26" width="17.5546875" style="42" customWidth="1"/>
    <col min="27" max="27" width="9.109375" style="42"/>
    <col min="28" max="28" width="8.5546875" style="42" bestFit="1" customWidth="1"/>
    <col min="29" max="29" width="10.109375" style="42" bestFit="1" customWidth="1"/>
    <col min="30" max="30" width="10.88671875" style="42" bestFit="1" customWidth="1"/>
    <col min="31" max="31" width="9.6640625" style="42" bestFit="1" customWidth="1"/>
    <col min="32" max="32" width="14.5546875" style="42" customWidth="1"/>
    <col min="33" max="16384" width="9.109375" style="42"/>
  </cols>
  <sheetData>
    <row r="1" spans="1:29" ht="20.25" customHeight="1" x14ac:dyDescent="0.3">
      <c r="A1" s="13"/>
      <c r="B1" s="14"/>
      <c r="C1" s="14"/>
      <c r="D1" s="14"/>
      <c r="E1" s="14"/>
      <c r="F1" s="463" t="s">
        <v>25</v>
      </c>
      <c r="G1" s="463"/>
      <c r="H1" s="463"/>
      <c r="I1" s="463"/>
      <c r="J1" s="463"/>
      <c r="K1" s="463"/>
      <c r="L1" s="463"/>
      <c r="M1" s="463"/>
      <c r="N1" s="463"/>
      <c r="O1" s="463"/>
      <c r="P1" s="463"/>
      <c r="Q1" s="463"/>
      <c r="R1" s="463"/>
      <c r="S1" s="463"/>
      <c r="T1" s="463"/>
      <c r="U1" s="463"/>
      <c r="V1" s="67" t="s">
        <v>56</v>
      </c>
      <c r="W1" s="41"/>
      <c r="X1" s="41"/>
      <c r="Y1" s="41"/>
      <c r="Z1" s="41"/>
      <c r="AB1" s="43"/>
      <c r="AC1" s="44"/>
    </row>
    <row r="2" spans="1:29" ht="19.5" customHeight="1" x14ac:dyDescent="0.45">
      <c r="A2" s="13"/>
      <c r="B2" s="15"/>
      <c r="C2" s="15"/>
      <c r="D2" s="15"/>
      <c r="E2" s="15"/>
      <c r="F2" s="463"/>
      <c r="G2" s="463"/>
      <c r="H2" s="463"/>
      <c r="I2" s="463"/>
      <c r="J2" s="463"/>
      <c r="K2" s="463"/>
      <c r="L2" s="463"/>
      <c r="M2" s="463"/>
      <c r="N2" s="463"/>
      <c r="O2" s="463"/>
      <c r="P2" s="463"/>
      <c r="Q2" s="463"/>
      <c r="R2" s="463"/>
      <c r="S2" s="463"/>
      <c r="T2" s="463"/>
      <c r="U2" s="463"/>
      <c r="V2" s="67" t="s">
        <v>54</v>
      </c>
      <c r="W2" s="41"/>
      <c r="X2" s="41"/>
      <c r="Y2" s="41"/>
      <c r="Z2" s="41"/>
      <c r="AB2" s="43"/>
      <c r="AC2" s="44"/>
    </row>
    <row r="3" spans="1:29" ht="20.25" customHeight="1" x14ac:dyDescent="0.25">
      <c r="A3" s="21"/>
      <c r="B3" s="22"/>
      <c r="C3" s="22"/>
      <c r="D3" s="22"/>
      <c r="E3" s="22"/>
      <c r="F3" s="373"/>
      <c r="G3" s="373"/>
      <c r="H3" s="373"/>
      <c r="I3" s="374"/>
      <c r="J3" s="374"/>
      <c r="K3" s="374"/>
      <c r="L3" s="373"/>
      <c r="M3" s="373"/>
      <c r="N3" s="373"/>
      <c r="O3" s="373"/>
      <c r="P3" s="373"/>
      <c r="Q3" s="372"/>
      <c r="R3" s="373"/>
      <c r="S3" s="373"/>
      <c r="T3" s="375" t="s">
        <v>201</v>
      </c>
      <c r="U3" s="375"/>
      <c r="V3" s="67" t="s">
        <v>75</v>
      </c>
      <c r="W3" s="45"/>
      <c r="X3" s="45"/>
      <c r="Y3" s="45"/>
      <c r="Z3" s="45"/>
    </row>
    <row r="4" spans="1:29" ht="21" customHeight="1" x14ac:dyDescent="0.25">
      <c r="A4" s="21"/>
      <c r="B4" s="22"/>
      <c r="C4" s="22"/>
      <c r="D4" s="22"/>
      <c r="E4" s="22"/>
      <c r="F4" s="373"/>
      <c r="G4" s="373"/>
      <c r="H4" s="373"/>
      <c r="I4" s="376"/>
      <c r="J4" s="377"/>
      <c r="K4" s="377"/>
      <c r="L4" s="378"/>
      <c r="M4" s="373"/>
      <c r="N4" s="373"/>
      <c r="O4" s="373"/>
      <c r="P4" s="373"/>
      <c r="Q4" s="373"/>
      <c r="R4" s="373"/>
      <c r="S4" s="373"/>
      <c r="T4" s="373"/>
      <c r="U4" s="373"/>
      <c r="V4" s="45"/>
      <c r="W4" s="45"/>
      <c r="X4" s="45"/>
      <c r="Y4" s="45"/>
      <c r="Z4" s="45"/>
      <c r="AA4" s="46"/>
    </row>
    <row r="5" spans="1:29" ht="6.75" customHeight="1" x14ac:dyDescent="0.25">
      <c r="A5" s="4"/>
      <c r="B5" s="2"/>
      <c r="C5" s="2"/>
      <c r="D5" s="2"/>
      <c r="E5" s="2"/>
      <c r="F5" s="379"/>
      <c r="G5" s="379"/>
      <c r="H5" s="379"/>
      <c r="I5" s="379"/>
      <c r="J5" s="379"/>
      <c r="K5" s="379"/>
      <c r="L5" s="379"/>
      <c r="M5" s="379"/>
      <c r="N5" s="379"/>
      <c r="O5" s="379"/>
      <c r="P5" s="379"/>
      <c r="Q5" s="379"/>
      <c r="R5" s="379"/>
      <c r="S5" s="379"/>
      <c r="T5" s="379"/>
      <c r="U5" s="3"/>
      <c r="V5" s="45"/>
      <c r="W5" s="45"/>
      <c r="X5" s="45"/>
      <c r="Y5" s="45"/>
      <c r="Z5" s="45"/>
      <c r="AA5" s="46"/>
    </row>
    <row r="6" spans="1:29" ht="49.95" customHeight="1" x14ac:dyDescent="0.25">
      <c r="A6" s="18"/>
      <c r="B6" s="511" t="s">
        <v>155</v>
      </c>
      <c r="C6" s="511"/>
      <c r="D6" s="511"/>
      <c r="E6" s="19"/>
      <c r="F6" s="518" t="s">
        <v>172</v>
      </c>
      <c r="G6" s="518"/>
      <c r="H6" s="518"/>
      <c r="I6" s="518"/>
      <c r="J6" s="518"/>
      <c r="K6" s="518"/>
      <c r="L6" s="518"/>
      <c r="M6" s="518"/>
      <c r="N6" s="518"/>
      <c r="O6" s="518"/>
      <c r="P6" s="518"/>
      <c r="Q6" s="518"/>
      <c r="R6" s="518"/>
      <c r="S6" s="518"/>
      <c r="T6" s="518"/>
      <c r="U6" s="20"/>
      <c r="V6" s="45"/>
      <c r="W6" s="45"/>
      <c r="X6" s="45"/>
      <c r="Y6" s="45"/>
      <c r="Z6" s="45"/>
      <c r="AA6" s="46"/>
    </row>
    <row r="7" spans="1:29" ht="19.5" customHeight="1" x14ac:dyDescent="0.25">
      <c r="A7" s="4"/>
      <c r="B7" s="2"/>
      <c r="C7" s="2"/>
      <c r="D7" s="2"/>
      <c r="E7" s="2"/>
      <c r="F7" s="518"/>
      <c r="G7" s="518"/>
      <c r="H7" s="518"/>
      <c r="I7" s="518"/>
      <c r="J7" s="518"/>
      <c r="K7" s="518"/>
      <c r="L7" s="518"/>
      <c r="M7" s="518"/>
      <c r="N7" s="518"/>
      <c r="O7" s="518"/>
      <c r="P7" s="518"/>
      <c r="Q7" s="518"/>
      <c r="R7" s="518"/>
      <c r="S7" s="518"/>
      <c r="T7" s="518"/>
      <c r="U7" s="3"/>
      <c r="V7" s="45"/>
      <c r="W7" s="45"/>
      <c r="X7" s="45"/>
      <c r="Y7" s="45"/>
      <c r="Z7" s="45"/>
      <c r="AA7" s="46"/>
    </row>
    <row r="8" spans="1:29" x14ac:dyDescent="0.25">
      <c r="A8" s="4"/>
      <c r="B8" s="6"/>
      <c r="C8" s="6"/>
      <c r="D8" s="6"/>
      <c r="E8" s="6"/>
      <c r="F8" s="6"/>
      <c r="G8" s="6"/>
      <c r="H8" s="6"/>
      <c r="I8" s="6"/>
      <c r="J8" s="6"/>
      <c r="K8" s="6"/>
      <c r="L8" s="4"/>
      <c r="M8" s="6"/>
      <c r="N8" s="6"/>
      <c r="O8" s="7"/>
      <c r="P8" s="6"/>
      <c r="Q8" s="6"/>
      <c r="R8" s="6"/>
      <c r="S8" s="6"/>
      <c r="T8" s="6"/>
      <c r="U8" s="3"/>
      <c r="V8" s="45"/>
      <c r="W8" s="45"/>
      <c r="X8" s="45"/>
      <c r="Y8" s="45"/>
      <c r="Z8" s="45"/>
      <c r="AA8" s="46"/>
    </row>
    <row r="9" spans="1:29" ht="15.75" customHeight="1" x14ac:dyDescent="0.35">
      <c r="A9" s="4"/>
      <c r="B9" s="512" t="s">
        <v>114</v>
      </c>
      <c r="C9" s="512"/>
      <c r="D9" s="512"/>
      <c r="E9" s="16"/>
      <c r="F9" s="71" t="s">
        <v>102</v>
      </c>
      <c r="G9" s="69"/>
      <c r="H9" s="4"/>
      <c r="I9" s="9"/>
      <c r="J9" s="9"/>
      <c r="K9" s="9"/>
      <c r="L9" s="4"/>
      <c r="M9" s="9"/>
      <c r="N9" s="9"/>
      <c r="O9" s="7"/>
      <c r="P9" s="6"/>
      <c r="Q9" s="6"/>
      <c r="R9" s="6"/>
      <c r="S9" s="6"/>
      <c r="T9" s="6"/>
      <c r="U9" s="3"/>
      <c r="V9" s="45"/>
      <c r="W9" s="45"/>
      <c r="X9" s="45"/>
      <c r="Y9" s="45"/>
      <c r="Z9" s="45"/>
      <c r="AA9" s="46"/>
    </row>
    <row r="10" spans="1:29" ht="15.75" customHeight="1" x14ac:dyDescent="0.3">
      <c r="A10" s="4"/>
      <c r="B10" s="512"/>
      <c r="C10" s="512"/>
      <c r="D10" s="512"/>
      <c r="E10" s="10"/>
      <c r="F10" s="380" t="s">
        <v>137</v>
      </c>
      <c r="G10" s="70"/>
      <c r="H10" s="6"/>
      <c r="I10" s="6"/>
      <c r="J10" s="6"/>
      <c r="K10" s="6"/>
      <c r="L10" s="6"/>
      <c r="M10" s="6"/>
      <c r="N10" s="6"/>
      <c r="O10" s="6"/>
      <c r="P10" s="6"/>
      <c r="Q10" s="6"/>
      <c r="R10" s="6"/>
      <c r="S10" s="6"/>
      <c r="T10" s="6"/>
      <c r="U10" s="3"/>
      <c r="V10" s="45"/>
      <c r="W10" s="45"/>
      <c r="X10" s="45"/>
      <c r="Y10" s="45"/>
      <c r="Z10" s="45"/>
      <c r="AA10" s="45"/>
    </row>
    <row r="11" spans="1:29" x14ac:dyDescent="0.25">
      <c r="A11" s="4"/>
      <c r="B11" s="10"/>
      <c r="C11" s="10"/>
      <c r="D11" s="10"/>
      <c r="E11" s="10"/>
      <c r="F11" s="8"/>
      <c r="G11" s="6"/>
      <c r="H11" s="6"/>
      <c r="I11" s="6"/>
      <c r="J11" s="6"/>
      <c r="K11" s="6"/>
      <c r="L11" s="6"/>
      <c r="M11" s="6"/>
      <c r="N11" s="6"/>
      <c r="O11" s="6"/>
      <c r="P11" s="6"/>
      <c r="Q11" s="6"/>
      <c r="R11" s="6"/>
      <c r="S11" s="6"/>
      <c r="T11" s="6"/>
      <c r="U11" s="3"/>
      <c r="V11" s="45"/>
      <c r="W11" s="45"/>
      <c r="X11" s="45"/>
      <c r="Y11" s="45"/>
      <c r="Z11" s="45"/>
      <c r="AA11" s="45"/>
    </row>
    <row r="12" spans="1:29" ht="13.2" customHeight="1" x14ac:dyDescent="0.3">
      <c r="A12" s="4"/>
      <c r="B12" s="17"/>
      <c r="C12" s="17"/>
      <c r="D12" s="17"/>
      <c r="E12" s="17"/>
      <c r="F12" s="514" t="s">
        <v>121</v>
      </c>
      <c r="G12" s="515"/>
      <c r="H12" s="70"/>
      <c r="I12" s="514" t="s">
        <v>122</v>
      </c>
      <c r="J12" s="516"/>
      <c r="K12" s="516"/>
      <c r="L12" s="515"/>
      <c r="M12" s="72"/>
      <c r="N12" s="72"/>
      <c r="O12" s="514" t="s">
        <v>188</v>
      </c>
      <c r="P12" s="516"/>
      <c r="Q12" s="515"/>
      <c r="R12" s="4"/>
      <c r="S12" s="4"/>
      <c r="T12" s="4"/>
      <c r="U12" s="4"/>
      <c r="V12" s="47"/>
      <c r="W12" s="48"/>
      <c r="X12" s="48"/>
      <c r="Y12" s="48"/>
      <c r="Z12" s="48"/>
      <c r="AA12" s="48"/>
      <c r="AB12" s="48"/>
      <c r="AC12" s="48"/>
    </row>
    <row r="13" spans="1:29" ht="13.2" customHeight="1" x14ac:dyDescent="0.3">
      <c r="A13" s="4"/>
      <c r="B13" s="17"/>
      <c r="C13" s="17"/>
      <c r="D13" s="17"/>
      <c r="E13" s="17"/>
      <c r="F13" s="514"/>
      <c r="G13" s="515"/>
      <c r="H13" s="72"/>
      <c r="I13" s="514"/>
      <c r="J13" s="516"/>
      <c r="K13" s="516"/>
      <c r="L13" s="515"/>
      <c r="M13" s="72"/>
      <c r="N13" s="72"/>
      <c r="O13" s="514"/>
      <c r="P13" s="516"/>
      <c r="Q13" s="515"/>
      <c r="R13" s="4"/>
      <c r="S13" s="4"/>
      <c r="T13" s="4"/>
      <c r="U13" s="4"/>
      <c r="V13" s="47"/>
      <c r="W13" s="48"/>
      <c r="X13" s="48"/>
      <c r="Y13" s="48"/>
      <c r="Z13" s="48"/>
      <c r="AA13" s="48"/>
      <c r="AB13" s="48"/>
      <c r="AC13" s="48"/>
    </row>
    <row r="14" spans="1:29" ht="13.2" customHeight="1" x14ac:dyDescent="0.3">
      <c r="A14" s="4"/>
      <c r="B14" s="17"/>
      <c r="C14" s="17"/>
      <c r="D14" s="17"/>
      <c r="E14" s="17"/>
      <c r="F14" s="514"/>
      <c r="G14" s="515"/>
      <c r="H14" s="72"/>
      <c r="I14" s="514"/>
      <c r="J14" s="516"/>
      <c r="K14" s="516"/>
      <c r="L14" s="515"/>
      <c r="M14" s="72"/>
      <c r="N14" s="72"/>
      <c r="O14" s="514"/>
      <c r="P14" s="516"/>
      <c r="Q14" s="515"/>
      <c r="R14" s="4"/>
      <c r="S14" s="4"/>
      <c r="T14" s="4"/>
      <c r="U14" s="4"/>
      <c r="V14" s="47"/>
      <c r="W14" s="48"/>
      <c r="X14" s="48"/>
      <c r="Y14" s="48"/>
      <c r="Z14" s="48"/>
      <c r="AA14" s="48"/>
      <c r="AB14" s="48"/>
      <c r="AC14" s="48"/>
    </row>
    <row r="15" spans="1:29" ht="16.2" thickBot="1" x14ac:dyDescent="0.35">
      <c r="A15" s="4"/>
      <c r="B15" s="17"/>
      <c r="C15" s="17"/>
      <c r="D15" s="17"/>
      <c r="E15" s="17"/>
      <c r="F15" s="405"/>
      <c r="G15" s="414"/>
      <c r="H15" s="23"/>
      <c r="I15" s="407"/>
      <c r="J15" s="417"/>
      <c r="K15" s="417"/>
      <c r="L15" s="414"/>
      <c r="M15" s="72"/>
      <c r="N15" s="72"/>
      <c r="O15" s="410"/>
      <c r="P15" s="425"/>
      <c r="Q15" s="427"/>
      <c r="R15" s="4"/>
      <c r="S15" s="4"/>
      <c r="T15" s="4"/>
      <c r="U15" s="4"/>
      <c r="V15" s="47"/>
      <c r="W15" s="48"/>
      <c r="X15" s="48"/>
      <c r="Y15" s="48"/>
      <c r="Z15" s="48"/>
      <c r="AA15" s="48"/>
      <c r="AB15" s="48"/>
      <c r="AC15" s="48"/>
    </row>
    <row r="16" spans="1:29" ht="15" thickBot="1" x14ac:dyDescent="0.35">
      <c r="A16" s="4"/>
      <c r="B16" s="17"/>
      <c r="C16" s="17"/>
      <c r="D16" s="17"/>
      <c r="E16" s="17"/>
      <c r="F16" s="411"/>
      <c r="G16" s="415" t="s">
        <v>103</v>
      </c>
      <c r="H16" s="72"/>
      <c r="I16" s="411"/>
      <c r="J16" s="418" t="s">
        <v>73</v>
      </c>
      <c r="K16" s="419"/>
      <c r="L16" s="416"/>
      <c r="M16" s="77"/>
      <c r="N16" s="77"/>
      <c r="O16" s="411"/>
      <c r="P16" s="418" t="s">
        <v>73</v>
      </c>
      <c r="Q16" s="427"/>
      <c r="R16" s="4"/>
      <c r="S16" s="4"/>
      <c r="T16" s="4"/>
      <c r="U16" s="4"/>
      <c r="V16" s="49"/>
      <c r="W16" s="48"/>
      <c r="X16" s="48"/>
      <c r="Y16" s="48"/>
      <c r="Z16" s="48"/>
      <c r="AA16" s="48"/>
      <c r="AB16" s="48"/>
      <c r="AC16" s="48"/>
    </row>
    <row r="17" spans="1:29" ht="15" thickBot="1" x14ac:dyDescent="0.35">
      <c r="A17" s="4"/>
      <c r="B17" s="17"/>
      <c r="C17" s="17"/>
      <c r="D17" s="17"/>
      <c r="E17" s="17"/>
      <c r="F17" s="406"/>
      <c r="G17" s="416"/>
      <c r="H17" s="72"/>
      <c r="I17" s="408" t="s">
        <v>0</v>
      </c>
      <c r="J17" s="420"/>
      <c r="K17" s="420"/>
      <c r="L17" s="421"/>
      <c r="M17" s="78"/>
      <c r="N17" s="78"/>
      <c r="O17" s="409" t="s">
        <v>0</v>
      </c>
      <c r="P17" s="426"/>
      <c r="Q17" s="427"/>
      <c r="R17" s="4"/>
      <c r="S17" s="4"/>
      <c r="T17" s="4"/>
      <c r="U17" s="4"/>
      <c r="V17" s="49"/>
      <c r="W17" s="48"/>
      <c r="X17" s="48"/>
      <c r="Y17" s="48"/>
      <c r="Z17" s="48"/>
      <c r="AA17" s="48"/>
      <c r="AB17" s="48"/>
      <c r="AC17" s="48"/>
    </row>
    <row r="18" spans="1:29" ht="15" thickBot="1" x14ac:dyDescent="0.35">
      <c r="A18" s="4"/>
      <c r="B18" s="12"/>
      <c r="C18" s="12"/>
      <c r="D18" s="12"/>
      <c r="E18" s="12"/>
      <c r="F18" s="406"/>
      <c r="G18" s="416"/>
      <c r="H18" s="441"/>
      <c r="I18" s="431"/>
      <c r="J18" s="418" t="s">
        <v>74</v>
      </c>
      <c r="K18" s="419"/>
      <c r="L18" s="416"/>
      <c r="M18" s="77"/>
      <c r="N18" s="77"/>
      <c r="O18" s="431"/>
      <c r="P18" s="418" t="s">
        <v>74</v>
      </c>
      <c r="Q18" s="427"/>
      <c r="R18" s="4"/>
      <c r="S18" s="4"/>
      <c r="T18" s="4"/>
      <c r="U18" s="4"/>
      <c r="V18" s="49"/>
      <c r="W18" s="48"/>
      <c r="X18" s="48"/>
      <c r="Y18" s="48"/>
      <c r="Z18" s="48"/>
      <c r="AA18" s="48"/>
      <c r="AB18" s="48"/>
      <c r="AC18" s="48"/>
    </row>
    <row r="19" spans="1:29" ht="14.4" thickBot="1" x14ac:dyDescent="0.35">
      <c r="A19" s="4"/>
      <c r="B19" s="11"/>
      <c r="C19" s="11"/>
      <c r="D19" s="11"/>
      <c r="E19" s="11"/>
      <c r="F19" s="412"/>
      <c r="G19" s="413"/>
      <c r="H19" s="74"/>
      <c r="I19" s="424"/>
      <c r="J19" s="422"/>
      <c r="K19" s="422"/>
      <c r="L19" s="423"/>
      <c r="M19" s="75"/>
      <c r="N19" s="75"/>
      <c r="O19" s="428" t="s">
        <v>184</v>
      </c>
      <c r="P19" s="429"/>
      <c r="Q19" s="430"/>
      <c r="R19" s="4"/>
      <c r="S19" s="4"/>
      <c r="T19" s="4"/>
      <c r="U19" s="4"/>
      <c r="V19" s="49"/>
      <c r="W19" s="48"/>
      <c r="X19" s="48"/>
      <c r="Y19" s="48"/>
      <c r="Z19" s="48"/>
      <c r="AA19" s="48"/>
      <c r="AB19" s="48"/>
      <c r="AC19" s="48"/>
    </row>
    <row r="20" spans="1:29" ht="13.8" x14ac:dyDescent="0.3">
      <c r="A20" s="4"/>
      <c r="B20" s="11"/>
      <c r="C20" s="11"/>
      <c r="D20" s="11"/>
      <c r="E20" s="11"/>
      <c r="F20" s="79"/>
      <c r="G20" s="76"/>
      <c r="H20" s="74"/>
      <c r="I20" s="80"/>
      <c r="J20" s="76"/>
      <c r="K20" s="76"/>
      <c r="L20" s="73"/>
      <c r="M20" s="75"/>
      <c r="N20" s="75"/>
      <c r="O20" s="404"/>
      <c r="P20" s="75"/>
      <c r="Q20" s="75"/>
      <c r="R20" s="4"/>
      <c r="S20" s="4"/>
      <c r="T20" s="4"/>
      <c r="U20" s="4"/>
      <c r="V20" s="49"/>
      <c r="W20" s="48"/>
      <c r="X20" s="48"/>
      <c r="Y20" s="48"/>
      <c r="Z20" s="48"/>
      <c r="AA20" s="48"/>
      <c r="AB20" s="48"/>
      <c r="AC20" s="48"/>
    </row>
    <row r="21" spans="1:29" ht="18" customHeight="1" x14ac:dyDescent="0.25">
      <c r="A21" s="4"/>
      <c r="B21" s="34"/>
      <c r="C21" s="34"/>
      <c r="D21" s="34"/>
      <c r="E21" s="34"/>
      <c r="F21" s="513" t="s">
        <v>182</v>
      </c>
      <c r="G21" s="513"/>
      <c r="H21" s="513"/>
      <c r="I21" s="513"/>
      <c r="J21" s="513"/>
      <c r="K21" s="513"/>
      <c r="L21" s="513"/>
      <c r="M21" s="513"/>
      <c r="N21" s="513"/>
      <c r="O21" s="513"/>
      <c r="P21" s="513"/>
      <c r="Q21" s="513"/>
      <c r="R21" s="4"/>
      <c r="S21" s="4"/>
      <c r="T21" s="4"/>
      <c r="U21" s="4"/>
      <c r="V21" s="49"/>
      <c r="W21" s="48"/>
      <c r="X21" s="48"/>
      <c r="Y21" s="48"/>
      <c r="Z21" s="48"/>
      <c r="AA21" s="48"/>
      <c r="AB21" s="48"/>
      <c r="AC21" s="48"/>
    </row>
    <row r="22" spans="1:29" x14ac:dyDescent="0.25">
      <c r="A22" s="4"/>
      <c r="B22" s="517" t="str">
        <f>IF(COUNTA($F$16,$I$16,$I$18,$O$16,$O$18)&gt;1,"Warning:  Only one of the five light yellow entry boxes in Step 1 should be filled in. Estimates in table below will not be valid.","")</f>
        <v/>
      </c>
      <c r="C22" s="517"/>
      <c r="D22" s="517"/>
      <c r="E22" s="517"/>
      <c r="F22" s="517"/>
      <c r="G22" s="517"/>
      <c r="H22" s="517"/>
      <c r="I22" s="517"/>
      <c r="J22" s="517"/>
      <c r="K22" s="517"/>
      <c r="L22" s="517"/>
      <c r="M22" s="517"/>
      <c r="N22" s="517"/>
      <c r="O22" s="517"/>
      <c r="P22" s="517"/>
      <c r="Q22" s="517"/>
      <c r="R22" s="517"/>
      <c r="S22" s="517"/>
      <c r="T22" s="517"/>
      <c r="U22" s="4"/>
      <c r="V22" s="49"/>
      <c r="W22" s="48"/>
      <c r="X22" s="48"/>
      <c r="Y22" s="48"/>
      <c r="Z22" s="48"/>
      <c r="AA22" s="48"/>
      <c r="AB22" s="48"/>
      <c r="AC22" s="48"/>
    </row>
    <row r="23" spans="1:29" ht="21.6" customHeight="1" x14ac:dyDescent="0.25">
      <c r="A23" s="4"/>
      <c r="B23" s="368" t="str">
        <f>IF(AND(SUM(F16,O16,O18)=0,COUNT(I16,I18)=1),"Steps 2 and 3 only apply for Electricity or RNG projects. No other inputs are needed for Direct-use projects. Estimates based on Step 1 are available in the table below.","")</f>
        <v/>
      </c>
      <c r="C23" s="32"/>
      <c r="D23" s="32"/>
      <c r="E23" s="32"/>
      <c r="F23" s="32"/>
      <c r="G23" s="32"/>
      <c r="H23" s="32"/>
      <c r="I23" s="32"/>
      <c r="J23" s="32"/>
      <c r="K23" s="32"/>
      <c r="L23" s="32"/>
      <c r="M23" s="32"/>
      <c r="N23" s="32"/>
      <c r="O23" s="32"/>
      <c r="P23" s="395"/>
      <c r="Q23" s="32"/>
      <c r="R23" s="32"/>
      <c r="S23" s="32"/>
      <c r="T23" s="32"/>
      <c r="U23" s="4"/>
      <c r="V23" s="50"/>
    </row>
    <row r="24" spans="1:29" ht="15.75" customHeight="1" x14ac:dyDescent="0.45">
      <c r="A24" s="4"/>
      <c r="B24" s="508" t="s">
        <v>115</v>
      </c>
      <c r="C24" s="508"/>
      <c r="D24" s="512"/>
      <c r="E24" s="33"/>
      <c r="F24" s="86" t="s">
        <v>156</v>
      </c>
      <c r="G24" s="81"/>
      <c r="H24" s="81"/>
      <c r="I24" s="81"/>
      <c r="J24" s="81"/>
      <c r="K24" s="81"/>
      <c r="L24" s="81"/>
      <c r="M24" s="81"/>
      <c r="N24" s="81"/>
      <c r="O24" s="38"/>
      <c r="P24" s="38"/>
      <c r="Q24" s="38"/>
      <c r="R24" s="38"/>
      <c r="S24" s="38"/>
      <c r="T24" s="38"/>
      <c r="U24" s="4"/>
      <c r="V24" s="50"/>
    </row>
    <row r="25" spans="1:29" ht="15.75" customHeight="1" x14ac:dyDescent="0.3">
      <c r="A25" s="4"/>
      <c r="B25" s="512"/>
      <c r="C25" s="512"/>
      <c r="D25" s="512"/>
      <c r="E25" s="33"/>
      <c r="F25" s="380" t="s">
        <v>173</v>
      </c>
      <c r="G25" s="381"/>
      <c r="H25" s="381"/>
      <c r="I25" s="381"/>
      <c r="J25" s="381"/>
      <c r="K25" s="381"/>
      <c r="L25" s="381"/>
      <c r="M25" s="381"/>
      <c r="N25" s="381"/>
      <c r="O25" s="382"/>
      <c r="P25" s="382"/>
      <c r="Q25" s="382"/>
      <c r="R25" s="382"/>
      <c r="S25" s="382"/>
      <c r="T25" s="382"/>
      <c r="U25" s="383"/>
      <c r="V25" s="50"/>
    </row>
    <row r="26" spans="1:29" ht="16.2" thickBot="1" x14ac:dyDescent="0.35">
      <c r="A26" s="4"/>
      <c r="B26" s="32"/>
      <c r="C26" s="32"/>
      <c r="D26" s="32"/>
      <c r="E26" s="32"/>
      <c r="F26" s="77"/>
      <c r="G26" s="82"/>
      <c r="H26" s="82"/>
      <c r="I26" s="83"/>
      <c r="J26" s="83"/>
      <c r="K26" s="83"/>
      <c r="L26" s="81"/>
      <c r="M26" s="81"/>
      <c r="N26" s="81"/>
      <c r="O26" s="32"/>
      <c r="P26" s="32"/>
      <c r="Q26" s="32"/>
      <c r="R26" s="32"/>
      <c r="S26" s="32"/>
      <c r="T26" s="32"/>
      <c r="U26" s="4"/>
    </row>
    <row r="27" spans="1:29" ht="13.2" customHeight="1" x14ac:dyDescent="0.3">
      <c r="A27" s="4"/>
      <c r="B27" s="24"/>
      <c r="C27" s="24"/>
      <c r="D27" s="24"/>
      <c r="E27" s="24"/>
      <c r="F27" s="521" t="s">
        <v>104</v>
      </c>
      <c r="G27" s="521"/>
      <c r="H27" s="521"/>
      <c r="I27" s="521"/>
      <c r="J27" s="524" t="s">
        <v>34</v>
      </c>
      <c r="K27" s="525"/>
      <c r="L27" s="526"/>
      <c r="M27" s="83"/>
      <c r="N27" s="83"/>
      <c r="O27" s="89"/>
      <c r="P27" s="39"/>
      <c r="Q27" s="32"/>
      <c r="R27" s="32"/>
      <c r="S27" s="32"/>
      <c r="T27" s="32"/>
      <c r="U27" s="4"/>
      <c r="V27" s="47"/>
    </row>
    <row r="28" spans="1:29" ht="16.2" customHeight="1" thickBot="1" x14ac:dyDescent="0.35">
      <c r="A28" s="4"/>
      <c r="B28" s="24"/>
      <c r="C28" s="24"/>
      <c r="D28" s="24"/>
      <c r="E28" s="24"/>
      <c r="F28" s="521"/>
      <c r="G28" s="521"/>
      <c r="H28" s="521"/>
      <c r="I28" s="521"/>
      <c r="J28" s="527"/>
      <c r="K28" s="528"/>
      <c r="L28" s="529"/>
      <c r="M28" s="83"/>
      <c r="N28" s="83"/>
      <c r="O28" s="89"/>
      <c r="P28" s="32"/>
      <c r="Q28" s="32"/>
      <c r="R28" s="32"/>
      <c r="S28" s="32"/>
      <c r="T28" s="32"/>
      <c r="U28" s="4"/>
      <c r="V28" s="51"/>
    </row>
    <row r="29" spans="1:29" ht="16.2" customHeight="1" x14ac:dyDescent="0.3">
      <c r="A29" s="4"/>
      <c r="B29" s="24"/>
      <c r="C29" s="24"/>
      <c r="D29" s="24"/>
      <c r="E29" s="24"/>
      <c r="F29" s="84"/>
      <c r="G29" s="84"/>
      <c r="H29" s="84"/>
      <c r="I29" s="89"/>
      <c r="J29" s="89"/>
      <c r="K29" s="89"/>
      <c r="L29" s="89"/>
      <c r="M29" s="83"/>
      <c r="N29" s="83"/>
      <c r="O29" s="32"/>
      <c r="P29" s="32"/>
      <c r="Q29" s="32"/>
      <c r="R29" s="32"/>
      <c r="S29" s="32"/>
      <c r="T29" s="32"/>
      <c r="U29" s="4"/>
      <c r="V29" s="51"/>
    </row>
    <row r="30" spans="1:29" s="93" customFormat="1" ht="18.75" customHeight="1" x14ac:dyDescent="0.25">
      <c r="A30" s="18"/>
      <c r="B30" s="87" t="str">
        <f>IF(AND(F16&gt;0,SUM(I16,I18,O16,O18)=0),"Step 3 only applies for RNG projects. No other inputs are needed for Electricity projects. Estimates based on Steps 1 &amp; 2 are available in the table below.","")</f>
        <v/>
      </c>
      <c r="C30" s="87"/>
      <c r="D30" s="88"/>
      <c r="E30" s="88"/>
      <c r="F30" s="89"/>
      <c r="G30" s="89"/>
      <c r="H30" s="89"/>
      <c r="I30" s="89"/>
      <c r="J30" s="89"/>
      <c r="K30" s="89"/>
      <c r="L30" s="89"/>
      <c r="M30" s="90"/>
      <c r="N30" s="90"/>
      <c r="O30" s="91"/>
      <c r="P30" s="91"/>
      <c r="Q30" s="91"/>
      <c r="R30" s="91"/>
      <c r="S30" s="91"/>
      <c r="T30" s="91"/>
      <c r="U30" s="18"/>
      <c r="V30" s="92"/>
    </row>
    <row r="31" spans="1:29" ht="16.2" customHeight="1" x14ac:dyDescent="0.3">
      <c r="A31" s="4"/>
      <c r="B31" s="508" t="s">
        <v>116</v>
      </c>
      <c r="C31" s="508"/>
      <c r="D31" s="508"/>
      <c r="E31" s="24"/>
      <c r="F31" s="522" t="s">
        <v>136</v>
      </c>
      <c r="G31" s="522"/>
      <c r="H31" s="523"/>
      <c r="I31" s="85"/>
      <c r="J31" s="85"/>
      <c r="K31" s="85"/>
      <c r="L31" s="83"/>
      <c r="M31" s="77"/>
      <c r="N31" s="77"/>
      <c r="O31" s="32"/>
      <c r="P31" s="32"/>
      <c r="Q31" s="32"/>
      <c r="R31" s="32"/>
      <c r="S31" s="32"/>
      <c r="T31" s="32"/>
      <c r="U31" s="4"/>
      <c r="V31" s="51"/>
    </row>
    <row r="32" spans="1:29" ht="16.2" customHeight="1" x14ac:dyDescent="0.3">
      <c r="A32" s="4"/>
      <c r="B32" s="508"/>
      <c r="C32" s="508"/>
      <c r="D32" s="508"/>
      <c r="E32" s="24"/>
      <c r="F32" s="522"/>
      <c r="G32" s="522"/>
      <c r="H32" s="523"/>
      <c r="I32" s="85"/>
      <c r="J32" s="85"/>
      <c r="K32" s="85"/>
      <c r="L32" s="83"/>
      <c r="M32" s="77"/>
      <c r="N32" s="77"/>
      <c r="O32" s="32"/>
      <c r="P32" s="32"/>
      <c r="Q32" s="32"/>
      <c r="R32" s="32"/>
      <c r="S32" s="32"/>
      <c r="T32" s="32"/>
      <c r="U32" s="4"/>
      <c r="V32" s="51"/>
    </row>
    <row r="33" spans="1:26" s="53" customFormat="1" ht="21.75" customHeight="1" thickBot="1" x14ac:dyDescent="0.3">
      <c r="A33" s="40"/>
      <c r="B33" s="68"/>
      <c r="C33" s="68"/>
      <c r="D33" s="68"/>
      <c r="E33" s="68"/>
      <c r="F33" s="68"/>
      <c r="G33" s="68"/>
      <c r="H33" s="68"/>
      <c r="I33" s="68"/>
      <c r="J33" s="68"/>
      <c r="K33" s="68"/>
      <c r="L33" s="68"/>
      <c r="M33" s="68"/>
      <c r="N33" s="68"/>
      <c r="O33" s="68"/>
      <c r="P33" s="68"/>
      <c r="Q33" s="68"/>
      <c r="R33" s="68"/>
      <c r="S33" s="68"/>
      <c r="T33" s="68"/>
      <c r="U33" s="40"/>
      <c r="V33" s="52"/>
    </row>
    <row r="34" spans="1:26" ht="15.75" customHeight="1" thickBot="1" x14ac:dyDescent="0.3">
      <c r="A34" s="4"/>
      <c r="B34" s="33"/>
      <c r="C34" s="33"/>
      <c r="D34" s="509" t="s">
        <v>105</v>
      </c>
      <c r="E34" s="33"/>
      <c r="F34" s="510" t="s">
        <v>109</v>
      </c>
      <c r="G34" s="510"/>
      <c r="H34" s="510"/>
      <c r="I34" s="510"/>
      <c r="J34" s="510"/>
      <c r="K34" s="502" t="s">
        <v>56</v>
      </c>
      <c r="L34" s="503"/>
      <c r="M34" s="530" t="s">
        <v>133</v>
      </c>
      <c r="N34" s="530"/>
      <c r="O34" s="530"/>
      <c r="P34" s="530"/>
      <c r="Q34" s="530"/>
      <c r="R34" s="530"/>
      <c r="S34" s="530"/>
      <c r="T34" s="530"/>
      <c r="U34" s="4"/>
      <c r="V34" s="50"/>
      <c r="Z34" s="54"/>
    </row>
    <row r="35" spans="1:26" ht="15.75" customHeight="1" thickBot="1" x14ac:dyDescent="0.3">
      <c r="A35" s="4"/>
      <c r="B35" s="33"/>
      <c r="C35" s="33"/>
      <c r="D35" s="509"/>
      <c r="E35" s="33"/>
      <c r="F35" s="510"/>
      <c r="G35" s="510"/>
      <c r="H35" s="510"/>
      <c r="I35" s="510"/>
      <c r="J35" s="510"/>
      <c r="K35" s="101"/>
      <c r="L35" s="68"/>
      <c r="M35" s="530"/>
      <c r="N35" s="530"/>
      <c r="O35" s="530"/>
      <c r="P35" s="530"/>
      <c r="Q35" s="530"/>
      <c r="R35" s="530"/>
      <c r="S35" s="530"/>
      <c r="T35" s="530"/>
      <c r="U35" s="4"/>
      <c r="V35" s="50"/>
      <c r="Z35" s="54"/>
    </row>
    <row r="36" spans="1:26" ht="15" thickBot="1" x14ac:dyDescent="0.35">
      <c r="A36" s="4"/>
      <c r="B36" s="33"/>
      <c r="C36" s="33"/>
      <c r="D36" s="102"/>
      <c r="E36" s="33"/>
      <c r="F36" s="534" t="s">
        <v>108</v>
      </c>
      <c r="G36" s="534"/>
      <c r="H36" s="534"/>
      <c r="I36" s="534"/>
      <c r="J36" s="534"/>
      <c r="K36" s="502" t="s">
        <v>56</v>
      </c>
      <c r="L36" s="503"/>
      <c r="M36" s="531" t="s">
        <v>134</v>
      </c>
      <c r="N36" s="530"/>
      <c r="O36" s="530"/>
      <c r="P36" s="530"/>
      <c r="Q36" s="530"/>
      <c r="R36" s="530"/>
      <c r="S36" s="530"/>
      <c r="T36" s="530"/>
      <c r="U36" s="5"/>
      <c r="V36" s="50"/>
    </row>
    <row r="37" spans="1:26" ht="15.75" customHeight="1" x14ac:dyDescent="0.3">
      <c r="A37" s="4"/>
      <c r="B37" s="33"/>
      <c r="C37" s="33"/>
      <c r="D37" s="102"/>
      <c r="E37" s="33"/>
      <c r="F37" s="534"/>
      <c r="G37" s="534"/>
      <c r="H37" s="534"/>
      <c r="I37" s="534"/>
      <c r="J37" s="534"/>
      <c r="K37" s="96"/>
      <c r="L37" s="108"/>
      <c r="M37" s="467" t="str">
        <f>IF(AND(OR(O16&gt;0,O18&gt;0),K34="No",K36="No"),"Based on the selections in Step 3a, the tool will assume that RNG will replace NATURAL GAS in a non-vehicle fuel use.",IF(AND(OR(O16&gt;0,O18&gt;0),K34="N/A",K36="N/A"),"LFG flow was entered in Step 1 for an RNG project but Step 3a has N/A for both entries. Please make any needed adjustments.",IF(AND(OR(O16&gt;0,O18&gt;0),K34="Yes",OR(K36="No",K36="N/A")),"Based on the selections in Step 3a, the tool will assume that RNG will replace DIESEL FUEL for vehicles fueled ON SITE.",IF(AND(OR(O16&gt;0,O18&gt;0),K36="Yes",OR(K34="No",K34="N/A")),"Based on the selections in Step 3a, the tool will assume that RNG will replace DIESEL FUEL for vehicles fueled OFF SITE.",IF(AND(OR(O16&gt;0,O18&gt;0),K34="Yes",K36="Yes"),"For Step 3a, please select YES only once for either using RNG as fuel ON SITE or OFF SITE. This tool can estimate emission reductions for only one scenario at a time.",IF(AND(OR(O16&gt;0,O18&gt;0),K34="No",K36="N/A"),"Please select either YES or NO for whether RNG injected into a pipeline will be used as vehicle fuel.",IF(AND(OR(O16&gt;0,O18&gt;0),K34="N/A",K36="No"),"Based on the selections in Step 3a, the tool will assume that RNG will replace NATURAL GAS in a non-vehicle fuel use.","")))))))</f>
        <v/>
      </c>
      <c r="N37" s="467"/>
      <c r="O37" s="467"/>
      <c r="P37" s="467"/>
      <c r="Q37" s="467"/>
      <c r="R37" s="467"/>
      <c r="S37" s="467"/>
      <c r="T37" s="467"/>
      <c r="U37" s="5"/>
      <c r="V37" s="50"/>
    </row>
    <row r="38" spans="1:26" ht="15.75" customHeight="1" x14ac:dyDescent="0.3">
      <c r="A38" s="4"/>
      <c r="B38" s="33"/>
      <c r="C38" s="33"/>
      <c r="D38" s="102"/>
      <c r="E38" s="33"/>
      <c r="F38" s="97"/>
      <c r="G38" s="97"/>
      <c r="H38" s="97"/>
      <c r="I38" s="97"/>
      <c r="J38" s="97"/>
      <c r="K38" s="97"/>
      <c r="L38" s="108"/>
      <c r="M38" s="467"/>
      <c r="N38" s="467"/>
      <c r="O38" s="467"/>
      <c r="P38" s="467"/>
      <c r="Q38" s="467"/>
      <c r="R38" s="467"/>
      <c r="S38" s="467"/>
      <c r="T38" s="467"/>
      <c r="U38" s="442"/>
      <c r="V38" s="443"/>
    </row>
    <row r="39" spans="1:26" ht="16.5" customHeight="1" x14ac:dyDescent="0.3">
      <c r="A39" s="4"/>
      <c r="B39" s="33"/>
      <c r="C39" s="33"/>
      <c r="D39" s="102"/>
      <c r="E39" s="33"/>
      <c r="F39" s="34"/>
      <c r="G39" s="34"/>
      <c r="H39" s="35"/>
      <c r="I39" s="36"/>
      <c r="J39" s="36"/>
      <c r="K39" s="36"/>
      <c r="L39" s="68"/>
      <c r="M39" s="467"/>
      <c r="N39" s="467"/>
      <c r="O39" s="467"/>
      <c r="P39" s="467"/>
      <c r="Q39" s="467"/>
      <c r="R39" s="467"/>
      <c r="S39" s="467"/>
      <c r="T39" s="467"/>
      <c r="U39" s="442"/>
      <c r="V39" s="443"/>
    </row>
    <row r="40" spans="1:26" ht="15.75" customHeight="1" x14ac:dyDescent="0.25">
      <c r="A40" s="4"/>
      <c r="B40" s="99"/>
      <c r="C40" s="99"/>
      <c r="D40" s="509" t="s">
        <v>106</v>
      </c>
      <c r="E40" s="99"/>
      <c r="F40" s="518" t="s">
        <v>166</v>
      </c>
      <c r="G40" s="518"/>
      <c r="H40" s="518"/>
      <c r="I40" s="518"/>
      <c r="J40" s="518"/>
      <c r="K40" s="101"/>
      <c r="L40" s="37"/>
      <c r="M40" s="507" t="s">
        <v>193</v>
      </c>
      <c r="N40" s="507"/>
      <c r="O40" s="507"/>
      <c r="P40" s="507"/>
      <c r="Q40" s="507"/>
      <c r="R40" s="507"/>
      <c r="S40" s="507"/>
      <c r="T40" s="507"/>
      <c r="U40" s="4"/>
      <c r="V40" s="50"/>
    </row>
    <row r="41" spans="1:26" ht="29.4" customHeight="1" thickBot="1" x14ac:dyDescent="0.3">
      <c r="A41" s="4"/>
      <c r="B41" s="98"/>
      <c r="C41" s="98"/>
      <c r="D41" s="509"/>
      <c r="E41" s="98"/>
      <c r="F41" s="518"/>
      <c r="G41" s="518"/>
      <c r="H41" s="518"/>
      <c r="I41" s="518"/>
      <c r="J41" s="518"/>
      <c r="K41" s="101"/>
      <c r="L41" s="37"/>
      <c r="M41" s="507"/>
      <c r="N41" s="507"/>
      <c r="O41" s="507"/>
      <c r="P41" s="507"/>
      <c r="Q41" s="507"/>
      <c r="R41" s="507"/>
      <c r="S41" s="507"/>
      <c r="T41" s="507"/>
      <c r="U41" s="4"/>
      <c r="V41" s="50"/>
    </row>
    <row r="42" spans="1:26" ht="21.75" customHeight="1" thickBot="1" x14ac:dyDescent="0.35">
      <c r="A42" s="4"/>
      <c r="B42" s="98"/>
      <c r="C42" s="98"/>
      <c r="D42" s="98"/>
      <c r="E42" s="98"/>
      <c r="F42" s="94" t="s">
        <v>111</v>
      </c>
      <c r="G42" s="101"/>
      <c r="H42" s="101"/>
      <c r="I42" s="101"/>
      <c r="J42" s="101"/>
      <c r="K42" s="504">
        <v>100</v>
      </c>
      <c r="L42" s="505"/>
      <c r="M42" s="532" t="s">
        <v>110</v>
      </c>
      <c r="N42" s="533"/>
      <c r="O42" s="533"/>
      <c r="P42" s="533"/>
      <c r="Q42" s="533"/>
      <c r="R42" s="533"/>
      <c r="S42" s="533"/>
      <c r="T42" s="533"/>
      <c r="U42" s="4"/>
      <c r="V42" s="50"/>
    </row>
    <row r="43" spans="1:26" ht="15.75" customHeight="1" x14ac:dyDescent="0.25">
      <c r="A43" s="4"/>
      <c r="B43" s="98"/>
      <c r="C43" s="98"/>
      <c r="D43" s="98"/>
      <c r="E43" s="98"/>
      <c r="F43" s="385" t="s">
        <v>164</v>
      </c>
      <c r="G43" s="384"/>
      <c r="H43" s="384"/>
      <c r="I43" s="104"/>
      <c r="J43" s="104"/>
      <c r="K43" s="506">
        <f>100-K42</f>
        <v>0</v>
      </c>
      <c r="L43" s="506"/>
      <c r="M43" s="469" t="s">
        <v>165</v>
      </c>
      <c r="N43" s="469"/>
      <c r="O43" s="469"/>
      <c r="P43" s="469"/>
      <c r="Q43" s="469"/>
      <c r="R43" s="469"/>
      <c r="S43" s="469"/>
      <c r="T43" s="469"/>
      <c r="U43" s="4"/>
      <c r="V43" s="50"/>
    </row>
    <row r="44" spans="1:26" ht="16.5" customHeight="1" thickBot="1" x14ac:dyDescent="0.35">
      <c r="A44" s="4"/>
      <c r="B44" s="34"/>
      <c r="C44" s="34"/>
      <c r="D44" s="103"/>
      <c r="E44" s="34"/>
      <c r="F44" s="104"/>
      <c r="G44" s="104"/>
      <c r="H44" s="104"/>
      <c r="I44" s="104"/>
      <c r="J44" s="104"/>
      <c r="K44" s="104"/>
      <c r="L44" s="37"/>
      <c r="M44" s="35"/>
      <c r="N44" s="35"/>
      <c r="O44" s="107"/>
      <c r="P44" s="107"/>
      <c r="Q44" s="107"/>
      <c r="R44" s="107"/>
      <c r="S44" s="107"/>
      <c r="T44" s="107"/>
      <c r="U44" s="4"/>
      <c r="V44" s="50"/>
    </row>
    <row r="45" spans="1:26" ht="27" customHeight="1" thickBot="1" x14ac:dyDescent="0.3">
      <c r="A45" s="4"/>
      <c r="B45" s="100"/>
      <c r="C45" s="100"/>
      <c r="D45" s="509" t="s">
        <v>107</v>
      </c>
      <c r="E45" s="100"/>
      <c r="F45" s="510" t="s">
        <v>112</v>
      </c>
      <c r="G45" s="510"/>
      <c r="H45" s="510"/>
      <c r="I45" s="510"/>
      <c r="J45" s="510"/>
      <c r="K45" s="504">
        <v>90</v>
      </c>
      <c r="L45" s="505"/>
      <c r="M45" s="468" t="s">
        <v>163</v>
      </c>
      <c r="N45" s="469"/>
      <c r="O45" s="469"/>
      <c r="P45" s="469"/>
      <c r="Q45" s="469"/>
      <c r="R45" s="469"/>
      <c r="S45" s="469"/>
      <c r="T45" s="469"/>
      <c r="U45" s="4"/>
      <c r="V45" s="50"/>
    </row>
    <row r="46" spans="1:26" ht="12" customHeight="1" x14ac:dyDescent="0.25">
      <c r="A46" s="4"/>
      <c r="B46" s="32"/>
      <c r="C46" s="32"/>
      <c r="D46" s="509"/>
      <c r="E46" s="32"/>
      <c r="F46" s="510"/>
      <c r="G46" s="510"/>
      <c r="H46" s="510"/>
      <c r="I46" s="510"/>
      <c r="J46" s="510"/>
      <c r="K46" s="101"/>
      <c r="L46" s="32"/>
      <c r="M46" s="4"/>
      <c r="N46" s="501"/>
      <c r="O46" s="501"/>
      <c r="P46" s="501"/>
      <c r="Q46" s="501"/>
      <c r="R46" s="501"/>
      <c r="S46" s="501"/>
      <c r="T46" s="501"/>
      <c r="U46" s="4"/>
      <c r="V46" s="50"/>
    </row>
    <row r="47" spans="1:26" ht="18.600000000000001" customHeight="1" x14ac:dyDescent="0.25">
      <c r="A47" s="4"/>
      <c r="B47" s="32"/>
      <c r="C47" s="32"/>
      <c r="D47" s="32"/>
      <c r="E47" s="32"/>
      <c r="F47" s="386" t="s">
        <v>113</v>
      </c>
      <c r="G47" s="101"/>
      <c r="H47" s="101"/>
      <c r="I47" s="101"/>
      <c r="J47" s="101"/>
      <c r="K47" s="101"/>
      <c r="L47" s="32"/>
      <c r="M47" s="109"/>
      <c r="N47" s="109"/>
      <c r="O47" s="109"/>
      <c r="P47" s="109"/>
      <c r="Q47" s="109"/>
      <c r="R47" s="109"/>
      <c r="S47" s="109"/>
      <c r="T47" s="109"/>
      <c r="U47" s="4"/>
      <c r="V47" s="50"/>
    </row>
    <row r="48" spans="1:26" ht="15.75" customHeight="1" x14ac:dyDescent="0.25">
      <c r="A48" s="4"/>
      <c r="B48" s="32"/>
      <c r="C48" s="32"/>
      <c r="D48" s="32"/>
      <c r="E48" s="32"/>
      <c r="F48" s="105"/>
      <c r="G48" s="101"/>
      <c r="H48" s="101"/>
      <c r="I48" s="101"/>
      <c r="J48" s="101"/>
      <c r="K48" s="101"/>
      <c r="L48" s="32"/>
      <c r="M48" s="109"/>
      <c r="N48" s="109"/>
      <c r="O48" s="109"/>
      <c r="P48" s="109"/>
      <c r="Q48" s="109"/>
      <c r="R48" s="109"/>
      <c r="S48" s="109"/>
      <c r="T48" s="109"/>
      <c r="U48" s="4"/>
      <c r="V48" s="50"/>
    </row>
    <row r="49" spans="1:28" ht="15.75" customHeight="1" x14ac:dyDescent="0.25">
      <c r="A49" s="4"/>
      <c r="B49" s="32"/>
      <c r="C49" s="32"/>
      <c r="D49" s="32"/>
      <c r="E49" s="32"/>
      <c r="F49" s="105"/>
      <c r="G49" s="101"/>
      <c r="H49" s="101"/>
      <c r="I49" s="101"/>
      <c r="J49" s="101"/>
      <c r="K49" s="101"/>
      <c r="L49" s="32"/>
      <c r="M49" s="466" t="str">
        <f>IF(K45&lt;65,"Warning: Methane recovery rate entered is lower than typical range.",IF(K45&gt;99,"Warning: Methane recovery rate entered is higher than typical range.",""))</f>
        <v/>
      </c>
      <c r="N49" s="466"/>
      <c r="O49" s="466"/>
      <c r="P49" s="466"/>
      <c r="Q49" s="466"/>
      <c r="R49" s="466"/>
      <c r="S49" s="466"/>
      <c r="T49" s="466"/>
      <c r="U49" s="4"/>
      <c r="V49" s="50"/>
    </row>
    <row r="50" spans="1:28" ht="15.75" customHeight="1" x14ac:dyDescent="0.3">
      <c r="A50" s="110"/>
      <c r="B50" s="508" t="s">
        <v>117</v>
      </c>
      <c r="C50" s="508"/>
      <c r="D50" s="508"/>
      <c r="E50" s="106"/>
      <c r="F50" s="475" t="s">
        <v>135</v>
      </c>
      <c r="G50" s="475"/>
      <c r="H50" s="475"/>
      <c r="I50" s="475"/>
      <c r="J50" s="113"/>
      <c r="K50" s="113"/>
      <c r="L50" s="113"/>
      <c r="M50" s="112"/>
      <c r="N50" s="475"/>
      <c r="O50" s="475"/>
      <c r="P50" s="475"/>
      <c r="Q50" s="475"/>
      <c r="R50" s="112"/>
      <c r="S50" s="112"/>
      <c r="T50" s="475"/>
      <c r="U50" s="110"/>
      <c r="V50" s="50"/>
    </row>
    <row r="51" spans="1:28" ht="15.75" customHeight="1" x14ac:dyDescent="0.3">
      <c r="A51" s="110"/>
      <c r="B51" s="508"/>
      <c r="C51" s="508"/>
      <c r="D51" s="508"/>
      <c r="E51" s="106"/>
      <c r="F51" s="475"/>
      <c r="G51" s="475"/>
      <c r="H51" s="475"/>
      <c r="I51" s="475"/>
      <c r="J51" s="113"/>
      <c r="K51" s="113"/>
      <c r="L51" s="113"/>
      <c r="M51" s="112"/>
      <c r="N51" s="475"/>
      <c r="O51" s="475"/>
      <c r="P51" s="475"/>
      <c r="Q51" s="475"/>
      <c r="R51" s="112"/>
      <c r="S51" s="112"/>
      <c r="T51" s="475"/>
      <c r="U51" s="110"/>
      <c r="V51" s="50"/>
    </row>
    <row r="52" spans="1:28" ht="15.75" customHeight="1" x14ac:dyDescent="0.3">
      <c r="A52" s="111"/>
      <c r="B52" s="110"/>
      <c r="C52" s="110"/>
      <c r="D52" s="110"/>
      <c r="E52" s="111"/>
      <c r="F52" s="111"/>
      <c r="G52" s="111"/>
      <c r="H52" s="111"/>
      <c r="I52" s="111"/>
      <c r="J52" s="111"/>
      <c r="K52" s="111"/>
      <c r="L52" s="111"/>
      <c r="M52" s="111"/>
      <c r="N52" s="111"/>
      <c r="O52" s="111"/>
      <c r="P52" s="111"/>
      <c r="Q52" s="111"/>
      <c r="R52" s="111"/>
      <c r="S52" s="111"/>
      <c r="T52" s="111"/>
      <c r="U52" s="111"/>
      <c r="V52" s="50"/>
    </row>
    <row r="53" spans="1:28" ht="12.75" customHeight="1" x14ac:dyDescent="0.3">
      <c r="A53" s="111"/>
      <c r="B53" s="128"/>
      <c r="C53" s="128"/>
      <c r="D53" s="128"/>
      <c r="E53" s="129"/>
      <c r="F53" s="129"/>
      <c r="G53" s="129"/>
      <c r="H53" s="129"/>
      <c r="I53" s="129"/>
      <c r="J53" s="129"/>
      <c r="K53" s="129"/>
      <c r="L53" s="129"/>
      <c r="M53" s="129"/>
      <c r="N53" s="129"/>
      <c r="O53" s="129"/>
      <c r="P53" s="129"/>
      <c r="Q53" s="129"/>
      <c r="R53" s="129"/>
      <c r="S53" s="129"/>
      <c r="T53" s="129"/>
      <c r="U53" s="111"/>
      <c r="V53" s="50"/>
    </row>
    <row r="54" spans="1:28" ht="45" customHeight="1" x14ac:dyDescent="0.3">
      <c r="A54" s="4"/>
      <c r="B54" s="1"/>
      <c r="C54" s="1"/>
      <c r="D54" s="142"/>
      <c r="E54" s="142"/>
      <c r="F54" s="142"/>
      <c r="G54" s="142"/>
      <c r="H54" s="142"/>
      <c r="I54" s="474" t="s">
        <v>132</v>
      </c>
      <c r="J54" s="474"/>
      <c r="K54" s="474"/>
      <c r="L54" s="472" t="s">
        <v>194</v>
      </c>
      <c r="M54" s="472"/>
      <c r="N54" s="472"/>
      <c r="O54" s="472"/>
      <c r="P54" s="474" t="s">
        <v>125</v>
      </c>
      <c r="Q54" s="474"/>
      <c r="R54" s="474"/>
      <c r="S54" s="159"/>
      <c r="T54" s="139"/>
      <c r="U54" s="4"/>
      <c r="V54" s="50"/>
    </row>
    <row r="55" spans="1:28" ht="27.75" customHeight="1" thickBot="1" x14ac:dyDescent="0.4">
      <c r="A55" s="4"/>
      <c r="B55" s="1"/>
      <c r="C55" s="165" t="s">
        <v>127</v>
      </c>
      <c r="D55" s="165"/>
      <c r="E55" s="165"/>
      <c r="F55" s="165"/>
      <c r="G55" s="165"/>
      <c r="H55" s="165"/>
      <c r="I55" s="140"/>
      <c r="J55" s="141"/>
      <c r="K55" s="141"/>
      <c r="L55" s="473" t="str">
        <f>IF(AND(F16&gt;0,I16=0,I18=0,O16=0,O18=0),"(Estimated from displacing energy mix selected in Step 2)",IF(AND(F16=0,OR(I16&gt;0,I18&gt;0)),"(Estimated from displacing natural gas)",IF(AND(F16=0,I16=0,I18=0,AND(OR(O16&gt;0,O18&gt;0),OR(K34="Yes",K36="Yes"))),"(Estimated from displacing diesel fuel)","(Estimated from displacing natural gas)")))</f>
        <v>(Estimated from displacing natural gas)</v>
      </c>
      <c r="M55" s="473"/>
      <c r="N55" s="473"/>
      <c r="O55" s="473"/>
      <c r="P55" s="462"/>
      <c r="Q55" s="462"/>
      <c r="R55" s="462"/>
      <c r="S55" s="462"/>
      <c r="T55" s="166"/>
      <c r="U55" s="4"/>
    </row>
    <row r="56" spans="1:28" ht="12.75" customHeight="1" x14ac:dyDescent="0.3">
      <c r="A56" s="4"/>
      <c r="B56" s="1"/>
      <c r="C56" s="1"/>
      <c r="D56" s="118"/>
      <c r="E56" s="118"/>
      <c r="F56" s="118"/>
      <c r="G56" s="116"/>
      <c r="H56" s="116"/>
      <c r="I56" s="114"/>
      <c r="J56" s="120"/>
      <c r="K56" s="120"/>
      <c r="L56" s="120"/>
      <c r="M56" s="120"/>
      <c r="N56" s="120"/>
      <c r="O56" s="116"/>
      <c r="P56" s="116"/>
      <c r="Q56" s="116"/>
      <c r="R56" s="116"/>
      <c r="S56" s="116"/>
      <c r="T56" s="116"/>
      <c r="U56" s="4"/>
      <c r="V56" s="55"/>
      <c r="AA56" s="56"/>
      <c r="AB56" s="56"/>
    </row>
    <row r="57" spans="1:28" ht="22.5" customHeight="1" x14ac:dyDescent="0.25">
      <c r="A57" s="4"/>
      <c r="B57" s="1"/>
      <c r="C57" s="476" t="s">
        <v>157</v>
      </c>
      <c r="D57" s="476"/>
      <c r="E57" s="476"/>
      <c r="F57" s="476"/>
      <c r="G57" s="476"/>
      <c r="H57" s="477"/>
      <c r="I57" s="137">
        <f>IF($F$16&gt;0,$F$16*'Calculations and References'!$D$12,IF($I$16&gt;0,$I$16,IF($I$18&gt;0,$I$18*'Calculations and References'!$C$39*'Calculations and References'!$C$40/'Calculations and References'!$C$48,IF($O$16&gt;0,$O$16,IF($O$18&gt;0,$O$18*'Calculations and References'!$C$39*'Calculations and References'!$C$40/'Calculations and References'!$C$48))))*'Calculations and References'!$T$11)</f>
        <v>0</v>
      </c>
      <c r="J57" s="130" t="s">
        <v>118</v>
      </c>
      <c r="K57" s="130"/>
      <c r="L57" s="470">
        <f>IF($F$16&gt;0,$F$16*('Calculations and References'!$D$16/'Calculations and References'!$C$41)*(VLOOKUP($J$27,'CO2 Emission Factors'!$E$9:$F$23,2,FALSE)),IF($I$16&gt;0,$I$16*'Calculations and References'!$T$16,IF($I$18&gt;0,$I$18*'Calculations and References'!$C$39*'Calculations and References'!$C$40/'Calculations and References'!$C$48*'Calculations and References'!$T$16,
IF($O$16&gt;0,(($O$16*$K$45/100*IF(OR($K$34="Yes",$K$36="Yes"),'Calculations and References'!$D$32,'Calculations and References'!$T$22))-($O$16*$K$42/100*'Calculations and References'!T$27*IF($K$34="Yes",('Calculations and References'!$K$57+'Calculations and References'!$K$58),'Calculations and References'!$K$57)*(VLOOKUP(Tool!$J$27,'CO2 Emission Factors'!$E$9:$F$23,2,FALSE)))),
IF($O$18&gt;0,(($O$18*'Calculations and References'!$C$40*'Calculations and References'!$C$39/'Calculations and References'!$C$48*$K$45/100*IF(OR($K$34="Yes",$K$36="Yes"),'Calculations and References'!$D$32,'Calculations and References'!$T$22))-(($O$18*'Calculations and References'!$C$40*'Calculations and References'!$C$39/'Calculations and References'!$C$48)*$K$42/100*'Calculations and References'!T$27*IF($K$34="Yes",('Calculations and References'!$K$57+'Calculations and References'!$K$58),'Calculations and References'!$K$57)*(VLOOKUP(Tool!$J$27,'CO2 Emission Factors'!$E$9:$F$23,2,FALSE)))),0)))))</f>
        <v>0</v>
      </c>
      <c r="M57" s="470"/>
      <c r="N57" s="471" t="s">
        <v>118</v>
      </c>
      <c r="O57" s="471"/>
      <c r="P57" s="144">
        <f>$I57+$L57</f>
        <v>0</v>
      </c>
      <c r="Q57" s="478" t="s">
        <v>118</v>
      </c>
      <c r="R57" s="478"/>
      <c r="S57" s="478"/>
      <c r="T57" s="1"/>
      <c r="U57" s="4"/>
      <c r="V57" s="55"/>
      <c r="AA57" s="56"/>
      <c r="AB57" s="56"/>
    </row>
    <row r="58" spans="1:28" ht="22.5" customHeight="1" x14ac:dyDescent="0.25">
      <c r="A58" s="4"/>
      <c r="B58" s="1"/>
      <c r="C58" s="162" t="s">
        <v>123</v>
      </c>
      <c r="D58" s="162"/>
      <c r="E58" s="162"/>
      <c r="F58" s="162"/>
      <c r="G58" s="162"/>
      <c r="H58" s="163"/>
      <c r="I58" s="136">
        <f>$I$57*'Calculations and References'!$AG$31</f>
        <v>0</v>
      </c>
      <c r="J58" s="131" t="s">
        <v>119</v>
      </c>
      <c r="K58" s="131"/>
      <c r="L58" s="495" t="s">
        <v>124</v>
      </c>
      <c r="M58" s="496"/>
      <c r="N58" s="134"/>
      <c r="O58" s="132"/>
      <c r="P58" s="145">
        <f>$I$58</f>
        <v>0</v>
      </c>
      <c r="Q58" s="479" t="s">
        <v>119</v>
      </c>
      <c r="R58" s="479"/>
      <c r="S58" s="479"/>
      <c r="T58" s="1"/>
      <c r="U58" s="4"/>
      <c r="V58" s="55"/>
      <c r="AA58" s="56"/>
      <c r="AB58" s="56"/>
    </row>
    <row r="59" spans="1:28" ht="22.5" customHeight="1" x14ac:dyDescent="0.25">
      <c r="A59" s="4"/>
      <c r="B59" s="1"/>
      <c r="C59" s="135" t="s">
        <v>158</v>
      </c>
      <c r="D59" s="135"/>
      <c r="E59" s="135"/>
      <c r="F59" s="135"/>
      <c r="G59" s="135"/>
      <c r="H59" s="164"/>
      <c r="I59" s="138" t="s">
        <v>124</v>
      </c>
      <c r="J59" s="133"/>
      <c r="K59" s="133"/>
      <c r="L59" s="497">
        <f>$L$57*'Calculations and References'!$AG$32</f>
        <v>0</v>
      </c>
      <c r="M59" s="498"/>
      <c r="N59" s="499" t="s">
        <v>120</v>
      </c>
      <c r="O59" s="500"/>
      <c r="P59" s="146">
        <f>$L$59</f>
        <v>0</v>
      </c>
      <c r="Q59" s="480" t="s">
        <v>120</v>
      </c>
      <c r="R59" s="480"/>
      <c r="S59" s="480"/>
      <c r="T59" s="1"/>
      <c r="U59" s="4"/>
      <c r="V59" s="55"/>
      <c r="AA59" s="56"/>
      <c r="AB59" s="56"/>
    </row>
    <row r="60" spans="1:28" ht="14.4" x14ac:dyDescent="0.3">
      <c r="A60" s="4"/>
      <c r="B60" s="117"/>
      <c r="C60" s="117"/>
      <c r="D60" s="118"/>
      <c r="E60" s="116"/>
      <c r="F60" s="116"/>
      <c r="G60" s="1"/>
      <c r="H60" s="1"/>
      <c r="I60" s="122"/>
      <c r="J60" s="123"/>
      <c r="K60" s="123"/>
      <c r="L60" s="124"/>
      <c r="M60" s="123"/>
      <c r="N60" s="123"/>
      <c r="O60" s="119"/>
      <c r="P60" s="119"/>
      <c r="Q60" s="1"/>
      <c r="R60" s="1"/>
      <c r="S60" s="1"/>
      <c r="T60" s="1"/>
      <c r="U60" s="4"/>
      <c r="V60" s="55"/>
      <c r="AA60" s="56"/>
      <c r="AB60" s="56"/>
    </row>
    <row r="61" spans="1:28" ht="15.75" customHeight="1" x14ac:dyDescent="0.35">
      <c r="A61" s="4"/>
      <c r="B61" s="1"/>
      <c r="C61" s="142" t="s">
        <v>128</v>
      </c>
      <c r="D61" s="142"/>
      <c r="E61" s="142"/>
      <c r="F61" s="142"/>
      <c r="G61" s="142"/>
      <c r="H61" s="142"/>
      <c r="I61" s="122"/>
      <c r="J61" s="123"/>
      <c r="K61" s="123"/>
      <c r="L61" s="124"/>
      <c r="M61" s="123"/>
      <c r="N61" s="123"/>
      <c r="O61" s="119"/>
      <c r="P61" s="119"/>
      <c r="Q61" s="125"/>
      <c r="R61" s="126"/>
      <c r="S61" s="126"/>
      <c r="T61" s="126"/>
      <c r="U61" s="4"/>
      <c r="V61" s="55"/>
      <c r="AA61" s="56"/>
      <c r="AB61" s="56"/>
    </row>
    <row r="62" spans="1:28" ht="21.75" customHeight="1" x14ac:dyDescent="0.3">
      <c r="A62" s="4"/>
      <c r="B62" s="1"/>
      <c r="C62" s="143" t="s">
        <v>26</v>
      </c>
      <c r="D62" s="143"/>
      <c r="E62" s="142"/>
      <c r="F62" s="142"/>
      <c r="G62" s="142"/>
      <c r="H62" s="142"/>
      <c r="I62" s="122"/>
      <c r="J62" s="121"/>
      <c r="K62" s="121"/>
      <c r="L62" s="1"/>
      <c r="M62" s="1"/>
      <c r="N62" s="1"/>
      <c r="O62" s="119"/>
      <c r="P62" s="119"/>
      <c r="Q62" s="1"/>
      <c r="R62" s="1"/>
      <c r="S62" s="1"/>
      <c r="T62" s="1"/>
      <c r="U62" s="4"/>
      <c r="V62" s="55"/>
      <c r="AA62" s="56"/>
      <c r="AB62" s="56"/>
    </row>
    <row r="63" spans="1:28" ht="22.5" customHeight="1" x14ac:dyDescent="0.25">
      <c r="A63" s="4"/>
      <c r="B63" s="118"/>
      <c r="C63" s="464" t="s">
        <v>162</v>
      </c>
      <c r="D63" s="464"/>
      <c r="E63" s="464"/>
      <c r="F63" s="464"/>
      <c r="G63" s="464"/>
      <c r="H63" s="465"/>
      <c r="I63" s="170">
        <f>($I$58*'Calculations and References'!$C$57)/(Equivalencies!$B$7/'Calculations and References'!$C$46)</f>
        <v>0</v>
      </c>
      <c r="J63" s="148" t="s">
        <v>126</v>
      </c>
      <c r="K63" s="149"/>
      <c r="L63" s="491">
        <f>$L$59/(Equivalencies!$B$7/'Calculations and References'!$C$46)</f>
        <v>0</v>
      </c>
      <c r="M63" s="492"/>
      <c r="N63" s="493" t="s">
        <v>126</v>
      </c>
      <c r="O63" s="494"/>
      <c r="P63" s="168">
        <f>(($P$58*'Calculations and References'!$C$57)+$P$59)/(Equivalencies!$B$7/'Calculations and References'!$C$46)</f>
        <v>0</v>
      </c>
      <c r="Q63" s="167" t="s">
        <v>126</v>
      </c>
      <c r="R63" s="167"/>
      <c r="S63" s="167"/>
      <c r="T63" s="1"/>
      <c r="U63" s="4"/>
      <c r="V63" s="55"/>
      <c r="AA63" s="56"/>
      <c r="AB63" s="56"/>
    </row>
    <row r="64" spans="1:28" ht="22.5" customHeight="1" x14ac:dyDescent="0.3">
      <c r="A64" s="4"/>
      <c r="B64" s="116"/>
      <c r="C64" s="464" t="str">
        <f>IF($F$16&gt;0,"CO2 emissions from ___ railcars' worth of coal burned:","CO2 emissions from ___ barrels of oil consumed:")</f>
        <v>CO2 emissions from ___ barrels of oil consumed:</v>
      </c>
      <c r="D64" s="464"/>
      <c r="E64" s="464"/>
      <c r="F64" s="464"/>
      <c r="G64" s="464"/>
      <c r="H64" s="465"/>
      <c r="I64" s="171">
        <f>IF($F$16&gt;0,$I$58*('Calculations and References'!$C$57)/(Equivalencies!$B$8/'Calculations and References'!$C$46),$I$58*('Calculations and References'!$C$57)/(Equivalencies!$B$9/'Calculations and References'!$C$46))</f>
        <v>0</v>
      </c>
      <c r="J64" s="150" t="str">
        <f>IF($F$16&gt;0,"railcars","barrels")</f>
        <v>barrels</v>
      </c>
      <c r="K64" s="151"/>
      <c r="L64" s="489">
        <f>IF($F$16&gt;0,$L$59/(Equivalencies!$B$8/'Calculations and References'!$C$46),$L$59/(Equivalencies!$B$9/'Calculations and References'!$C$46))</f>
        <v>0</v>
      </c>
      <c r="M64" s="490"/>
      <c r="N64" s="481" t="str">
        <f>IF($F$16&gt;0,"railcars","barrels")</f>
        <v>barrels</v>
      </c>
      <c r="O64" s="482"/>
      <c r="P64" s="169">
        <f>IF($F$16&gt;0,(($P$58*'Calculations and References'!$C$57)+$P$59)/(Equivalencies!$B$8/'Calculations and References'!$C$46),(($P$58*'Calculations and References'!$C$57)+$P$59)/(Equivalencies!$B$9/'Calculations and References'!$C$46))</f>
        <v>0</v>
      </c>
      <c r="Q64" s="488" t="str">
        <f>IF($F$16&gt;0,"railcars","barrels")</f>
        <v>barrels</v>
      </c>
      <c r="R64" s="488"/>
      <c r="S64" s="167"/>
      <c r="T64" s="116"/>
      <c r="U64" s="4"/>
      <c r="V64" s="55"/>
      <c r="AA64" s="56"/>
      <c r="AB64" s="56"/>
    </row>
    <row r="65" spans="1:32" ht="22.5" customHeight="1" x14ac:dyDescent="0.3">
      <c r="A65" s="4"/>
      <c r="B65" s="116"/>
      <c r="C65" s="464" t="str">
        <f>IF(OR(AND(OR(O16&gt;0,O18&gt;0),$K$34="Yes"),AND(OR(O16&gt;0,O18&gt;0),$K$36="Yes")),"CO2 emissions from ___ gallons of diesel consumed:","CO2 emissions from ___ gallons of gasoline consumed:")</f>
        <v>CO2 emissions from ___ gallons of gasoline consumed:</v>
      </c>
      <c r="D65" s="464"/>
      <c r="E65" s="464"/>
      <c r="F65" s="464"/>
      <c r="G65" s="464"/>
      <c r="H65" s="464"/>
      <c r="I65" s="389">
        <f>IF(OR(AND($K$34="Yes",OR(O16&gt;0,O18&gt;0)),AND($K$36="Yes",OR(O16&gt;0,O18&gt;0))),$I$58*('Calculations and References'!$C$57)/(Equivalencies!$B$11/'Calculations and References'!$C$46),$I$58*('Calculations and References'!$C$57)/(Equivalencies!$B$10/'Calculations and References'!$C$46))</f>
        <v>0</v>
      </c>
      <c r="J65" s="390" t="s">
        <v>129</v>
      </c>
      <c r="K65" s="391"/>
      <c r="L65" s="483">
        <f>IF(OR(AND($K$34="Yes",OR(O16&gt;0,O18&gt;0)),AND($K$36="Yes",OR(O16&gt;0,O18&gt;0))),Tool!$L$59/(Equivalencies!$B$11/'Calculations and References'!$C$46),$L$59/(Equivalencies!$B$10/'Calculations and References'!$C$46))</f>
        <v>0</v>
      </c>
      <c r="M65" s="484"/>
      <c r="N65" s="485" t="s">
        <v>129</v>
      </c>
      <c r="O65" s="486"/>
      <c r="P65" s="392">
        <f>IF(OR(AND($K$34="Yes",OR(O16&gt;0,O18&gt;0)),AND($K$36="Yes",OR(O16&gt;0,O18&gt;0))),(($P$58*'Calculations and References'!$C$57)+$P$59)/(Equivalencies!$B$11/'Calculations and References'!$C$46),(($P$58*'Calculations and References'!$C$57)+$P$59)/(Equivalencies!$B$10/'Calculations and References'!$C$46))</f>
        <v>0</v>
      </c>
      <c r="Q65" s="487" t="s">
        <v>129</v>
      </c>
      <c r="R65" s="487"/>
      <c r="S65" s="160"/>
      <c r="T65" s="116"/>
      <c r="U65" s="4"/>
      <c r="V65" s="55"/>
      <c r="AA65" s="56"/>
      <c r="AB65" s="56"/>
    </row>
    <row r="66" spans="1:32" ht="20.25" customHeight="1" x14ac:dyDescent="0.3">
      <c r="A66" s="4"/>
      <c r="B66" s="1"/>
      <c r="C66" s="143" t="s">
        <v>130</v>
      </c>
      <c r="D66" s="143"/>
      <c r="E66" s="142"/>
      <c r="F66" s="142"/>
      <c r="G66" s="142"/>
      <c r="H66" s="142"/>
      <c r="I66" s="122"/>
      <c r="J66" s="121"/>
      <c r="K66" s="121"/>
      <c r="L66" s="1"/>
      <c r="M66" s="1"/>
      <c r="N66" s="1"/>
      <c r="O66" s="119"/>
      <c r="P66" s="119"/>
      <c r="Q66" s="1"/>
      <c r="R66" s="1"/>
      <c r="S66" s="1"/>
      <c r="T66" s="1"/>
      <c r="U66" s="4"/>
      <c r="V66" s="55"/>
      <c r="AA66" s="56"/>
      <c r="AB66" s="56"/>
    </row>
    <row r="67" spans="1:32" ht="22.5" customHeight="1" x14ac:dyDescent="0.25">
      <c r="A67" s="4"/>
      <c r="B67" s="118"/>
      <c r="C67" s="476" t="str">
        <f>IF($F$16&gt;0,"Powering ___ homes:","Heating ___ homes:")</f>
        <v>Heating ___ homes:</v>
      </c>
      <c r="D67" s="476"/>
      <c r="E67" s="476"/>
      <c r="F67" s="476"/>
      <c r="G67" s="476"/>
      <c r="H67" s="477"/>
      <c r="I67" s="147"/>
      <c r="J67" s="158"/>
      <c r="K67" s="158"/>
      <c r="L67" s="519"/>
      <c r="M67" s="519"/>
      <c r="N67" s="478"/>
      <c r="O67" s="478"/>
      <c r="P67" s="367">
        <f>IF($F$16&gt;0,$F$16*'Calculations and References'!$C$41*'Calculations and References'!$C$37/Equivalencies!$B$22*'Calculations and References'!$K$51*'Calculations and References'!$K$52,IF($I$16&gt;0,$I$16*'Calculations and References'!$C$48*'Calculations and References'!$C$38*'Calculations and References'!$C$53*'Calculations and References'!$K$37*'Calculations and References'!$K$53/('Calculations and References'!$K$38*Equivalencies!$B$23),IF($I$18&gt;0,$I$18*'Calculations and References'!$C$40*'Calculations and References'!$C$39*'Calculations and References'!$C$38*'Calculations and References'!$C$53*'Calculations and References'!$K$37*'Calculations and References'!$K$53/('Calculations and References'!$K$38*Equivalencies!$B$23),
IF(AND($O$16&gt;0,OR(AND($K$34="N/A",$K$36="N/A"),AND($K$34="No",$K$36="N/A"),AND($K$34="N/A",$K$36="No"),AND($K$34="No",$K$36="No"))),((($O$16*($K$45/100)*'Calculations and References'!$C$38*'Calculations and References'!$C$48*'Calculations and References'!$C$53*'Calculations and References'!$K$37))/('Calculations and References'!$K$38*Equivalencies!$B$23)),
IF(AND($O$18&gt;0,OR(AND($K$34="N/A",$K$36="N/A"),AND($K$34="No",$K$36="N/A"),AND($K$34="N/A",$K$36="No"),AND($K$34="No",$K$36="No"))),((($O$18*($K$45/100)*'Calculations and References'!$C$40*'Calculations and References'!$C$39*'Calculations and References'!$C$38*'Calculations and References'!$C$53*'Calculations and References'!$K$37)/('Calculations and References'!$K$38*Equivalencies!$B$23))),0)))))</f>
        <v>0</v>
      </c>
      <c r="Q67" s="478" t="s">
        <v>131</v>
      </c>
      <c r="R67" s="478"/>
      <c r="S67" s="478"/>
      <c r="T67" s="1"/>
      <c r="U67" s="4"/>
      <c r="V67" s="55"/>
      <c r="AA67" s="56"/>
      <c r="AB67" s="56"/>
    </row>
    <row r="68" spans="1:32" x14ac:dyDescent="0.25">
      <c r="A68" s="4"/>
      <c r="B68" s="1"/>
      <c r="C68" s="1"/>
      <c r="D68" s="1"/>
      <c r="E68" s="1"/>
      <c r="F68" s="1"/>
      <c r="G68" s="1"/>
      <c r="H68" s="1"/>
      <c r="I68" s="115"/>
      <c r="J68" s="127"/>
      <c r="K68" s="127"/>
      <c r="L68" s="127"/>
      <c r="M68" s="127"/>
      <c r="N68" s="127"/>
      <c r="O68" s="1"/>
      <c r="P68" s="1"/>
      <c r="Q68" s="1"/>
      <c r="R68" s="1"/>
      <c r="S68" s="1"/>
      <c r="T68" s="1"/>
      <c r="U68" s="4"/>
      <c r="V68" s="55"/>
      <c r="AA68" s="56"/>
      <c r="AB68" s="56"/>
    </row>
    <row r="69" spans="1:32" ht="12.75" customHeight="1" x14ac:dyDescent="0.25">
      <c r="A69" s="4"/>
      <c r="B69" s="25"/>
      <c r="C69" s="25"/>
      <c r="D69" s="25"/>
      <c r="E69" s="25"/>
      <c r="F69" s="25"/>
      <c r="G69" s="25"/>
      <c r="H69" s="26"/>
      <c r="I69" s="27"/>
      <c r="J69" s="28"/>
      <c r="K69" s="28"/>
      <c r="L69" s="28"/>
      <c r="M69" s="28"/>
      <c r="N69" s="28"/>
      <c r="O69" s="29"/>
      <c r="P69" s="29"/>
      <c r="Q69" s="30"/>
      <c r="R69" s="30"/>
      <c r="S69" s="30"/>
      <c r="T69" s="30"/>
      <c r="U69" s="31"/>
      <c r="V69" s="55"/>
    </row>
    <row r="70" spans="1:32" ht="15" customHeight="1" x14ac:dyDescent="0.3">
      <c r="A70" s="4"/>
      <c r="B70" s="520" t="s">
        <v>159</v>
      </c>
      <c r="C70" s="520"/>
      <c r="D70" s="520"/>
      <c r="E70" s="520"/>
      <c r="F70" s="520"/>
      <c r="G70" s="520"/>
      <c r="H70" s="520"/>
      <c r="I70" s="520"/>
      <c r="J70" s="520"/>
      <c r="K70" s="4"/>
      <c r="L70" s="161"/>
      <c r="M70" s="161"/>
      <c r="N70" s="161"/>
      <c r="O70" s="161"/>
      <c r="P70" s="161"/>
      <c r="Q70" s="161"/>
      <c r="R70" s="161"/>
      <c r="S70" s="161"/>
      <c r="T70" s="161"/>
      <c r="U70" s="31"/>
      <c r="V70" s="57"/>
      <c r="W70" s="57"/>
      <c r="X70" s="57"/>
      <c r="Y70" s="57"/>
      <c r="Z70" s="57"/>
      <c r="AA70" s="57"/>
      <c r="AB70" s="57"/>
      <c r="AC70" s="57"/>
      <c r="AD70" s="57"/>
      <c r="AE70" s="57"/>
      <c r="AF70" s="57"/>
    </row>
    <row r="71" spans="1:32" ht="15" customHeight="1" x14ac:dyDescent="0.3">
      <c r="A71" s="4"/>
      <c r="B71" s="520"/>
      <c r="C71" s="520"/>
      <c r="D71" s="520"/>
      <c r="E71" s="520"/>
      <c r="F71" s="520"/>
      <c r="G71" s="520"/>
      <c r="H71" s="520"/>
      <c r="I71" s="520"/>
      <c r="J71" s="520"/>
      <c r="K71" s="161"/>
      <c r="L71" s="161"/>
      <c r="M71" s="161"/>
      <c r="N71" s="161"/>
      <c r="O71" s="161"/>
      <c r="P71" s="161"/>
      <c r="Q71" s="161"/>
      <c r="R71" s="161"/>
      <c r="S71" s="161"/>
      <c r="T71" s="161"/>
      <c r="U71" s="31"/>
      <c r="V71" s="57"/>
      <c r="W71" s="57"/>
      <c r="X71" s="57"/>
      <c r="Y71" s="57"/>
      <c r="Z71" s="57"/>
      <c r="AA71" s="57"/>
      <c r="AB71" s="57"/>
      <c r="AC71" s="57"/>
      <c r="AD71" s="57"/>
      <c r="AE71" s="57"/>
      <c r="AF71" s="57"/>
    </row>
    <row r="72" spans="1:32" ht="15" customHeight="1" x14ac:dyDescent="0.25">
      <c r="A72" s="4"/>
      <c r="B72" s="32"/>
      <c r="C72" s="32"/>
      <c r="D72" s="32"/>
      <c r="E72" s="32"/>
      <c r="F72" s="32"/>
      <c r="G72" s="32"/>
      <c r="H72" s="32"/>
      <c r="I72" s="32"/>
      <c r="J72" s="32"/>
      <c r="K72" s="32"/>
      <c r="L72" s="32"/>
      <c r="M72" s="32"/>
      <c r="N72" s="32"/>
      <c r="O72" s="32"/>
      <c r="P72" s="32"/>
      <c r="Q72" s="32"/>
      <c r="R72" s="32"/>
      <c r="S72" s="32"/>
      <c r="T72" s="32"/>
      <c r="U72" s="32"/>
      <c r="V72" s="57"/>
      <c r="W72" s="57"/>
      <c r="X72" s="57"/>
      <c r="Y72" s="57"/>
      <c r="Z72" s="57"/>
      <c r="AA72" s="57"/>
      <c r="AB72" s="57"/>
      <c r="AC72" s="57"/>
      <c r="AD72" s="57"/>
      <c r="AE72" s="57"/>
      <c r="AF72" s="57"/>
    </row>
    <row r="73" spans="1:32" x14ac:dyDescent="0.25">
      <c r="U73" s="95"/>
      <c r="V73" s="58"/>
      <c r="W73" s="55"/>
    </row>
    <row r="76" spans="1:32" x14ac:dyDescent="0.25">
      <c r="Z76" s="56"/>
    </row>
    <row r="77" spans="1:32" x14ac:dyDescent="0.25">
      <c r="Z77" s="56"/>
    </row>
    <row r="78" spans="1:32" x14ac:dyDescent="0.25">
      <c r="U78" s="59"/>
      <c r="V78" s="56"/>
      <c r="W78" s="56"/>
      <c r="X78" s="59"/>
      <c r="Z78" s="56"/>
    </row>
    <row r="79" spans="1:32" x14ac:dyDescent="0.25">
      <c r="U79" s="59"/>
      <c r="V79" s="56"/>
      <c r="W79" s="56"/>
      <c r="X79" s="59"/>
      <c r="Z79" s="56"/>
    </row>
    <row r="80" spans="1:32" x14ac:dyDescent="0.25">
      <c r="U80" s="59"/>
      <c r="V80" s="56"/>
      <c r="W80" s="56"/>
      <c r="X80" s="59"/>
      <c r="Z80" s="56"/>
    </row>
    <row r="81" spans="21:28" ht="13.2" customHeight="1" x14ac:dyDescent="0.25">
      <c r="U81" s="59"/>
      <c r="V81" s="60"/>
      <c r="W81" s="60"/>
      <c r="X81" s="60"/>
      <c r="Y81" s="61"/>
      <c r="Z81" s="61"/>
      <c r="AA81" s="44"/>
      <c r="AB81" s="44"/>
    </row>
    <row r="82" spans="21:28" x14ac:dyDescent="0.25">
      <c r="U82" s="59"/>
      <c r="V82" s="60"/>
      <c r="W82" s="60"/>
      <c r="X82" s="60"/>
      <c r="Y82" s="61"/>
      <c r="Z82" s="61"/>
      <c r="AA82" s="44"/>
      <c r="AB82" s="44"/>
    </row>
    <row r="83" spans="21:28" x14ac:dyDescent="0.25">
      <c r="U83" s="59"/>
      <c r="V83" s="62"/>
      <c r="W83" s="63"/>
      <c r="X83" s="59"/>
      <c r="Y83" s="44"/>
      <c r="Z83" s="44"/>
      <c r="AA83" s="44"/>
      <c r="AB83" s="44"/>
    </row>
    <row r="84" spans="21:28" x14ac:dyDescent="0.25">
      <c r="U84" s="59"/>
      <c r="V84" s="59"/>
      <c r="W84" s="59"/>
      <c r="X84" s="59"/>
      <c r="Y84" s="44"/>
      <c r="Z84" s="64"/>
      <c r="AA84" s="44"/>
      <c r="AB84" s="44"/>
    </row>
    <row r="85" spans="21:28" x14ac:dyDescent="0.25">
      <c r="U85" s="59"/>
      <c r="V85" s="65"/>
      <c r="W85" s="65"/>
      <c r="X85" s="59"/>
      <c r="Y85" s="44"/>
      <c r="Z85" s="44"/>
      <c r="AA85" s="44"/>
      <c r="AB85" s="44"/>
    </row>
    <row r="86" spans="21:28" x14ac:dyDescent="0.25">
      <c r="U86" s="59"/>
      <c r="V86" s="59"/>
      <c r="W86" s="59"/>
      <c r="X86" s="59"/>
      <c r="Y86" s="44"/>
      <c r="Z86" s="66"/>
      <c r="AA86" s="44"/>
      <c r="AB86" s="44"/>
    </row>
    <row r="87" spans="21:28" x14ac:dyDescent="0.25">
      <c r="U87" s="59"/>
      <c r="V87" s="55"/>
      <c r="W87" s="59"/>
      <c r="X87" s="59"/>
      <c r="Y87" s="44"/>
      <c r="Z87" s="44"/>
      <c r="AA87" s="44"/>
      <c r="AB87" s="44"/>
    </row>
    <row r="88" spans="21:28" x14ac:dyDescent="0.25">
      <c r="U88" s="59"/>
      <c r="V88" s="62"/>
      <c r="W88" s="63"/>
      <c r="X88" s="59"/>
      <c r="Y88" s="44"/>
      <c r="Z88" s="66"/>
      <c r="AA88" s="44"/>
      <c r="AB88" s="44"/>
    </row>
    <row r="89" spans="21:28" x14ac:dyDescent="0.25">
      <c r="U89" s="59"/>
      <c r="V89" s="59"/>
      <c r="W89" s="59"/>
      <c r="X89" s="59"/>
      <c r="Y89" s="44"/>
      <c r="Z89" s="44"/>
      <c r="AA89" s="44"/>
      <c r="AB89" s="44"/>
    </row>
    <row r="90" spans="21:28" x14ac:dyDescent="0.25">
      <c r="U90" s="59"/>
      <c r="V90" s="65"/>
      <c r="W90" s="65"/>
      <c r="X90" s="59"/>
      <c r="Y90" s="44"/>
      <c r="Z90" s="44"/>
      <c r="AA90" s="44"/>
      <c r="AB90" s="44"/>
    </row>
    <row r="91" spans="21:28" x14ac:dyDescent="0.25">
      <c r="U91" s="59"/>
      <c r="V91" s="59"/>
      <c r="W91" s="59"/>
      <c r="X91" s="59"/>
    </row>
    <row r="92" spans="21:28" x14ac:dyDescent="0.25">
      <c r="U92" s="59"/>
      <c r="V92" s="59"/>
      <c r="W92" s="59"/>
      <c r="X92" s="59"/>
    </row>
    <row r="93" spans="21:28" x14ac:dyDescent="0.25">
      <c r="U93" s="59"/>
      <c r="V93" s="59"/>
      <c r="W93" s="59"/>
      <c r="X93" s="59"/>
    </row>
  </sheetData>
  <sheetProtection algorithmName="SHA-512" hashValue="tkGtVh1o31LjUctaL5z30qgHZTlPbpEs+tqRSH8/po37JjA1TFOzHEY5OCqDLpUMifkr59PtD9fPlcaZwYNhyQ==" saltValue="oL0x9FUd+9Yh4rPE5kwAvA==" spinCount="100000" sheet="1" objects="1" scenarios="1"/>
  <mergeCells count="70">
    <mergeCell ref="L67:M67"/>
    <mergeCell ref="N67:O67"/>
    <mergeCell ref="B70:J71"/>
    <mergeCell ref="F27:I28"/>
    <mergeCell ref="F34:J35"/>
    <mergeCell ref="F31:H32"/>
    <mergeCell ref="B31:D32"/>
    <mergeCell ref="J27:L28"/>
    <mergeCell ref="D34:D35"/>
    <mergeCell ref="C57:H57"/>
    <mergeCell ref="M34:T35"/>
    <mergeCell ref="M36:T36"/>
    <mergeCell ref="M42:T42"/>
    <mergeCell ref="M43:T43"/>
    <mergeCell ref="F40:J41"/>
    <mergeCell ref="F36:J37"/>
    <mergeCell ref="B6:D6"/>
    <mergeCell ref="B9:D10"/>
    <mergeCell ref="B24:D25"/>
    <mergeCell ref="F21:Q21"/>
    <mergeCell ref="F12:G14"/>
    <mergeCell ref="I12:L14"/>
    <mergeCell ref="O12:Q14"/>
    <mergeCell ref="B22:T22"/>
    <mergeCell ref="F6:T7"/>
    <mergeCell ref="I54:K54"/>
    <mergeCell ref="F50:I51"/>
    <mergeCell ref="B50:D51"/>
    <mergeCell ref="D40:D41"/>
    <mergeCell ref="D45:D46"/>
    <mergeCell ref="F45:J46"/>
    <mergeCell ref="N46:T46"/>
    <mergeCell ref="K34:L34"/>
    <mergeCell ref="K36:L36"/>
    <mergeCell ref="K42:L42"/>
    <mergeCell ref="K43:L43"/>
    <mergeCell ref="K45:L45"/>
    <mergeCell ref="M40:T41"/>
    <mergeCell ref="C67:H67"/>
    <mergeCell ref="Q67:S67"/>
    <mergeCell ref="Q57:S57"/>
    <mergeCell ref="Q58:S58"/>
    <mergeCell ref="Q59:S59"/>
    <mergeCell ref="N64:O64"/>
    <mergeCell ref="L65:M65"/>
    <mergeCell ref="N65:O65"/>
    <mergeCell ref="Q65:R65"/>
    <mergeCell ref="Q64:R64"/>
    <mergeCell ref="L64:M64"/>
    <mergeCell ref="L63:M63"/>
    <mergeCell ref="N63:O63"/>
    <mergeCell ref="L58:M58"/>
    <mergeCell ref="L59:M59"/>
    <mergeCell ref="N59:O59"/>
    <mergeCell ref="P55:S55"/>
    <mergeCell ref="F1:U2"/>
    <mergeCell ref="C63:H63"/>
    <mergeCell ref="C64:H64"/>
    <mergeCell ref="C65:H65"/>
    <mergeCell ref="M49:T49"/>
    <mergeCell ref="M37:T39"/>
    <mergeCell ref="M45:T45"/>
    <mergeCell ref="L57:M57"/>
    <mergeCell ref="N57:O57"/>
    <mergeCell ref="L54:O54"/>
    <mergeCell ref="L55:O55"/>
    <mergeCell ref="P54:R54"/>
    <mergeCell ref="N50:O51"/>
    <mergeCell ref="P50:Q51"/>
    <mergeCell ref="T50:T51"/>
  </mergeCells>
  <phoneticPr fontId="6" type="noConversion"/>
  <conditionalFormatting sqref="B31:C31 B34:C37 B40:C43 B45:C49">
    <cfRule type="expression" dxfId="94" priority="117">
      <formula>COUNTA($F$16,$I$16,$I$18,$O$16,$O$18)&gt;1</formula>
    </cfRule>
    <cfRule type="expression" dxfId="93" priority="116">
      <formula>$F$16&gt;0</formula>
    </cfRule>
    <cfRule type="expression" dxfId="92" priority="115">
      <formula>$I$16&gt;0</formula>
    </cfRule>
    <cfRule type="expression" dxfId="91" priority="114">
      <formula>$I$18&gt;0</formula>
    </cfRule>
  </conditionalFormatting>
  <conditionalFormatting sqref="B24:D25">
    <cfRule type="expression" dxfId="90" priority="16">
      <formula>$I$18&gt;0</formula>
    </cfRule>
    <cfRule type="expression" dxfId="89" priority="17">
      <formula>$I$16&gt;0</formula>
    </cfRule>
  </conditionalFormatting>
  <conditionalFormatting sqref="B34:F34 E35 D36:F36 D37:E37 M37 B38:E38 B39:K39 D40 F40 E40:E43 B44:E44 L44:T44 D45:F45 L46 E46:E49 L47:T48 L49:M49">
    <cfRule type="expression" dxfId="88" priority="155">
      <formula>$F$16&gt;0</formula>
    </cfRule>
    <cfRule type="expression" dxfId="87" priority="154">
      <formula>$I$16&gt;0</formula>
    </cfRule>
    <cfRule type="expression" dxfId="86" priority="153">
      <formula>$I$18&gt;0</formula>
    </cfRule>
  </conditionalFormatting>
  <conditionalFormatting sqref="B24:R30">
    <cfRule type="expression" dxfId="85" priority="13">
      <formula>AND($F$16&gt;0,OR($O$16&gt;0,$O$18&gt;0))</formula>
    </cfRule>
    <cfRule type="expression" dxfId="84" priority="18">
      <formula>$I$18&gt;0</formula>
    </cfRule>
  </conditionalFormatting>
  <conditionalFormatting sqref="B24:S30">
    <cfRule type="expression" dxfId="83" priority="19">
      <formula>$I$16&gt;0</formula>
    </cfRule>
  </conditionalFormatting>
  <conditionalFormatting sqref="B24:T30">
    <cfRule type="expression" dxfId="82" priority="12">
      <formula>AND($O$16&gt;0,$O$18&gt;0)</formula>
    </cfRule>
  </conditionalFormatting>
  <conditionalFormatting sqref="B50:T68">
    <cfRule type="expression" dxfId="81" priority="9">
      <formula>COUNT($F$16,$I$16,$I$18,$O$16,$O$18)&gt;1</formula>
    </cfRule>
  </conditionalFormatting>
  <conditionalFormatting sqref="D42">
    <cfRule type="expression" dxfId="80" priority="80">
      <formula>COUNTA($F$16,$I$16,$I$18,$O$16,$O$18)&gt;1</formula>
    </cfRule>
    <cfRule type="expression" dxfId="79" priority="77">
      <formula>$I$18&gt;0</formula>
    </cfRule>
    <cfRule type="expression" dxfId="78" priority="78">
      <formula>$I$16&gt;0</formula>
    </cfRule>
    <cfRule type="expression" dxfId="77" priority="79">
      <formula>$F$16&gt;0</formula>
    </cfRule>
  </conditionalFormatting>
  <conditionalFormatting sqref="D43">
    <cfRule type="expression" dxfId="76" priority="112">
      <formula>$F$16&gt;0</formula>
    </cfRule>
    <cfRule type="expression" dxfId="75" priority="111">
      <formula>$I$16&gt;0</formula>
    </cfRule>
    <cfRule type="expression" dxfId="74" priority="110">
      <formula>$I$18&gt;0</formula>
    </cfRule>
    <cfRule type="expression" dxfId="73" priority="113">
      <formula>COUNTA($F$16,$I$16,$I$18,$O$16,$O$18)&gt;1</formula>
    </cfRule>
  </conditionalFormatting>
  <conditionalFormatting sqref="D47:D49">
    <cfRule type="expression" dxfId="72" priority="52">
      <formula>COUNTA($F$16,$I$16,$I$18,$O$16,$O$18)&gt;1</formula>
    </cfRule>
    <cfRule type="expression" dxfId="71" priority="51">
      <formula>$F$16&gt;0</formula>
    </cfRule>
    <cfRule type="expression" dxfId="70" priority="50">
      <formula>$I$16&gt;0</formula>
    </cfRule>
    <cfRule type="expression" dxfId="69" priority="49">
      <formula>$I$18&gt;0</formula>
    </cfRule>
  </conditionalFormatting>
  <conditionalFormatting sqref="E24:E25 B26:K26 O26:T26 J27:N28 P27:P29 M29:N29 M30:T30 L31:T32 B34:F34 E35 D36:F36 D37:E37 M37 B38:E38 B39:K39 D40 F40 E40:E43 B44:E44 L44:T44 D45:F45 L46 E46:E49 L47:T48 L49:M49">
    <cfRule type="expression" dxfId="68" priority="165">
      <formula>COUNTA($F$16,$I$16,$I$18,$O$16,$O$18)&gt;1</formula>
    </cfRule>
  </conditionalFormatting>
  <conditionalFormatting sqref="F31">
    <cfRule type="expression" dxfId="67" priority="121">
      <formula>COUNTA($F$16,$I$16,$I$18,$O$16,$O$18)&gt;1</formula>
    </cfRule>
    <cfRule type="expression" dxfId="66" priority="118">
      <formula>$I$18&gt;0</formula>
    </cfRule>
    <cfRule type="expression" dxfId="65" priority="119">
      <formula>$I$16&gt;0</formula>
    </cfRule>
    <cfRule type="expression" dxfId="64" priority="120">
      <formula>$F$16&gt;0</formula>
    </cfRule>
  </conditionalFormatting>
  <conditionalFormatting sqref="F42">
    <cfRule type="expression" dxfId="63" priority="67">
      <formula>$F$16&gt;0</formula>
    </cfRule>
    <cfRule type="expression" dxfId="62" priority="65">
      <formula>$I$18&gt;0</formula>
    </cfRule>
    <cfRule type="expression" dxfId="61" priority="66">
      <formula>$I$16&gt;0</formula>
    </cfRule>
    <cfRule type="expression" dxfId="60" priority="68">
      <formula>COUNTA($F$16,$I$16,$I$18,$O$16,$O$18)&gt;1</formula>
    </cfRule>
  </conditionalFormatting>
  <conditionalFormatting sqref="F43">
    <cfRule type="expression" dxfId="59" priority="97">
      <formula>$I$18&gt;0</formula>
    </cfRule>
    <cfRule type="expression" dxfId="58" priority="98">
      <formula>$I$16&gt;0</formula>
    </cfRule>
    <cfRule type="expression" dxfId="57" priority="100">
      <formula>COUNTA($F$16,$I$16,$I$18,$O$16,$O$18)&gt;1</formula>
    </cfRule>
    <cfRule type="expression" dxfId="56" priority="99">
      <formula>$F$16&gt;0</formula>
    </cfRule>
  </conditionalFormatting>
  <conditionalFormatting sqref="F47:F49">
    <cfRule type="expression" dxfId="55" priority="45">
      <formula>$I$18&gt;0</formula>
    </cfRule>
    <cfRule type="expression" dxfId="54" priority="46">
      <formula>$I$16&gt;0</formula>
    </cfRule>
    <cfRule type="expression" dxfId="53" priority="47">
      <formula>$F$16&gt;0</formula>
    </cfRule>
    <cfRule type="expression" dxfId="52" priority="48">
      <formula>COUNTA($F$16,$I$16,$I$18,$O$16,$O$18)&gt;1</formula>
    </cfRule>
  </conditionalFormatting>
  <conditionalFormatting sqref="J27:K28 M50:N50 P50 R50:T50">
    <cfRule type="expression" dxfId="51" priority="122">
      <formula>COUNTA($F$16,$I$16,$I$18,$O$16,$O$18)&gt;1</formula>
    </cfRule>
  </conditionalFormatting>
  <conditionalFormatting sqref="J50:K50 M50:N50 P50 R50:T50">
    <cfRule type="expression" dxfId="50" priority="33">
      <formula>$I$18&gt;0</formula>
    </cfRule>
    <cfRule type="expression" dxfId="49" priority="34">
      <formula>$I$16&gt;0</formula>
    </cfRule>
    <cfRule type="expression" dxfId="48" priority="35">
      <formula>$F$16&gt;0</formula>
    </cfRule>
  </conditionalFormatting>
  <conditionalFormatting sqref="J50:K50">
    <cfRule type="expression" dxfId="47" priority="36">
      <formula>COUNTA($F$16,$I$16,$I$18,$O$16,$O$18)&gt;1</formula>
    </cfRule>
  </conditionalFormatting>
  <conditionalFormatting sqref="J27:L28">
    <cfRule type="expression" dxfId="46" priority="14">
      <formula>$I$18&gt;0</formula>
    </cfRule>
    <cfRule type="expression" dxfId="45" priority="15">
      <formula>$I$16&gt;0</formula>
    </cfRule>
  </conditionalFormatting>
  <conditionalFormatting sqref="K34">
    <cfRule type="expression" dxfId="44" priority="94">
      <formula>$I$16&gt;0</formula>
    </cfRule>
    <cfRule type="expression" dxfId="43" priority="93">
      <formula>$I$18&gt;0</formula>
    </cfRule>
    <cfRule type="expression" dxfId="42" priority="95">
      <formula>$F$16&gt;0</formula>
    </cfRule>
    <cfRule type="expression" dxfId="41" priority="96">
      <formula>COUNTA($F$16,$I$16,$I$18,$O$16,$O$18)&gt;1</formula>
    </cfRule>
  </conditionalFormatting>
  <conditionalFormatting sqref="K36">
    <cfRule type="expression" dxfId="40" priority="32">
      <formula>COUNTA($F$16,$I$16,$I$18,$O$16,$O$18)&gt;1</formula>
    </cfRule>
    <cfRule type="expression" dxfId="39" priority="30">
      <formula>$I$16&gt;0</formula>
    </cfRule>
    <cfRule type="expression" dxfId="38" priority="31">
      <formula>$F$16&gt;0</formula>
    </cfRule>
    <cfRule type="expression" dxfId="37" priority="29">
      <formula>$I$18&gt;0</formula>
    </cfRule>
  </conditionalFormatting>
  <conditionalFormatting sqref="K42:K43">
    <cfRule type="expression" dxfId="36" priority="25">
      <formula>$I$18&gt;0</formula>
    </cfRule>
    <cfRule type="expression" dxfId="35" priority="26">
      <formula>$I$16&gt;0</formula>
    </cfRule>
    <cfRule type="expression" dxfId="34" priority="28">
      <formula>COUNTA($F$16,$I$16,$I$18,$O$16,$O$18)&gt;1</formula>
    </cfRule>
    <cfRule type="expression" dxfId="33" priority="27">
      <formula>$F$16&gt;0</formula>
    </cfRule>
  </conditionalFormatting>
  <conditionalFormatting sqref="K45">
    <cfRule type="expression" dxfId="32" priority="21">
      <formula>$I$18&gt;0</formula>
    </cfRule>
    <cfRule type="expression" dxfId="31" priority="24">
      <formula>COUNTA($F$16,$I$16,$I$18,$O$16,$O$18)&gt;1</formula>
    </cfRule>
    <cfRule type="expression" dxfId="30" priority="23">
      <formula>$F$16&gt;0</formula>
    </cfRule>
    <cfRule type="expression" dxfId="29" priority="22">
      <formula>$I$16&gt;0</formula>
    </cfRule>
  </conditionalFormatting>
  <conditionalFormatting sqref="L40:L41">
    <cfRule type="expression" dxfId="28" priority="61">
      <formula>$I$18&gt;0</formula>
    </cfRule>
    <cfRule type="expression" dxfId="27" priority="64">
      <formula>COUNTA($F$16,$I$16,$I$18,$O$16,$O$18)&gt;1</formula>
    </cfRule>
    <cfRule type="expression" dxfId="26" priority="63">
      <formula>$F$16&gt;0</formula>
    </cfRule>
    <cfRule type="expression" dxfId="25" priority="62">
      <formula>$I$16&gt;0</formula>
    </cfRule>
  </conditionalFormatting>
  <conditionalFormatting sqref="M34">
    <cfRule type="expression" dxfId="24" priority="105">
      <formula>$I$18&gt;0</formula>
    </cfRule>
    <cfRule type="expression" dxfId="23" priority="107">
      <formula>$F$16&gt;0</formula>
    </cfRule>
    <cfRule type="expression" dxfId="22" priority="108">
      <formula>COUNTA($F$16,$I$16,$I$18,$O$16,$O$18)&gt;1</formula>
    </cfRule>
    <cfRule type="expression" dxfId="21" priority="106">
      <formula>$I$16&gt;0</formula>
    </cfRule>
  </conditionalFormatting>
  <conditionalFormatting sqref="M36">
    <cfRule type="expression" dxfId="20" priority="101">
      <formula>$I$18&gt;0</formula>
    </cfRule>
    <cfRule type="expression" dxfId="19" priority="102">
      <formula>$I$16&gt;0</formula>
    </cfRule>
    <cfRule type="expression" dxfId="18" priority="103">
      <formula>$F$16&gt;0</formula>
    </cfRule>
    <cfRule type="expression" dxfId="17" priority="104">
      <formula>COUNTA($F$16,$I$16,$I$18,$O$16,$O$18)&gt;1</formula>
    </cfRule>
  </conditionalFormatting>
  <conditionalFormatting sqref="M37 L37:L38">
    <cfRule type="expression" dxfId="16" priority="166">
      <formula>LEFT($M$37,5)="based"</formula>
    </cfRule>
  </conditionalFormatting>
  <conditionalFormatting sqref="M40">
    <cfRule type="expression" dxfId="15" priority="5">
      <formula>$I$18&gt;0</formula>
    </cfRule>
    <cfRule type="expression" dxfId="14" priority="8">
      <formula>COUNTA($F$16,$I$16,$I$18,$O$16,$O$18)&gt;1</formula>
    </cfRule>
    <cfRule type="expression" dxfId="13" priority="7">
      <formula>$F$16&gt;0</formula>
    </cfRule>
    <cfRule type="expression" dxfId="12" priority="6">
      <formula>$I$16&gt;0</formula>
    </cfRule>
  </conditionalFormatting>
  <conditionalFormatting sqref="M42:M43">
    <cfRule type="expression" dxfId="11" priority="60">
      <formula>COUNTA($F$16,$I$16,$I$18,$O$16,$O$18)&gt;1</formula>
    </cfRule>
    <cfRule type="expression" dxfId="10" priority="58">
      <formula>$I$16&gt;0</formula>
    </cfRule>
    <cfRule type="expression" dxfId="9" priority="57">
      <formula>$I$18&gt;0</formula>
    </cfRule>
    <cfRule type="expression" dxfId="8" priority="59">
      <formula>$F$16&gt;0</formula>
    </cfRule>
  </conditionalFormatting>
  <conditionalFormatting sqref="M45">
    <cfRule type="expression" dxfId="7" priority="40">
      <formula>COUNTA($F$16,$I$16,$I$18,$O$16,$O$18)&gt;1</formula>
    </cfRule>
    <cfRule type="expression" dxfId="6" priority="39">
      <formula>$F$16&gt;0</formula>
    </cfRule>
    <cfRule type="expression" dxfId="5" priority="38">
      <formula>$I$16&gt;0</formula>
    </cfRule>
    <cfRule type="expression" dxfId="4" priority="37">
      <formula>$I$18&gt;0</formula>
    </cfRule>
  </conditionalFormatting>
  <conditionalFormatting sqref="M46:N46">
    <cfRule type="expression" dxfId="3" priority="43">
      <formula>$F$16&gt;0</formula>
    </cfRule>
    <cfRule type="expression" dxfId="2" priority="42">
      <formula>$I$16&gt;0</formula>
    </cfRule>
    <cfRule type="expression" dxfId="1" priority="41">
      <formula>$I$18&gt;0</formula>
    </cfRule>
    <cfRule type="expression" dxfId="0" priority="44">
      <formula>COUNTA($F$16,$I$16,$I$18,$O$16,$O$18)&gt;1</formula>
    </cfRule>
  </conditionalFormatting>
  <dataValidations xWindow="727" yWindow="722" count="6">
    <dataValidation type="textLength" operator="lessThan" allowBlank="1" showInputMessage="1" showErrorMessage="1" sqref="W9" xr:uid="{F8D4A8AE-75C3-47DB-A20E-77F4C3156197}">
      <formula1>0</formula1>
    </dataValidation>
    <dataValidation type="custom" errorStyle="warning" allowBlank="1" showInputMessage="1" showErrorMessage="1" sqref="Z34:Z35" xr:uid="{B8A32DC6-88D7-4036-9DAA-4307570F5697}">
      <formula1>AND(#REF!=0,O16=0,O18=0)</formula1>
    </dataValidation>
    <dataValidation type="list" allowBlank="1" showInputMessage="1" showErrorMessage="1" errorTitle="ERROR" error="Cannot calculate for High-Btu Vehicle Fuel option and Electricity Generation or Direct-Use Project at the same time." sqref="K34 K36" xr:uid="{156A32A6-F08F-485D-B5A2-719C47CA221A}">
      <formula1>$V$1:$V$3</formula1>
    </dataValidation>
    <dataValidation type="whole" allowBlank="1" showInputMessage="1" showErrorMessage="1" errorTitle="Percentage error" error="Please type in a percentage between 0 and 100." promptTitle="Typ. Conversion Eff. By Process" prompt="65-80%: Single Pass Membranes_x000a_96-99%: Multiple Pass Membranes_x000a_95-98% Pressure Swing Adsorption (PSA)_x000a_97-99% Solvent Scrubbing (Physical Solvents)_x000a_99%+: Solvent Scrubbing (Amine Solvents)_x000a_99%+: Water Scrubbing" sqref="K45:L45" xr:uid="{033F2D37-093C-4E7E-9EE9-819BC280999C}">
      <formula1>0</formula1>
      <formula2>100</formula2>
    </dataValidation>
    <dataValidation type="whole" allowBlank="1" showInputMessage="1" showErrorMessage="1" errorTitle="Percentage error" error="Please type in a percentage between 0 and 100." sqref="K42:L42" xr:uid="{9C19195E-833B-4298-BEF1-161137B163E6}">
      <formula1>0</formula1>
      <formula2>100</formula2>
    </dataValidation>
    <dataValidation type="custom" allowBlank="1" showInputMessage="1" showErrorMessage="1" errorTitle="Negative number input" error="Please enter a value of at least zero (0)." sqref="I18 O16 O18 F16 I16" xr:uid="{48E91B38-2C80-4505-BCF9-3749E1A8AE50}">
      <formula1>F16&gt;=0</formula1>
    </dataValidation>
  </dataValidations>
  <hyperlinks>
    <hyperlink ref="B70" r:id="rId1" display="For additional equivalencies, view the Greenhouse Gas Equivalencies Calculator on the EPA Clean Energy Web site." xr:uid="{00000000-0004-0000-0000-000001000000}"/>
    <hyperlink ref="B70:J71" r:id="rId2" display="https://www.epa.gov/energy/greenhouse-gas-equivalencies-calculator" xr:uid="{7E6D6DF3-7E90-4498-9350-654AFCE250C9}"/>
  </hyperlinks>
  <printOptions horizontalCentered="1"/>
  <pageMargins left="0.2" right="0.2" top="0.5" bottom="1" header="0.25" footer="0.3"/>
  <pageSetup scale="56" orientation="portrait" r:id="rId3"/>
  <headerFooter alignWithMargins="0">
    <oddFooter>&amp;LLFG Energy Benefits Calculator
https://www.epa.gov/lmop/
landfill-gas-energy-benefits-calculator&amp;CPage 2 of 6&amp;RLast updated December 2024</oddFooter>
  </headerFooter>
  <drawing r:id="rId4"/>
  <legacyDrawing r:id="rId5"/>
  <extLst>
    <ext xmlns:x14="http://schemas.microsoft.com/office/spreadsheetml/2009/9/main" uri="{CCE6A557-97BC-4b89-ADB6-D9C93CAAB3DF}">
      <x14:dataValidations xmlns:xm="http://schemas.microsoft.com/office/excel/2006/main" xWindow="727" yWindow="722" count="1">
        <x14:dataValidation type="list" allowBlank="1" showInputMessage="1" showErrorMessage="1" xr:uid="{906D6F00-7E9E-47E4-A84B-81CECB2207AA}">
          <x14:formula1>
            <xm:f>'CO2 Emission Factors'!$E$9:$E$23</xm:f>
          </x14:formula1>
          <xm:sqref>M29:N29 J27:L28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30"/>
  <sheetViews>
    <sheetView zoomScaleNormal="100" workbookViewId="0">
      <selection sqref="A1:S1"/>
    </sheetView>
  </sheetViews>
  <sheetFormatPr defaultColWidth="9.109375" defaultRowHeight="14.4" x14ac:dyDescent="0.3"/>
  <cols>
    <col min="1" max="1" width="4.33203125" style="220" customWidth="1"/>
    <col min="2" max="2" width="4.44140625" style="220" customWidth="1"/>
    <col min="3" max="3" width="2" style="220" customWidth="1"/>
    <col min="4" max="4" width="1.6640625" style="220" customWidth="1"/>
    <col min="5" max="5" width="14" style="220" customWidth="1"/>
    <col min="6" max="6" width="18.88671875" style="220" customWidth="1"/>
    <col min="7" max="7" width="2.6640625" style="220" customWidth="1"/>
    <col min="8" max="8" width="5" style="220" customWidth="1"/>
    <col min="9" max="10" width="9.33203125" style="220" bestFit="1" customWidth="1"/>
    <col min="11" max="11" width="9.6640625" style="220" bestFit="1" customWidth="1"/>
    <col min="12" max="12" width="10.109375" style="220" bestFit="1" customWidth="1"/>
    <col min="13" max="13" width="9.33203125" style="220" customWidth="1"/>
    <col min="14" max="18" width="9.109375" style="220"/>
    <col min="19" max="19" width="4.33203125" style="220" customWidth="1"/>
    <col min="20" max="16384" width="9.109375" style="42"/>
  </cols>
  <sheetData>
    <row r="1" spans="1:19" ht="25.8" x14ac:dyDescent="0.5">
      <c r="A1" s="455" t="s">
        <v>33</v>
      </c>
      <c r="B1" s="455"/>
      <c r="C1" s="455"/>
      <c r="D1" s="455"/>
      <c r="E1" s="455"/>
      <c r="F1" s="455"/>
      <c r="G1" s="455"/>
      <c r="H1" s="455"/>
      <c r="I1" s="455"/>
      <c r="J1" s="455"/>
      <c r="K1" s="455"/>
      <c r="L1" s="455"/>
      <c r="M1" s="455"/>
      <c r="N1" s="455"/>
      <c r="O1" s="455"/>
      <c r="P1" s="455"/>
      <c r="Q1" s="455"/>
      <c r="R1" s="455"/>
      <c r="S1" s="455"/>
    </row>
    <row r="2" spans="1:19" ht="21" customHeight="1" x14ac:dyDescent="0.3">
      <c r="A2" s="184"/>
      <c r="B2" s="184"/>
      <c r="C2" s="175"/>
      <c r="D2" s="176"/>
      <c r="E2" s="176"/>
      <c r="F2" s="176"/>
      <c r="G2" s="176"/>
      <c r="H2" s="176"/>
      <c r="I2" s="176"/>
      <c r="J2" s="176"/>
      <c r="K2" s="177"/>
      <c r="L2" s="176"/>
      <c r="M2" s="176"/>
      <c r="N2" s="176"/>
      <c r="O2" s="176"/>
      <c r="P2" s="176"/>
      <c r="Q2" s="176"/>
      <c r="R2" s="176"/>
      <c r="S2" s="176"/>
    </row>
    <row r="3" spans="1:19" ht="21" customHeight="1" x14ac:dyDescent="0.3">
      <c r="A3" s="184"/>
      <c r="B3" s="184"/>
      <c r="C3" s="175"/>
      <c r="D3" s="176"/>
      <c r="E3" s="176"/>
      <c r="F3" s="176"/>
      <c r="G3" s="176"/>
      <c r="H3" s="176"/>
      <c r="I3" s="176"/>
      <c r="J3" s="176"/>
      <c r="K3" s="177"/>
      <c r="L3" s="176"/>
      <c r="M3" s="176"/>
      <c r="N3" s="176"/>
      <c r="O3" s="176"/>
      <c r="P3" s="176"/>
      <c r="Q3" s="176"/>
      <c r="R3" s="176"/>
      <c r="S3" s="176"/>
    </row>
    <row r="4" spans="1:19" ht="147.75" customHeight="1" x14ac:dyDescent="0.3">
      <c r="A4" s="185"/>
      <c r="B4" s="535" t="s">
        <v>161</v>
      </c>
      <c r="C4" s="535"/>
      <c r="D4" s="535"/>
      <c r="E4" s="535"/>
      <c r="F4" s="535"/>
      <c r="G4" s="535"/>
      <c r="H4" s="535"/>
      <c r="I4" s="535"/>
      <c r="J4" s="535"/>
      <c r="K4" s="535"/>
      <c r="L4" s="535"/>
      <c r="M4" s="535"/>
      <c r="N4" s="535"/>
      <c r="O4" s="535"/>
      <c r="P4" s="535"/>
      <c r="Q4" s="535"/>
      <c r="R4" s="535"/>
      <c r="S4" s="189"/>
    </row>
    <row r="5" spans="1:19" x14ac:dyDescent="0.3">
      <c r="A5" s="184"/>
      <c r="B5" s="537" t="s">
        <v>202</v>
      </c>
      <c r="C5" s="538"/>
      <c r="D5" s="538"/>
      <c r="E5" s="538"/>
      <c r="F5" s="538"/>
      <c r="G5" s="538"/>
      <c r="H5" s="538"/>
      <c r="I5" s="538"/>
      <c r="J5" s="387"/>
      <c r="K5" s="387"/>
      <c r="L5" s="387"/>
      <c r="M5" s="387"/>
      <c r="N5" s="387"/>
      <c r="O5" s="387"/>
      <c r="P5" s="387"/>
      <c r="Q5" s="387"/>
      <c r="R5" s="387"/>
      <c r="S5" s="387"/>
    </row>
    <row r="6" spans="1:19" x14ac:dyDescent="0.3">
      <c r="A6" s="176"/>
      <c r="B6" s="176"/>
      <c r="C6" s="176"/>
      <c r="D6" s="176"/>
      <c r="E6" s="176"/>
      <c r="F6" s="176"/>
      <c r="G6" s="176"/>
      <c r="H6" s="176"/>
      <c r="I6" s="176"/>
      <c r="J6" s="176"/>
      <c r="K6" s="176"/>
      <c r="L6" s="176"/>
      <c r="M6" s="176"/>
      <c r="N6" s="176"/>
      <c r="O6" s="176"/>
      <c r="P6" s="176"/>
      <c r="Q6" s="176"/>
      <c r="R6" s="176"/>
      <c r="S6" s="176"/>
    </row>
    <row r="7" spans="1:19" ht="31.5" customHeight="1" thickBot="1" x14ac:dyDescent="0.35">
      <c r="A7" s="186"/>
      <c r="B7" s="186"/>
      <c r="C7" s="193"/>
      <c r="D7" s="536" t="s">
        <v>141</v>
      </c>
      <c r="E7" s="536"/>
      <c r="F7" s="195" t="s">
        <v>140</v>
      </c>
      <c r="G7" s="212"/>
      <c r="H7" s="178"/>
      <c r="I7" s="179"/>
      <c r="J7" s="179"/>
      <c r="K7" s="179"/>
      <c r="L7" s="179"/>
      <c r="M7" s="176"/>
      <c r="N7" s="176"/>
      <c r="O7" s="176"/>
      <c r="P7" s="176"/>
      <c r="Q7" s="176"/>
      <c r="R7" s="176"/>
      <c r="S7" s="176"/>
    </row>
    <row r="8" spans="1:19" ht="7.5" customHeight="1" x14ac:dyDescent="0.3">
      <c r="A8" s="186"/>
      <c r="B8" s="186"/>
      <c r="C8" s="193"/>
      <c r="D8" s="193"/>
      <c r="E8" s="193"/>
      <c r="F8" s="212"/>
      <c r="G8" s="212"/>
      <c r="H8" s="178"/>
      <c r="I8" s="179"/>
      <c r="J8" s="179"/>
      <c r="K8" s="179"/>
      <c r="L8" s="179"/>
      <c r="M8" s="176"/>
      <c r="N8" s="176"/>
      <c r="O8" s="176"/>
      <c r="P8" s="176"/>
      <c r="Q8" s="176"/>
      <c r="R8" s="176"/>
      <c r="S8" s="176"/>
    </row>
    <row r="9" spans="1:19" ht="15" customHeight="1" thickBot="1" x14ac:dyDescent="0.35">
      <c r="A9" s="187"/>
      <c r="B9" s="187"/>
      <c r="C9" s="199"/>
      <c r="D9" s="213"/>
      <c r="E9" s="214" t="s">
        <v>41</v>
      </c>
      <c r="F9" s="215">
        <v>1037.0430484669807</v>
      </c>
      <c r="G9" s="191"/>
      <c r="H9" s="180"/>
      <c r="I9" s="179"/>
      <c r="J9" s="179"/>
      <c r="K9" s="179"/>
      <c r="L9" s="179"/>
      <c r="M9" s="176"/>
      <c r="N9" s="176"/>
      <c r="O9" s="176"/>
      <c r="P9" s="176"/>
      <c r="Q9" s="176"/>
      <c r="R9" s="176"/>
      <c r="S9" s="176"/>
    </row>
    <row r="10" spans="1:19" ht="15" customHeight="1" thickTop="1" thickBot="1" x14ac:dyDescent="0.35">
      <c r="A10" s="187"/>
      <c r="B10" s="187"/>
      <c r="C10" s="199"/>
      <c r="D10" s="200"/>
      <c r="E10" s="198" t="s">
        <v>43</v>
      </c>
      <c r="F10" s="196">
        <v>1511.4240037667153</v>
      </c>
      <c r="G10" s="191"/>
      <c r="H10" s="180"/>
      <c r="I10" s="179"/>
      <c r="J10" s="179"/>
      <c r="K10" s="179"/>
      <c r="L10" s="179"/>
      <c r="M10" s="176"/>
      <c r="N10" s="176"/>
      <c r="O10" s="176"/>
      <c r="P10" s="176"/>
      <c r="Q10" s="176"/>
      <c r="R10" s="176"/>
      <c r="S10" s="176"/>
    </row>
    <row r="11" spans="1:19" ht="15" customHeight="1" thickTop="1" thickBot="1" x14ac:dyDescent="0.35">
      <c r="A11" s="187"/>
      <c r="B11" s="187"/>
      <c r="C11" s="199"/>
      <c r="D11" s="201"/>
      <c r="E11" s="198" t="s">
        <v>44</v>
      </c>
      <c r="F11" s="196">
        <v>1739.8098339976098</v>
      </c>
      <c r="G11" s="191"/>
      <c r="H11" s="180"/>
      <c r="I11" s="179"/>
      <c r="J11" s="179"/>
      <c r="K11" s="179"/>
      <c r="L11" s="179"/>
      <c r="M11" s="176"/>
      <c r="N11" s="176"/>
      <c r="O11" s="176"/>
      <c r="P11" s="176"/>
      <c r="Q11" s="176"/>
      <c r="R11" s="176"/>
      <c r="S11" s="176"/>
    </row>
    <row r="12" spans="1:19" ht="15" customHeight="1" thickTop="1" thickBot="1" x14ac:dyDescent="0.35">
      <c r="A12" s="187"/>
      <c r="B12" s="187"/>
      <c r="C12" s="199"/>
      <c r="D12" s="202"/>
      <c r="E12" s="198" t="s">
        <v>45</v>
      </c>
      <c r="F12" s="196">
        <v>1043.9056018017004</v>
      </c>
      <c r="G12" s="191"/>
      <c r="H12" s="180"/>
      <c r="I12" s="179"/>
      <c r="J12" s="179"/>
      <c r="K12" s="179"/>
      <c r="L12" s="179"/>
      <c r="M12" s="176"/>
      <c r="N12" s="176"/>
      <c r="O12" s="176"/>
      <c r="P12" s="176"/>
      <c r="Q12" s="176"/>
      <c r="R12" s="176"/>
      <c r="S12" s="176"/>
    </row>
    <row r="13" spans="1:19" ht="15" customHeight="1" thickTop="1" thickBot="1" x14ac:dyDescent="0.35">
      <c r="A13" s="187"/>
      <c r="B13" s="187"/>
      <c r="C13" s="199"/>
      <c r="D13" s="203"/>
      <c r="E13" s="198" t="s">
        <v>46</v>
      </c>
      <c r="F13" s="197">
        <v>1363.177913077348</v>
      </c>
      <c r="G13" s="192"/>
      <c r="H13" s="180"/>
      <c r="I13" s="181"/>
      <c r="J13" s="181"/>
      <c r="K13" s="181"/>
      <c r="L13" s="181"/>
      <c r="M13" s="176"/>
      <c r="N13" s="176"/>
      <c r="O13" s="176"/>
      <c r="P13" s="176"/>
      <c r="Q13" s="176"/>
      <c r="R13" s="176"/>
      <c r="S13" s="176"/>
    </row>
    <row r="14" spans="1:19" ht="15" customHeight="1" thickTop="1" thickBot="1" x14ac:dyDescent="0.35">
      <c r="A14" s="187"/>
      <c r="B14" s="187"/>
      <c r="C14" s="199"/>
      <c r="D14" s="204"/>
      <c r="E14" s="198" t="s">
        <v>47</v>
      </c>
      <c r="F14" s="197">
        <v>1711.7691616643308</v>
      </c>
      <c r="G14" s="192"/>
      <c r="H14" s="180"/>
      <c r="I14" s="181"/>
      <c r="J14" s="181"/>
      <c r="K14" s="181"/>
      <c r="L14" s="181"/>
      <c r="M14" s="176"/>
      <c r="N14" s="176"/>
      <c r="O14" s="176"/>
      <c r="P14" s="176"/>
      <c r="Q14" s="176"/>
      <c r="R14" s="176"/>
      <c r="S14" s="176"/>
    </row>
    <row r="15" spans="1:19" ht="15" customHeight="1" thickTop="1" thickBot="1" x14ac:dyDescent="0.35">
      <c r="A15" s="187"/>
      <c r="B15" s="187"/>
      <c r="C15" s="199"/>
      <c r="D15" s="205"/>
      <c r="E15" s="198" t="s">
        <v>48</v>
      </c>
      <c r="F15" s="197">
        <v>1064.9385163846814</v>
      </c>
      <c r="G15" s="192"/>
      <c r="H15" s="180"/>
      <c r="I15" s="181"/>
      <c r="J15" s="181"/>
      <c r="K15" s="181"/>
      <c r="L15" s="181"/>
      <c r="M15" s="176"/>
      <c r="N15" s="176"/>
      <c r="O15" s="176"/>
      <c r="P15" s="176"/>
      <c r="Q15" s="176"/>
      <c r="R15" s="176"/>
      <c r="S15" s="176"/>
    </row>
    <row r="16" spans="1:19" ht="15" customHeight="1" thickTop="1" thickBot="1" x14ac:dyDescent="0.35">
      <c r="A16" s="187"/>
      <c r="B16" s="187"/>
      <c r="C16" s="199"/>
      <c r="D16" s="206"/>
      <c r="E16" s="198" t="s">
        <v>49</v>
      </c>
      <c r="F16" s="197">
        <v>1048.0109858311705</v>
      </c>
      <c r="G16" s="192"/>
      <c r="H16" s="180"/>
      <c r="I16" s="181"/>
      <c r="J16" s="181"/>
      <c r="K16" s="181"/>
      <c r="L16" s="181"/>
      <c r="M16" s="176"/>
      <c r="N16" s="176"/>
      <c r="O16" s="176"/>
      <c r="P16" s="176"/>
      <c r="Q16" s="176"/>
      <c r="R16" s="176"/>
      <c r="S16" s="176"/>
    </row>
    <row r="17" spans="1:19" ht="15" customHeight="1" thickTop="1" thickBot="1" x14ac:dyDescent="0.35">
      <c r="A17" s="187"/>
      <c r="B17" s="187"/>
      <c r="C17" s="199"/>
      <c r="D17" s="207"/>
      <c r="E17" s="198" t="s">
        <v>40</v>
      </c>
      <c r="F17" s="197">
        <v>1604.0306992196058</v>
      </c>
      <c r="G17" s="192"/>
      <c r="H17" s="180"/>
      <c r="I17" s="181"/>
      <c r="J17" s="181"/>
      <c r="K17" s="181"/>
      <c r="L17" s="181"/>
      <c r="M17" s="176"/>
      <c r="N17" s="176"/>
      <c r="O17" s="176"/>
      <c r="P17" s="176"/>
      <c r="Q17" s="176"/>
      <c r="R17" s="176"/>
      <c r="S17" s="176"/>
    </row>
    <row r="18" spans="1:19" ht="15" customHeight="1" thickTop="1" thickBot="1" x14ac:dyDescent="0.35">
      <c r="A18" s="187"/>
      <c r="B18" s="187"/>
      <c r="C18" s="199"/>
      <c r="D18" s="208"/>
      <c r="E18" s="198" t="s">
        <v>39</v>
      </c>
      <c r="F18" s="197">
        <v>1839.872198750912</v>
      </c>
      <c r="G18" s="192"/>
      <c r="H18" s="180"/>
      <c r="I18" s="181"/>
      <c r="J18" s="181"/>
      <c r="K18" s="181"/>
      <c r="L18" s="181"/>
      <c r="M18" s="176"/>
      <c r="N18" s="176"/>
      <c r="O18" s="176"/>
      <c r="P18" s="176"/>
      <c r="Q18" s="176"/>
      <c r="R18" s="176"/>
      <c r="S18" s="176"/>
    </row>
    <row r="19" spans="1:19" ht="15" customHeight="1" thickTop="1" thickBot="1" x14ac:dyDescent="0.35">
      <c r="A19" s="187"/>
      <c r="B19" s="187"/>
      <c r="C19" s="199"/>
      <c r="D19" s="209"/>
      <c r="E19" s="198" t="s">
        <v>38</v>
      </c>
      <c r="F19" s="197">
        <v>1445.9314370871016</v>
      </c>
      <c r="G19" s="192"/>
      <c r="H19" s="180"/>
      <c r="I19" s="181"/>
      <c r="J19" s="181"/>
      <c r="K19" s="181"/>
      <c r="L19" s="181"/>
      <c r="M19" s="176"/>
      <c r="N19" s="176"/>
      <c r="O19" s="176"/>
      <c r="P19" s="176"/>
      <c r="Q19" s="176"/>
      <c r="R19" s="176"/>
      <c r="S19" s="176"/>
    </row>
    <row r="20" spans="1:19" ht="15" customHeight="1" thickTop="1" thickBot="1" x14ac:dyDescent="0.35">
      <c r="A20" s="187"/>
      <c r="B20" s="187"/>
      <c r="C20" s="199"/>
      <c r="D20" s="210"/>
      <c r="E20" s="198" t="s">
        <v>37</v>
      </c>
      <c r="F20" s="197">
        <v>1342.1639787614677</v>
      </c>
      <c r="G20" s="192"/>
      <c r="H20" s="180"/>
      <c r="I20" s="181"/>
      <c r="J20" s="181"/>
      <c r="K20" s="181"/>
      <c r="L20" s="181"/>
      <c r="M20" s="176"/>
      <c r="N20" s="176"/>
      <c r="O20" s="176"/>
      <c r="P20" s="176"/>
      <c r="Q20" s="176"/>
      <c r="R20" s="176"/>
      <c r="S20" s="176"/>
    </row>
    <row r="21" spans="1:19" ht="15" customHeight="1" thickTop="1" thickBot="1" x14ac:dyDescent="0.35">
      <c r="A21" s="187"/>
      <c r="B21" s="187"/>
      <c r="C21" s="199"/>
      <c r="D21" s="211"/>
      <c r="E21" s="198" t="s">
        <v>50</v>
      </c>
      <c r="F21" s="197">
        <v>1337.6914293665802</v>
      </c>
      <c r="G21" s="192"/>
      <c r="H21" s="180"/>
      <c r="I21" s="181"/>
      <c r="J21" s="181"/>
      <c r="K21" s="181"/>
      <c r="L21" s="181"/>
      <c r="M21" s="176"/>
      <c r="N21" s="176"/>
      <c r="O21" s="176"/>
      <c r="P21" s="176"/>
      <c r="Q21" s="176"/>
      <c r="R21" s="176"/>
      <c r="S21" s="176"/>
    </row>
    <row r="22" spans="1:19" ht="15" customHeight="1" thickTop="1" x14ac:dyDescent="0.3">
      <c r="A22" s="187"/>
      <c r="B22" s="187"/>
      <c r="C22" s="199"/>
      <c r="D22" s="216"/>
      <c r="E22" s="198" t="s">
        <v>36</v>
      </c>
      <c r="F22" s="197">
        <v>1293.7295965994722</v>
      </c>
      <c r="G22" s="192"/>
      <c r="H22" s="180"/>
      <c r="I22" s="181"/>
      <c r="J22" s="181"/>
      <c r="K22" s="181"/>
      <c r="L22" s="181"/>
      <c r="M22" s="176"/>
      <c r="N22" s="176"/>
      <c r="O22" s="176"/>
      <c r="P22" s="176"/>
      <c r="Q22" s="176"/>
      <c r="R22" s="176"/>
      <c r="S22" s="176"/>
    </row>
    <row r="23" spans="1:19" ht="19.5" customHeight="1" x14ac:dyDescent="0.3">
      <c r="A23" s="186"/>
      <c r="B23" s="186"/>
      <c r="C23" s="199"/>
      <c r="D23" s="362"/>
      <c r="E23" s="362" t="s">
        <v>34</v>
      </c>
      <c r="F23" s="217">
        <v>1429.4843324906142</v>
      </c>
      <c r="G23" s="194"/>
      <c r="H23" s="182"/>
      <c r="I23" s="181"/>
      <c r="J23" s="181"/>
      <c r="K23" s="181"/>
      <c r="L23" s="181"/>
      <c r="M23" s="176"/>
      <c r="N23" s="176"/>
      <c r="O23" s="176"/>
      <c r="P23" s="176"/>
      <c r="Q23" s="176"/>
      <c r="R23" s="176"/>
      <c r="S23" s="176"/>
    </row>
    <row r="24" spans="1:19" x14ac:dyDescent="0.3">
      <c r="A24" s="176"/>
      <c r="B24" s="176"/>
      <c r="C24" s="176"/>
      <c r="D24" s="176"/>
      <c r="E24" s="176"/>
      <c r="F24" s="176"/>
      <c r="G24" s="176"/>
      <c r="H24" s="183"/>
      <c r="I24" s="176"/>
      <c r="J24" s="176"/>
      <c r="K24" s="176"/>
      <c r="L24" s="176"/>
      <c r="M24" s="176"/>
      <c r="N24" s="176"/>
      <c r="O24" s="176"/>
      <c r="P24" s="176"/>
      <c r="Q24" s="176"/>
      <c r="R24" s="176"/>
      <c r="S24" s="176"/>
    </row>
    <row r="25" spans="1:19" ht="27.75" customHeight="1" x14ac:dyDescent="0.3">
      <c r="A25" s="176"/>
      <c r="B25" s="535" t="s">
        <v>42</v>
      </c>
      <c r="C25" s="535"/>
      <c r="D25" s="535"/>
      <c r="E25" s="535"/>
      <c r="F25" s="535"/>
      <c r="G25" s="535"/>
      <c r="H25" s="535"/>
      <c r="I25" s="535"/>
      <c r="J25" s="535"/>
      <c r="K25" s="535"/>
      <c r="L25" s="535"/>
      <c r="M25" s="535"/>
      <c r="N25" s="535"/>
      <c r="O25" s="535"/>
      <c r="P25" s="535"/>
      <c r="Q25" s="535"/>
      <c r="R25" s="535"/>
      <c r="S25" s="176"/>
    </row>
    <row r="26" spans="1:19" ht="29.25" customHeight="1" x14ac:dyDescent="0.3">
      <c r="A26" s="188"/>
      <c r="B26" s="535"/>
      <c r="C26" s="535"/>
      <c r="D26" s="535"/>
      <c r="E26" s="535"/>
      <c r="F26" s="535"/>
      <c r="G26" s="535"/>
      <c r="H26" s="535"/>
      <c r="I26" s="535"/>
      <c r="J26" s="535"/>
      <c r="K26" s="535"/>
      <c r="L26" s="535"/>
      <c r="M26" s="535"/>
      <c r="N26" s="535"/>
      <c r="O26" s="535"/>
      <c r="P26" s="535"/>
      <c r="Q26" s="535"/>
      <c r="R26" s="535"/>
      <c r="S26" s="176"/>
    </row>
    <row r="27" spans="1:19" ht="16.5" customHeight="1" x14ac:dyDescent="0.3">
      <c r="A27" s="188"/>
      <c r="B27" s="188"/>
      <c r="C27" s="190"/>
      <c r="D27" s="190"/>
      <c r="E27" s="190"/>
      <c r="F27" s="190"/>
      <c r="G27" s="190"/>
      <c r="H27" s="190"/>
      <c r="I27" s="190"/>
      <c r="J27" s="190"/>
      <c r="K27" s="190"/>
      <c r="L27" s="190"/>
      <c r="M27" s="190"/>
      <c r="N27" s="190"/>
      <c r="O27" s="190"/>
      <c r="P27" s="190"/>
      <c r="Q27" s="190"/>
      <c r="R27" s="190"/>
      <c r="S27" s="176"/>
    </row>
    <row r="28" spans="1:19" x14ac:dyDescent="0.3">
      <c r="A28" s="218"/>
      <c r="B28" s="218"/>
      <c r="C28" s="218"/>
      <c r="D28" s="219"/>
      <c r="E28" s="219"/>
      <c r="F28" s="219"/>
      <c r="G28" s="219"/>
      <c r="H28" s="219"/>
      <c r="I28" s="219"/>
      <c r="J28" s="219"/>
      <c r="K28" s="219"/>
      <c r="L28" s="219"/>
    </row>
    <row r="29" spans="1:19" x14ac:dyDescent="0.3">
      <c r="A29" s="219"/>
      <c r="B29" s="219"/>
      <c r="C29" s="219"/>
      <c r="D29" s="219"/>
      <c r="E29" s="219"/>
      <c r="F29" s="219"/>
      <c r="G29" s="219"/>
      <c r="H29" s="219"/>
      <c r="I29" s="219"/>
      <c r="J29" s="219"/>
      <c r="K29" s="219"/>
      <c r="L29" s="219"/>
    </row>
    <row r="30" spans="1:19" x14ac:dyDescent="0.3">
      <c r="A30" s="219"/>
      <c r="B30" s="219"/>
      <c r="C30" s="219"/>
      <c r="D30" s="219"/>
      <c r="E30" s="219"/>
      <c r="F30" s="219"/>
      <c r="G30" s="219"/>
      <c r="H30" s="219"/>
      <c r="I30" s="219"/>
      <c r="J30" s="219"/>
      <c r="K30" s="219"/>
      <c r="L30" s="219"/>
    </row>
  </sheetData>
  <sheetProtection algorithmName="SHA-512" hashValue="FHcHiukiBnIkmyDvSK6s5sVArDHdieW8sja6lMUttwkisaC2cnDMW4cINHxpzi1sC4VxgclJrR2v4bC+YecGLQ==" saltValue="yXofGiT1OT7QU3J4gh8nzg==" spinCount="100000" sheet="1" objects="1" scenarios="1"/>
  <mergeCells count="5">
    <mergeCell ref="A1:S1"/>
    <mergeCell ref="B25:R26"/>
    <mergeCell ref="D7:E7"/>
    <mergeCell ref="B4:R4"/>
    <mergeCell ref="B5:I5"/>
  </mergeCells>
  <hyperlinks>
    <hyperlink ref="B5" r:id="rId1" display="https://www.epa.gov/avert/avoided-emission-rates-generated-avert" xr:uid="{A10624E2-7044-4DE7-8CF0-9601E99A24A1}"/>
  </hyperlinks>
  <pageMargins left="0.7" right="0.7" top="0.75" bottom="0.75" header="0.3" footer="0.3"/>
  <pageSetup scale="83" orientation="landscape" r:id="rId2"/>
  <headerFooter>
    <oddFooter>&amp;LLFG Energy Benefits Calculator
https://www.epa.gov/lmop/
landfill-gas-energy-benefits-calculator&amp;CPage 3 of 6&amp;RLast updated December 2024</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98"/>
  <sheetViews>
    <sheetView zoomScaleNormal="100" workbookViewId="0">
      <selection sqref="A1:AE1"/>
    </sheetView>
  </sheetViews>
  <sheetFormatPr defaultColWidth="9.109375" defaultRowHeight="13.8" x14ac:dyDescent="0.3"/>
  <cols>
    <col min="1" max="2" width="1.88671875" style="157" customWidth="1"/>
    <col min="3" max="3" width="9.6640625" style="157" customWidth="1"/>
    <col min="4" max="4" width="10" style="157" customWidth="1"/>
    <col min="5" max="8" width="8.6640625" style="157" customWidth="1"/>
    <col min="9" max="9" width="1.88671875" style="157" customWidth="1"/>
    <col min="10" max="10" width="6.88671875" style="157" customWidth="1"/>
    <col min="11" max="11" width="7.6640625" style="157" customWidth="1"/>
    <col min="12" max="15" width="7.109375" style="157" customWidth="1"/>
    <col min="16" max="16" width="1.88671875" style="157" customWidth="1"/>
    <col min="17" max="17" width="7.33203125" style="157" customWidth="1"/>
    <col min="18" max="18" width="1.88671875" style="157" customWidth="1"/>
    <col min="19" max="22" width="11.6640625" style="157" customWidth="1"/>
    <col min="23" max="23" width="10.6640625" style="157" customWidth="1"/>
    <col min="24" max="24" width="9.109375" style="157"/>
    <col min="25" max="25" width="11.6640625" style="157" bestFit="1" customWidth="1"/>
    <col min="26" max="26" width="14.109375" style="157" customWidth="1"/>
    <col min="27" max="27" width="13.6640625" style="157" customWidth="1"/>
    <col min="28" max="28" width="10.88671875" style="157" customWidth="1"/>
    <col min="29" max="29" width="9.33203125" style="157" customWidth="1"/>
    <col min="30" max="30" width="1.88671875" style="157" customWidth="1"/>
    <col min="31" max="31" width="2.5546875" style="157" customWidth="1"/>
    <col min="32" max="16384" width="9.109375" style="157"/>
  </cols>
  <sheetData>
    <row r="1" spans="1:31" s="244" customFormat="1" ht="25.95" customHeight="1" x14ac:dyDescent="0.25">
      <c r="A1" s="539" t="s">
        <v>4</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row>
    <row r="2" spans="1:31" ht="18" x14ac:dyDescent="0.35">
      <c r="A2" s="221"/>
      <c r="B2" s="221"/>
      <c r="C2" s="221"/>
      <c r="D2" s="221"/>
      <c r="E2" s="221"/>
      <c r="F2" s="222"/>
      <c r="G2" s="238"/>
      <c r="H2" s="239"/>
      <c r="I2" s="239"/>
      <c r="J2" s="238"/>
      <c r="K2" s="238"/>
      <c r="L2" s="239"/>
      <c r="M2" s="238"/>
      <c r="N2" s="238"/>
      <c r="O2" s="238"/>
      <c r="P2" s="238"/>
      <c r="Q2" s="238"/>
      <c r="R2" s="238"/>
      <c r="S2" s="239"/>
      <c r="T2" s="238"/>
      <c r="U2" s="238"/>
      <c r="V2" s="238"/>
      <c r="W2" s="75"/>
      <c r="X2" s="75"/>
      <c r="Y2" s="75"/>
      <c r="Z2" s="75"/>
      <c r="AA2" s="75"/>
      <c r="AB2" s="75"/>
      <c r="AC2" s="75"/>
      <c r="AD2" s="75"/>
      <c r="AE2" s="75"/>
    </row>
    <row r="3" spans="1:31" ht="18" x14ac:dyDescent="0.35">
      <c r="A3" s="221"/>
      <c r="B3" s="221"/>
      <c r="C3" s="221"/>
      <c r="D3" s="221"/>
      <c r="E3" s="221"/>
      <c r="F3" s="222"/>
      <c r="G3" s="238"/>
      <c r="H3" s="239"/>
      <c r="I3" s="239"/>
      <c r="J3" s="238"/>
      <c r="K3" s="238"/>
      <c r="L3" s="239"/>
      <c r="M3" s="238"/>
      <c r="N3" s="238"/>
      <c r="O3" s="238"/>
      <c r="P3" s="238"/>
      <c r="Q3" s="238"/>
      <c r="R3" s="238"/>
      <c r="S3" s="239"/>
      <c r="T3" s="238"/>
      <c r="U3" s="238"/>
      <c r="V3" s="238"/>
      <c r="W3" s="75"/>
      <c r="X3" s="75"/>
      <c r="Y3" s="75"/>
      <c r="Z3" s="75"/>
      <c r="AA3" s="75"/>
      <c r="AB3" s="75"/>
      <c r="AC3" s="75"/>
      <c r="AD3" s="75"/>
      <c r="AE3" s="75"/>
    </row>
    <row r="4" spans="1:31" s="343" customFormat="1" ht="18" x14ac:dyDescent="0.25">
      <c r="A4" s="344"/>
      <c r="B4" s="344"/>
      <c r="C4" s="344"/>
      <c r="D4" s="344"/>
      <c r="E4" s="344"/>
      <c r="F4" s="345"/>
      <c r="G4" s="346"/>
      <c r="H4" s="347"/>
      <c r="I4" s="347"/>
      <c r="J4" s="346"/>
      <c r="K4" s="346"/>
      <c r="L4" s="347"/>
      <c r="M4" s="346"/>
      <c r="N4" s="346"/>
      <c r="O4" s="346"/>
      <c r="P4" s="346"/>
      <c r="Q4" s="346"/>
      <c r="R4" s="346"/>
      <c r="S4" s="347"/>
      <c r="T4" s="346"/>
      <c r="U4" s="346"/>
      <c r="V4" s="346"/>
      <c r="W4" s="231"/>
      <c r="X4" s="231"/>
      <c r="Y4" s="231"/>
      <c r="Z4" s="231"/>
      <c r="AA4" s="231"/>
      <c r="AB4" s="231"/>
      <c r="AC4" s="231"/>
      <c r="AD4" s="231"/>
      <c r="AE4" s="231"/>
    </row>
    <row r="5" spans="1:31" ht="30.75" customHeight="1" x14ac:dyDescent="0.35">
      <c r="A5" s="221"/>
      <c r="B5" s="285" t="s">
        <v>150</v>
      </c>
      <c r="C5" s="243"/>
      <c r="D5" s="221"/>
      <c r="E5" s="221"/>
      <c r="F5" s="222"/>
      <c r="G5" s="222"/>
      <c r="H5" s="222"/>
      <c r="I5" s="222"/>
      <c r="J5" s="75"/>
      <c r="K5" s="75"/>
      <c r="L5" s="75"/>
      <c r="M5" s="75"/>
      <c r="N5" s="75"/>
      <c r="O5" s="75"/>
      <c r="P5" s="75"/>
      <c r="Q5" s="75"/>
      <c r="R5" s="75"/>
      <c r="S5" s="75"/>
      <c r="T5" s="75"/>
      <c r="U5" s="75"/>
      <c r="V5" s="75"/>
      <c r="W5" s="75"/>
      <c r="X5" s="75"/>
      <c r="Y5" s="75"/>
      <c r="Z5" s="75"/>
      <c r="AA5" s="75"/>
      <c r="AB5" s="75"/>
      <c r="AC5" s="75"/>
      <c r="AD5" s="75"/>
      <c r="AE5" s="75"/>
    </row>
    <row r="6" spans="1:31" s="152" customFormat="1" ht="21" customHeight="1" x14ac:dyDescent="0.35">
      <c r="A6" s="245"/>
      <c r="B6" s="247" t="s">
        <v>79</v>
      </c>
      <c r="C6" s="287"/>
      <c r="D6" s="286"/>
      <c r="E6" s="286"/>
      <c r="F6" s="286"/>
      <c r="G6" s="248"/>
      <c r="H6" s="248"/>
      <c r="I6" s="248"/>
      <c r="J6" s="248"/>
      <c r="K6" s="248"/>
      <c r="L6" s="248"/>
      <c r="M6" s="248"/>
      <c r="N6" s="248"/>
      <c r="O6" s="248"/>
      <c r="P6" s="240"/>
      <c r="Q6" s="246"/>
      <c r="R6" s="292" t="s">
        <v>82</v>
      </c>
      <c r="S6" s="288"/>
      <c r="T6" s="284"/>
      <c r="U6" s="284"/>
      <c r="V6" s="284"/>
      <c r="W6" s="284"/>
      <c r="X6" s="284"/>
      <c r="Y6" s="254"/>
      <c r="Z6" s="254"/>
      <c r="AA6" s="254"/>
      <c r="AB6" s="254"/>
      <c r="AC6" s="254"/>
      <c r="AD6" s="254"/>
      <c r="AE6" s="246"/>
    </row>
    <row r="7" spans="1:31" s="152" customFormat="1" ht="7.5" customHeight="1" x14ac:dyDescent="0.35">
      <c r="A7" s="245"/>
      <c r="B7" s="261"/>
      <c r="C7" s="262"/>
      <c r="D7" s="263"/>
      <c r="E7" s="263"/>
      <c r="F7" s="263"/>
      <c r="G7" s="263"/>
      <c r="H7" s="263"/>
      <c r="I7" s="263"/>
      <c r="J7" s="263"/>
      <c r="K7" s="263"/>
      <c r="L7" s="263"/>
      <c r="M7" s="263"/>
      <c r="N7" s="263"/>
      <c r="O7" s="263"/>
      <c r="P7" s="264"/>
      <c r="Q7" s="246"/>
      <c r="R7" s="256"/>
      <c r="S7" s="257"/>
      <c r="T7" s="256"/>
      <c r="U7" s="256"/>
      <c r="V7" s="256"/>
      <c r="W7" s="256"/>
      <c r="X7" s="256"/>
      <c r="Y7" s="256"/>
      <c r="Z7" s="256"/>
      <c r="AA7" s="256"/>
      <c r="AB7" s="256"/>
      <c r="AC7" s="256"/>
      <c r="AD7" s="256"/>
      <c r="AE7" s="246"/>
    </row>
    <row r="8" spans="1:31" ht="18" x14ac:dyDescent="0.35">
      <c r="A8" s="221"/>
      <c r="B8" s="268"/>
      <c r="C8" s="295" t="s">
        <v>80</v>
      </c>
      <c r="D8" s="250"/>
      <c r="E8" s="250"/>
      <c r="F8" s="250"/>
      <c r="G8" s="250"/>
      <c r="H8" s="250"/>
      <c r="I8" s="250"/>
      <c r="J8" s="250"/>
      <c r="K8" s="250"/>
      <c r="L8" s="250"/>
      <c r="M8" s="250"/>
      <c r="N8" s="250"/>
      <c r="O8" s="250"/>
      <c r="P8" s="265"/>
      <c r="Q8" s="75"/>
      <c r="R8" s="258"/>
      <c r="S8" s="295" t="s">
        <v>92</v>
      </c>
      <c r="T8" s="250"/>
      <c r="U8" s="250"/>
      <c r="V8" s="250"/>
      <c r="W8" s="250"/>
      <c r="X8" s="250"/>
      <c r="Y8" s="250"/>
      <c r="Z8" s="250"/>
      <c r="AA8" s="250"/>
      <c r="AB8" s="250"/>
      <c r="AC8" s="250"/>
      <c r="AD8" s="258"/>
      <c r="AE8" s="75"/>
    </row>
    <row r="9" spans="1:31" ht="22.5" customHeight="1" x14ac:dyDescent="0.35">
      <c r="A9" s="255"/>
      <c r="B9" s="269"/>
      <c r="C9" s="542" t="s">
        <v>149</v>
      </c>
      <c r="D9" s="542"/>
      <c r="E9" s="542"/>
      <c r="F9" s="542"/>
      <c r="G9" s="542"/>
      <c r="H9" s="542"/>
      <c r="I9" s="542"/>
      <c r="J9" s="542"/>
      <c r="K9" s="542"/>
      <c r="L9" s="542"/>
      <c r="M9" s="542"/>
      <c r="N9" s="542"/>
      <c r="O9" s="542"/>
      <c r="P9" s="266"/>
      <c r="Q9" s="75"/>
      <c r="R9" s="258"/>
      <c r="S9" s="541" t="s">
        <v>142</v>
      </c>
      <c r="T9" s="541"/>
      <c r="U9" s="541"/>
      <c r="V9" s="541"/>
      <c r="W9" s="541"/>
      <c r="X9" s="541"/>
      <c r="Y9" s="541"/>
      <c r="Z9" s="541"/>
      <c r="AA9" s="541"/>
      <c r="AB9" s="541"/>
      <c r="AC9" s="541"/>
      <c r="AD9" s="259"/>
      <c r="AE9" s="223"/>
    </row>
    <row r="10" spans="1:31" ht="22.5" customHeight="1" x14ac:dyDescent="0.35">
      <c r="A10" s="255"/>
      <c r="B10" s="269"/>
      <c r="C10" s="542"/>
      <c r="D10" s="542"/>
      <c r="E10" s="542"/>
      <c r="F10" s="542"/>
      <c r="G10" s="542"/>
      <c r="H10" s="542"/>
      <c r="I10" s="542"/>
      <c r="J10" s="542"/>
      <c r="K10" s="542"/>
      <c r="L10" s="542"/>
      <c r="M10" s="542"/>
      <c r="N10" s="542"/>
      <c r="O10" s="542"/>
      <c r="P10" s="266"/>
      <c r="Q10" s="75"/>
      <c r="R10" s="258"/>
      <c r="S10" s="541"/>
      <c r="T10" s="541"/>
      <c r="U10" s="541"/>
      <c r="V10" s="541"/>
      <c r="W10" s="541"/>
      <c r="X10" s="541"/>
      <c r="Y10" s="541"/>
      <c r="Z10" s="541"/>
      <c r="AA10" s="541"/>
      <c r="AB10" s="541"/>
      <c r="AC10" s="541"/>
      <c r="AD10" s="259"/>
      <c r="AE10" s="223"/>
    </row>
    <row r="11" spans="1:31" ht="19.5" customHeight="1" x14ac:dyDescent="0.35">
      <c r="A11" s="221"/>
      <c r="B11" s="268"/>
      <c r="C11" s="542"/>
      <c r="D11" s="542"/>
      <c r="E11" s="542"/>
      <c r="F11" s="542"/>
      <c r="G11" s="542"/>
      <c r="H11" s="542"/>
      <c r="I11" s="542"/>
      <c r="J11" s="542"/>
      <c r="K11" s="542"/>
      <c r="L11" s="542"/>
      <c r="M11" s="542"/>
      <c r="N11" s="542"/>
      <c r="O11" s="542"/>
      <c r="P11" s="266"/>
      <c r="Q11" s="75"/>
      <c r="R11" s="258"/>
      <c r="S11" s="435" t="s">
        <v>94</v>
      </c>
      <c r="T11" s="436">
        <f>$C$38*$C$48*$C$53*$C$52/$C$45*$C$46/$C$47*$C$57</f>
        <v>9.8047000799999992E-2</v>
      </c>
      <c r="U11" s="259"/>
      <c r="V11" s="259"/>
      <c r="W11" s="259"/>
      <c r="X11" s="259"/>
      <c r="Y11" s="259"/>
      <c r="Z11" s="259"/>
      <c r="AA11" s="259"/>
      <c r="AB11" s="259"/>
      <c r="AC11" s="259"/>
      <c r="AD11" s="260"/>
      <c r="AE11" s="223"/>
    </row>
    <row r="12" spans="1:31" ht="19.5" customHeight="1" x14ac:dyDescent="0.35">
      <c r="A12" s="221"/>
      <c r="B12" s="268"/>
      <c r="C12" s="433" t="s">
        <v>94</v>
      </c>
      <c r="D12" s="434">
        <f>$K$50*$C$37*$C$41*$K$40/$K$37*$C$52/$C$45*$C$46/$C$47*$C$57</f>
        <v>5.0601553314061659E-2</v>
      </c>
      <c r="E12" s="265"/>
      <c r="F12" s="265"/>
      <c r="G12" s="265"/>
      <c r="H12" s="265"/>
      <c r="I12" s="265"/>
      <c r="J12" s="265"/>
      <c r="K12" s="265"/>
      <c r="L12" s="265"/>
      <c r="M12" s="265"/>
      <c r="N12" s="265"/>
      <c r="O12" s="265"/>
      <c r="P12" s="265"/>
      <c r="Q12" s="75"/>
      <c r="R12" s="258"/>
      <c r="S12" s="296" t="s">
        <v>90</v>
      </c>
      <c r="T12" s="271"/>
      <c r="U12" s="271"/>
      <c r="V12" s="271"/>
      <c r="W12" s="271"/>
      <c r="X12" s="271"/>
      <c r="Y12" s="271"/>
      <c r="Z12" s="271"/>
      <c r="AA12" s="271"/>
      <c r="AB12" s="271"/>
      <c r="AC12" s="271"/>
      <c r="AD12" s="258"/>
      <c r="AE12" s="75"/>
    </row>
    <row r="13" spans="1:31" ht="17.25" customHeight="1" x14ac:dyDescent="0.35">
      <c r="A13" s="221"/>
      <c r="B13" s="268"/>
      <c r="C13" s="296" t="s">
        <v>81</v>
      </c>
      <c r="D13" s="271"/>
      <c r="E13" s="271"/>
      <c r="F13" s="271"/>
      <c r="G13" s="271"/>
      <c r="H13" s="271"/>
      <c r="I13" s="271"/>
      <c r="J13" s="271"/>
      <c r="K13" s="271"/>
      <c r="L13" s="271"/>
      <c r="M13" s="271"/>
      <c r="N13" s="271"/>
      <c r="O13" s="271"/>
      <c r="P13" s="265"/>
      <c r="Q13" s="75"/>
      <c r="R13" s="258"/>
      <c r="S13" s="540" t="s">
        <v>199</v>
      </c>
      <c r="T13" s="540"/>
      <c r="U13" s="540"/>
      <c r="V13" s="540"/>
      <c r="W13" s="540"/>
      <c r="X13" s="540"/>
      <c r="Y13" s="540"/>
      <c r="Z13" s="540"/>
      <c r="AA13" s="540"/>
      <c r="AB13" s="540"/>
      <c r="AC13" s="540"/>
      <c r="AD13" s="258"/>
      <c r="AE13" s="75"/>
    </row>
    <row r="14" spans="1:31" ht="22.5" customHeight="1" x14ac:dyDescent="0.35">
      <c r="A14" s="221"/>
      <c r="B14" s="268"/>
      <c r="C14" s="540" t="s">
        <v>101</v>
      </c>
      <c r="D14" s="540"/>
      <c r="E14" s="540"/>
      <c r="F14" s="540"/>
      <c r="G14" s="540"/>
      <c r="H14" s="540"/>
      <c r="I14" s="540"/>
      <c r="J14" s="540"/>
      <c r="K14" s="540"/>
      <c r="L14" s="540"/>
      <c r="M14" s="540"/>
      <c r="N14" s="540"/>
      <c r="O14" s="540"/>
      <c r="P14" s="266"/>
      <c r="Q14" s="75"/>
      <c r="R14" s="258"/>
      <c r="S14" s="540"/>
      <c r="T14" s="540"/>
      <c r="U14" s="540"/>
      <c r="V14" s="540"/>
      <c r="W14" s="540"/>
      <c r="X14" s="540"/>
      <c r="Y14" s="540"/>
      <c r="Z14" s="540"/>
      <c r="AA14" s="540"/>
      <c r="AB14" s="540"/>
      <c r="AC14" s="540"/>
      <c r="AD14" s="260"/>
      <c r="AE14" s="223"/>
    </row>
    <row r="15" spans="1:31" ht="22.5" customHeight="1" x14ac:dyDescent="0.35">
      <c r="A15" s="221"/>
      <c r="B15" s="268"/>
      <c r="C15" s="540"/>
      <c r="D15" s="540"/>
      <c r="E15" s="540"/>
      <c r="F15" s="540"/>
      <c r="G15" s="540"/>
      <c r="H15" s="540"/>
      <c r="I15" s="540"/>
      <c r="J15" s="540"/>
      <c r="K15" s="540"/>
      <c r="L15" s="540"/>
      <c r="M15" s="540"/>
      <c r="N15" s="540"/>
      <c r="O15" s="540"/>
      <c r="P15" s="266"/>
      <c r="Q15" s="75"/>
      <c r="R15" s="258"/>
      <c r="S15" s="540"/>
      <c r="T15" s="540"/>
      <c r="U15" s="540"/>
      <c r="V15" s="540"/>
      <c r="W15" s="540"/>
      <c r="X15" s="540"/>
      <c r="Y15" s="540"/>
      <c r="Z15" s="540"/>
      <c r="AA15" s="540"/>
      <c r="AB15" s="540"/>
      <c r="AC15" s="540"/>
      <c r="AD15" s="260"/>
      <c r="AE15" s="223"/>
    </row>
    <row r="16" spans="1:31" ht="19.5" customHeight="1" x14ac:dyDescent="0.35">
      <c r="A16" s="221"/>
      <c r="B16" s="268"/>
      <c r="C16" s="433" t="s">
        <v>94</v>
      </c>
      <c r="D16" s="434">
        <f>$K$51*$C$37*$C$41/$C$45*$C$46/$C$47</f>
        <v>3.3775056E-3</v>
      </c>
      <c r="E16" s="266"/>
      <c r="F16" s="266"/>
      <c r="G16" s="266"/>
      <c r="H16" s="266"/>
      <c r="I16" s="266"/>
      <c r="J16" s="266"/>
      <c r="K16" s="266"/>
      <c r="L16" s="266"/>
      <c r="M16" s="266"/>
      <c r="N16" s="266"/>
      <c r="O16" s="266"/>
      <c r="P16" s="267"/>
      <c r="Q16" s="75"/>
      <c r="R16" s="258"/>
      <c r="S16" s="435" t="s">
        <v>94</v>
      </c>
      <c r="T16" s="436">
        <f>$K$53*$C$38*$C$48*$C$53*$K$37/$K$38*$K$46/$C$45*$C$46/$C$47</f>
        <v>8.6779329912000016E-3</v>
      </c>
      <c r="U16" s="259"/>
      <c r="V16" s="259"/>
      <c r="W16" s="259"/>
      <c r="X16" s="259"/>
      <c r="Y16" s="259"/>
      <c r="Z16" s="259"/>
      <c r="AA16" s="259"/>
      <c r="AB16" s="259"/>
      <c r="AC16" s="259"/>
      <c r="AD16" s="260"/>
      <c r="AE16" s="223"/>
    </row>
    <row r="17" spans="1:33" ht="18" customHeight="1" x14ac:dyDescent="0.35">
      <c r="A17" s="221"/>
      <c r="B17" s="221"/>
      <c r="C17" s="224"/>
      <c r="D17" s="74"/>
      <c r="E17" s="74"/>
      <c r="F17" s="225"/>
      <c r="G17" s="225"/>
      <c r="H17" s="225"/>
      <c r="I17" s="225"/>
      <c r="J17" s="75"/>
      <c r="K17" s="75"/>
      <c r="L17" s="75"/>
      <c r="M17" s="75"/>
      <c r="N17" s="75"/>
      <c r="O17" s="75"/>
      <c r="P17" s="75"/>
      <c r="Q17" s="75"/>
      <c r="R17" s="258"/>
      <c r="S17" s="296" t="s">
        <v>91</v>
      </c>
      <c r="T17" s="270"/>
      <c r="U17" s="270"/>
      <c r="V17" s="270"/>
      <c r="W17" s="270"/>
      <c r="X17" s="270"/>
      <c r="Y17" s="270"/>
      <c r="Z17" s="270"/>
      <c r="AA17" s="270"/>
      <c r="AB17" s="270"/>
      <c r="AC17" s="270"/>
      <c r="AD17" s="293"/>
      <c r="AE17" s="226"/>
    </row>
    <row r="18" spans="1:33" ht="21" customHeight="1" x14ac:dyDescent="0.35">
      <c r="A18" s="221"/>
      <c r="B18" s="291" t="s">
        <v>83</v>
      </c>
      <c r="C18" s="289"/>
      <c r="D18" s="283"/>
      <c r="E18" s="283"/>
      <c r="F18" s="272"/>
      <c r="G18" s="272"/>
      <c r="H18" s="272"/>
      <c r="I18" s="272"/>
      <c r="J18" s="273"/>
      <c r="K18" s="273"/>
      <c r="L18" s="273"/>
      <c r="M18" s="273"/>
      <c r="N18" s="273"/>
      <c r="O18" s="273"/>
      <c r="P18" s="273"/>
      <c r="Q18" s="75"/>
      <c r="R18" s="258"/>
      <c r="S18" s="547" t="s">
        <v>198</v>
      </c>
      <c r="T18" s="547"/>
      <c r="U18" s="547"/>
      <c r="V18" s="547"/>
      <c r="W18" s="547"/>
      <c r="X18" s="547"/>
      <c r="Y18" s="547"/>
      <c r="Z18" s="547"/>
      <c r="AA18" s="547"/>
      <c r="AB18" s="547"/>
      <c r="AC18" s="547"/>
      <c r="AD18" s="258"/>
      <c r="AE18" s="75"/>
    </row>
    <row r="19" spans="1:33" ht="7.5" customHeight="1" x14ac:dyDescent="0.35">
      <c r="A19" s="221"/>
      <c r="B19" s="274"/>
      <c r="C19" s="279"/>
      <c r="D19" s="280"/>
      <c r="E19" s="280"/>
      <c r="F19" s="281"/>
      <c r="G19" s="281"/>
      <c r="H19" s="281"/>
      <c r="I19" s="281"/>
      <c r="J19" s="275"/>
      <c r="K19" s="275"/>
      <c r="L19" s="275"/>
      <c r="M19" s="275"/>
      <c r="N19" s="275"/>
      <c r="O19" s="275"/>
      <c r="P19" s="275"/>
      <c r="Q19" s="75"/>
      <c r="R19" s="258"/>
      <c r="S19" s="547"/>
      <c r="T19" s="547"/>
      <c r="U19" s="547"/>
      <c r="V19" s="547"/>
      <c r="W19" s="547"/>
      <c r="X19" s="547"/>
      <c r="Y19" s="547"/>
      <c r="Z19" s="547"/>
      <c r="AA19" s="547"/>
      <c r="AB19" s="547"/>
      <c r="AC19" s="547"/>
      <c r="AD19" s="258"/>
      <c r="AE19" s="75"/>
    </row>
    <row r="20" spans="1:33" ht="18" customHeight="1" x14ac:dyDescent="0.35">
      <c r="A20" s="221"/>
      <c r="B20" s="274"/>
      <c r="C20" s="249" t="s">
        <v>80</v>
      </c>
      <c r="D20" s="250"/>
      <c r="E20" s="250"/>
      <c r="F20" s="250"/>
      <c r="G20" s="250"/>
      <c r="H20" s="250"/>
      <c r="I20" s="250"/>
      <c r="J20" s="250"/>
      <c r="K20" s="250"/>
      <c r="L20" s="250"/>
      <c r="M20" s="250"/>
      <c r="N20" s="250"/>
      <c r="O20" s="250"/>
      <c r="P20" s="275"/>
      <c r="Q20" s="75"/>
      <c r="R20" s="258"/>
      <c r="S20" s="547"/>
      <c r="T20" s="547"/>
      <c r="U20" s="547"/>
      <c r="V20" s="547"/>
      <c r="W20" s="547"/>
      <c r="X20" s="547"/>
      <c r="Y20" s="547"/>
      <c r="Z20" s="547"/>
      <c r="AA20" s="547"/>
      <c r="AB20" s="547"/>
      <c r="AC20" s="547"/>
      <c r="AD20" s="260"/>
      <c r="AE20" s="223"/>
    </row>
    <row r="21" spans="1:33" ht="36.6" customHeight="1" x14ac:dyDescent="0.35">
      <c r="A21" s="221"/>
      <c r="B21" s="274"/>
      <c r="C21" s="542" t="s">
        <v>143</v>
      </c>
      <c r="D21" s="542"/>
      <c r="E21" s="542"/>
      <c r="F21" s="542"/>
      <c r="G21" s="542"/>
      <c r="H21" s="542"/>
      <c r="I21" s="542"/>
      <c r="J21" s="542"/>
      <c r="K21" s="542"/>
      <c r="L21" s="542"/>
      <c r="M21" s="542"/>
      <c r="N21" s="542"/>
      <c r="O21" s="542"/>
      <c r="P21" s="277"/>
      <c r="Q21" s="75"/>
      <c r="R21" s="258"/>
      <c r="S21" s="547"/>
      <c r="T21" s="547"/>
      <c r="U21" s="547"/>
      <c r="V21" s="547"/>
      <c r="W21" s="547"/>
      <c r="X21" s="547"/>
      <c r="Y21" s="547"/>
      <c r="Z21" s="547"/>
      <c r="AA21" s="547"/>
      <c r="AB21" s="547"/>
      <c r="AC21" s="547"/>
      <c r="AD21" s="260"/>
      <c r="AE21" s="223"/>
    </row>
    <row r="22" spans="1:33" ht="19.5" customHeight="1" x14ac:dyDescent="0.35">
      <c r="A22" s="221"/>
      <c r="B22" s="274"/>
      <c r="C22" s="542"/>
      <c r="D22" s="542"/>
      <c r="E22" s="542"/>
      <c r="F22" s="542"/>
      <c r="G22" s="542"/>
      <c r="H22" s="542"/>
      <c r="I22" s="542"/>
      <c r="J22" s="542"/>
      <c r="K22" s="542"/>
      <c r="L22" s="542"/>
      <c r="M22" s="542"/>
      <c r="N22" s="542"/>
      <c r="O22" s="542"/>
      <c r="P22" s="277"/>
      <c r="Q22" s="75"/>
      <c r="R22" s="258"/>
      <c r="S22" s="435" t="s">
        <v>94</v>
      </c>
      <c r="T22" s="436">
        <f>(1-$K$56)*$C$38*$C$48*$C$53*$K$37/$K$38*$K$46/$C$45*$C$46/$C$47</f>
        <v>9.4493048126400008E-3</v>
      </c>
      <c r="U22" s="294"/>
      <c r="V22" s="294"/>
      <c r="W22" s="294"/>
      <c r="X22" s="294"/>
      <c r="Y22" s="294"/>
      <c r="Z22" s="294"/>
      <c r="AA22" s="294"/>
      <c r="AB22" s="294"/>
      <c r="AC22" s="294"/>
      <c r="AD22" s="260"/>
      <c r="AE22" s="223"/>
    </row>
    <row r="23" spans="1:33" ht="19.5" customHeight="1" x14ac:dyDescent="0.35">
      <c r="A23" s="221"/>
      <c r="B23" s="274"/>
      <c r="C23" s="542"/>
      <c r="D23" s="542"/>
      <c r="E23" s="542"/>
      <c r="F23" s="542"/>
      <c r="G23" s="542"/>
      <c r="H23" s="542"/>
      <c r="I23" s="542"/>
      <c r="J23" s="542"/>
      <c r="K23" s="542"/>
      <c r="L23" s="542"/>
      <c r="M23" s="542"/>
      <c r="N23" s="542"/>
      <c r="O23" s="542"/>
      <c r="P23" s="277"/>
      <c r="Q23" s="75"/>
      <c r="R23" s="258"/>
      <c r="S23" s="297" t="s">
        <v>93</v>
      </c>
      <c r="T23" s="298"/>
      <c r="U23" s="298"/>
      <c r="V23" s="298"/>
      <c r="W23" s="298"/>
      <c r="X23" s="298"/>
      <c r="Y23" s="298"/>
      <c r="Z23" s="298"/>
      <c r="AA23" s="298"/>
      <c r="AB23" s="298"/>
      <c r="AC23" s="298"/>
      <c r="AD23" s="260"/>
      <c r="AE23" s="223"/>
    </row>
    <row r="24" spans="1:33" ht="19.5" customHeight="1" x14ac:dyDescent="0.35">
      <c r="A24" s="221"/>
      <c r="B24" s="274"/>
      <c r="C24" s="542"/>
      <c r="D24" s="542"/>
      <c r="E24" s="542"/>
      <c r="F24" s="542"/>
      <c r="G24" s="542"/>
      <c r="H24" s="542"/>
      <c r="I24" s="542"/>
      <c r="J24" s="542"/>
      <c r="K24" s="542"/>
      <c r="L24" s="542"/>
      <c r="M24" s="542"/>
      <c r="N24" s="542"/>
      <c r="O24" s="542"/>
      <c r="P24" s="278"/>
      <c r="Q24" s="75"/>
      <c r="R24" s="258"/>
      <c r="S24" s="548" t="s">
        <v>174</v>
      </c>
      <c r="T24" s="548"/>
      <c r="U24" s="548"/>
      <c r="V24" s="548"/>
      <c r="W24" s="548"/>
      <c r="X24" s="548"/>
      <c r="Y24" s="548"/>
      <c r="Z24" s="548"/>
      <c r="AA24" s="548"/>
      <c r="AB24" s="548"/>
      <c r="AC24" s="548"/>
      <c r="AD24" s="260"/>
      <c r="AE24" s="227"/>
    </row>
    <row r="25" spans="1:33" ht="19.5" customHeight="1" x14ac:dyDescent="0.35">
      <c r="A25" s="221"/>
      <c r="B25" s="274"/>
      <c r="C25" s="437" t="s">
        <v>94</v>
      </c>
      <c r="D25" s="438">
        <f>$C$38*$C$48*$C$53*$C$52/$C$45*$C$46/$C$47*$C$57</f>
        <v>9.8047000799999992E-2</v>
      </c>
      <c r="E25" s="282"/>
      <c r="F25" s="282"/>
      <c r="G25" s="282"/>
      <c r="H25" s="282"/>
      <c r="I25" s="282"/>
      <c r="J25" s="282"/>
      <c r="K25" s="282"/>
      <c r="L25" s="282"/>
      <c r="M25" s="282"/>
      <c r="N25" s="282"/>
      <c r="O25" s="282"/>
      <c r="P25" s="275"/>
      <c r="Q25" s="75"/>
      <c r="R25" s="258"/>
      <c r="S25" s="548"/>
      <c r="T25" s="548"/>
      <c r="U25" s="548"/>
      <c r="V25" s="548"/>
      <c r="W25" s="548"/>
      <c r="X25" s="548"/>
      <c r="Y25" s="548"/>
      <c r="Z25" s="548"/>
      <c r="AA25" s="548"/>
      <c r="AB25" s="548"/>
      <c r="AC25" s="548"/>
      <c r="AD25" s="258"/>
      <c r="AE25" s="75"/>
    </row>
    <row r="26" spans="1:33" ht="19.5" customHeight="1" x14ac:dyDescent="0.35">
      <c r="A26" s="221"/>
      <c r="B26" s="274"/>
      <c r="C26" s="270" t="s">
        <v>81</v>
      </c>
      <c r="D26" s="271"/>
      <c r="E26" s="271"/>
      <c r="F26" s="271"/>
      <c r="G26" s="271"/>
      <c r="H26" s="271"/>
      <c r="I26" s="271"/>
      <c r="J26" s="271"/>
      <c r="K26" s="271"/>
      <c r="L26" s="271"/>
      <c r="M26" s="271"/>
      <c r="N26" s="271"/>
      <c r="O26" s="271"/>
      <c r="P26" s="275"/>
      <c r="Q26" s="75"/>
      <c r="R26" s="258"/>
      <c r="S26" s="548"/>
      <c r="T26" s="548"/>
      <c r="U26" s="548"/>
      <c r="V26" s="548"/>
      <c r="W26" s="548"/>
      <c r="X26" s="548"/>
      <c r="Y26" s="548"/>
      <c r="Z26" s="548"/>
      <c r="AA26" s="548"/>
      <c r="AB26" s="548"/>
      <c r="AC26" s="548"/>
      <c r="AD26" s="258"/>
      <c r="AE26" s="75"/>
    </row>
    <row r="27" spans="1:33" ht="19.5" customHeight="1" x14ac:dyDescent="0.35">
      <c r="A27" s="221"/>
      <c r="B27" s="274"/>
      <c r="C27" s="549" t="s">
        <v>167</v>
      </c>
      <c r="D27" s="549"/>
      <c r="E27" s="549"/>
      <c r="F27" s="549"/>
      <c r="G27" s="549"/>
      <c r="H27" s="549"/>
      <c r="I27" s="549"/>
      <c r="J27" s="549"/>
      <c r="K27" s="549"/>
      <c r="L27" s="549"/>
      <c r="M27" s="549"/>
      <c r="N27" s="549"/>
      <c r="O27" s="549"/>
      <c r="P27" s="276"/>
      <c r="Q27" s="75"/>
      <c r="R27" s="258"/>
      <c r="S27" s="435" t="s">
        <v>94</v>
      </c>
      <c r="T27" s="436">
        <f>$C$48*$C$38*$C$53*$K$37/$C$41/$C$44/$C$43/$C$45*$C$46/$C$47</f>
        <v>2.455258493353028E-5</v>
      </c>
      <c r="U27" s="369"/>
      <c r="V27" s="294"/>
      <c r="W27" s="294"/>
      <c r="X27" s="294"/>
      <c r="Y27" s="294"/>
      <c r="Z27" s="294"/>
      <c r="AA27" s="294"/>
      <c r="AB27" s="294"/>
      <c r="AC27" s="294"/>
      <c r="AD27" s="260"/>
      <c r="AE27" s="75"/>
    </row>
    <row r="28" spans="1:33" ht="19.5" customHeight="1" x14ac:dyDescent="0.35">
      <c r="A28" s="221"/>
      <c r="B28" s="274"/>
      <c r="C28" s="549"/>
      <c r="D28" s="549"/>
      <c r="E28" s="549"/>
      <c r="F28" s="549"/>
      <c r="G28" s="549"/>
      <c r="H28" s="549"/>
      <c r="I28" s="549"/>
      <c r="J28" s="549"/>
      <c r="K28" s="549"/>
      <c r="L28" s="549"/>
      <c r="M28" s="549"/>
      <c r="N28" s="549"/>
      <c r="O28" s="549"/>
      <c r="P28" s="276"/>
      <c r="Q28" s="75"/>
      <c r="R28" s="75"/>
      <c r="S28" s="75"/>
      <c r="T28" s="75"/>
      <c r="U28" s="75"/>
      <c r="V28" s="75"/>
      <c r="W28" s="75"/>
      <c r="X28" s="75"/>
      <c r="Y28" s="75"/>
      <c r="Z28" s="75"/>
      <c r="AA28" s="75"/>
      <c r="AB28" s="75"/>
      <c r="AC28" s="75"/>
      <c r="AD28" s="75"/>
      <c r="AE28" s="75"/>
    </row>
    <row r="29" spans="1:33" ht="19.5" customHeight="1" x14ac:dyDescent="0.35">
      <c r="A29" s="221"/>
      <c r="B29" s="274"/>
      <c r="C29" s="549"/>
      <c r="D29" s="549"/>
      <c r="E29" s="549"/>
      <c r="F29" s="549"/>
      <c r="G29" s="549"/>
      <c r="H29" s="549"/>
      <c r="I29" s="549"/>
      <c r="J29" s="549"/>
      <c r="K29" s="549"/>
      <c r="L29" s="549"/>
      <c r="M29" s="549"/>
      <c r="N29" s="549"/>
      <c r="O29" s="549"/>
      <c r="P29" s="276"/>
      <c r="Q29" s="75"/>
      <c r="R29" s="285" t="s">
        <v>151</v>
      </c>
      <c r="S29" s="75"/>
      <c r="T29" s="75"/>
      <c r="U29" s="75"/>
      <c r="V29" s="75"/>
      <c r="W29" s="75"/>
      <c r="X29" s="75"/>
      <c r="Y29" s="75"/>
      <c r="Z29" s="75"/>
      <c r="AA29" s="74"/>
      <c r="AB29" s="74"/>
      <c r="AC29" s="225"/>
      <c r="AD29" s="225"/>
      <c r="AE29" s="225"/>
    </row>
    <row r="30" spans="1:33" ht="9.75" customHeight="1" x14ac:dyDescent="0.35">
      <c r="A30" s="221"/>
      <c r="B30" s="274"/>
      <c r="C30" s="549"/>
      <c r="D30" s="549"/>
      <c r="E30" s="549"/>
      <c r="F30" s="549"/>
      <c r="G30" s="549"/>
      <c r="H30" s="549"/>
      <c r="I30" s="549"/>
      <c r="J30" s="549"/>
      <c r="K30" s="549"/>
      <c r="L30" s="549"/>
      <c r="M30" s="549"/>
      <c r="N30" s="549"/>
      <c r="O30" s="549"/>
      <c r="P30" s="276"/>
      <c r="Q30" s="75"/>
      <c r="R30" s="285"/>
      <c r="S30" s="75"/>
      <c r="T30" s="75"/>
      <c r="U30" s="75"/>
      <c r="V30" s="75"/>
      <c r="W30" s="75"/>
      <c r="X30" s="75"/>
      <c r="Y30" s="75"/>
      <c r="Z30" s="75"/>
      <c r="AA30" s="74"/>
      <c r="AB30" s="74"/>
      <c r="AC30" s="225"/>
      <c r="AD30" s="225"/>
      <c r="AE30" s="225"/>
    </row>
    <row r="31" spans="1:33" ht="21" customHeight="1" x14ac:dyDescent="0.35">
      <c r="A31" s="221"/>
      <c r="B31" s="274"/>
      <c r="C31" s="549"/>
      <c r="D31" s="549"/>
      <c r="E31" s="549"/>
      <c r="F31" s="549"/>
      <c r="G31" s="549"/>
      <c r="H31" s="549"/>
      <c r="I31" s="549"/>
      <c r="J31" s="549"/>
      <c r="K31" s="549"/>
      <c r="L31" s="549"/>
      <c r="M31" s="549"/>
      <c r="N31" s="549"/>
      <c r="O31" s="549"/>
      <c r="P31" s="276"/>
      <c r="Q31" s="75"/>
      <c r="R31" s="321"/>
      <c r="S31" s="323" t="s">
        <v>153</v>
      </c>
      <c r="T31" s="324"/>
      <c r="U31" s="324"/>
      <c r="V31" s="324"/>
      <c r="W31" s="324"/>
      <c r="X31" s="324"/>
      <c r="Y31" s="324"/>
      <c r="Z31" s="324"/>
      <c r="AA31" s="325"/>
      <c r="AB31" s="325"/>
      <c r="AC31" s="325"/>
      <c r="AD31" s="325"/>
      <c r="AE31" s="225"/>
      <c r="AF31" s="439" t="s">
        <v>94</v>
      </c>
      <c r="AG31" s="440">
        <f>$C$47/$C$46/$C$57</f>
        <v>39367.598891408416</v>
      </c>
    </row>
    <row r="32" spans="1:33" ht="19.5" customHeight="1" x14ac:dyDescent="0.35">
      <c r="A32" s="221"/>
      <c r="B32" s="274"/>
      <c r="C32" s="437" t="s">
        <v>94</v>
      </c>
      <c r="D32" s="438">
        <f>(1-$K$56)*$C$38*$C$48*$C$53*$K$37*$K$47/$C$49/$C$45*$C$46/$C$47</f>
        <v>1.342332977832E-2</v>
      </c>
      <c r="E32" s="275"/>
      <c r="F32" s="275"/>
      <c r="G32" s="275"/>
      <c r="H32" s="276"/>
      <c r="I32" s="276"/>
      <c r="J32" s="276"/>
      <c r="K32" s="276"/>
      <c r="L32" s="276"/>
      <c r="M32" s="276"/>
      <c r="N32" s="276"/>
      <c r="O32" s="276"/>
      <c r="P32" s="276"/>
      <c r="Q32" s="75"/>
      <c r="R32" s="322"/>
      <c r="S32" s="326" t="s">
        <v>144</v>
      </c>
      <c r="T32" s="327"/>
      <c r="U32" s="327"/>
      <c r="V32" s="327"/>
      <c r="W32" s="327"/>
      <c r="X32" s="327"/>
      <c r="Y32" s="327"/>
      <c r="Z32" s="327"/>
      <c r="AA32" s="327"/>
      <c r="AB32" s="327"/>
      <c r="AC32" s="327"/>
      <c r="AD32" s="327"/>
      <c r="AE32" s="225"/>
      <c r="AF32" s="439" t="s">
        <v>94</v>
      </c>
      <c r="AG32" s="440">
        <f>$C$47/$C$46</f>
        <v>1102292.7689594356</v>
      </c>
    </row>
    <row r="33" spans="1:31" ht="19.95" customHeight="1" x14ac:dyDescent="0.35">
      <c r="A33" s="221"/>
      <c r="B33" s="221"/>
      <c r="C33" s="75"/>
      <c r="D33" s="75"/>
      <c r="E33" s="75"/>
      <c r="F33" s="75"/>
      <c r="G33" s="75"/>
      <c r="H33" s="75"/>
      <c r="I33" s="75"/>
      <c r="J33" s="290"/>
      <c r="K33" s="74"/>
      <c r="L33" s="74"/>
      <c r="M33" s="225"/>
      <c r="N33" s="225"/>
      <c r="O33" s="225"/>
      <c r="P33" s="225"/>
      <c r="Q33" s="75"/>
      <c r="R33" s="75"/>
      <c r="S33" s="75"/>
      <c r="T33" s="75"/>
      <c r="U33" s="75"/>
      <c r="V33" s="75"/>
      <c r="W33" s="75"/>
      <c r="X33" s="75"/>
      <c r="Y33" s="75"/>
      <c r="Z33" s="75"/>
      <c r="AA33" s="75"/>
      <c r="AB33" s="75"/>
      <c r="AC33" s="75"/>
      <c r="AD33" s="75"/>
      <c r="AE33" s="225"/>
    </row>
    <row r="34" spans="1:31" ht="21" customHeight="1" x14ac:dyDescent="0.3">
      <c r="A34" s="75"/>
      <c r="B34" s="285" t="s">
        <v>152</v>
      </c>
      <c r="C34" s="28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3">
      <c r="A35" s="75"/>
      <c r="B35" s="75"/>
      <c r="C35" s="299"/>
      <c r="D35" s="75"/>
      <c r="E35" s="75"/>
      <c r="F35" s="75"/>
      <c r="G35" s="75"/>
      <c r="H35" s="75"/>
      <c r="I35" s="75"/>
      <c r="J35" s="75"/>
      <c r="K35" s="75"/>
      <c r="L35" s="75"/>
      <c r="M35" s="75"/>
      <c r="N35" s="75"/>
      <c r="O35" s="75"/>
      <c r="P35" s="75"/>
      <c r="Q35" s="252"/>
      <c r="R35" s="252"/>
      <c r="S35" s="75"/>
      <c r="T35" s="75"/>
      <c r="U35" s="75"/>
      <c r="V35" s="75"/>
      <c r="W35" s="75"/>
      <c r="X35" s="75"/>
      <c r="Y35" s="75"/>
      <c r="Z35" s="75"/>
      <c r="AA35" s="75"/>
      <c r="AB35" s="75"/>
      <c r="AC35" s="75"/>
      <c r="AD35" s="75"/>
      <c r="AE35" s="75"/>
    </row>
    <row r="36" spans="1:31" x14ac:dyDescent="0.3">
      <c r="A36" s="75"/>
      <c r="B36" s="75"/>
      <c r="C36" s="300" t="s">
        <v>15</v>
      </c>
      <c r="D36" s="301"/>
      <c r="E36" s="301"/>
      <c r="F36" s="301"/>
      <c r="G36" s="301"/>
      <c r="H36" s="301"/>
      <c r="I36" s="75"/>
      <c r="J36" s="75"/>
      <c r="K36" s="311" t="s">
        <v>17</v>
      </c>
      <c r="L36" s="301"/>
      <c r="M36" s="301"/>
      <c r="N36" s="301"/>
      <c r="O36" s="301"/>
      <c r="P36" s="301"/>
      <c r="Q36" s="311"/>
      <c r="R36" s="301"/>
      <c r="S36" s="301"/>
      <c r="T36" s="301"/>
      <c r="U36" s="301"/>
      <c r="V36" s="301"/>
      <c r="W36" s="301"/>
      <c r="X36" s="301"/>
      <c r="Y36" s="301"/>
      <c r="Z36" s="301"/>
      <c r="AA36" s="301"/>
      <c r="AB36" s="301"/>
      <c r="AC36" s="75"/>
      <c r="AD36" s="75"/>
      <c r="AE36" s="75"/>
    </row>
    <row r="37" spans="1:31" ht="15" customHeight="1" x14ac:dyDescent="0.3">
      <c r="A37" s="75"/>
      <c r="B37" s="75"/>
      <c r="C37" s="302">
        <v>8760</v>
      </c>
      <c r="D37" s="301" t="s">
        <v>1</v>
      </c>
      <c r="E37" s="301"/>
      <c r="F37" s="301"/>
      <c r="G37" s="301"/>
      <c r="H37" s="301"/>
      <c r="I37" s="75"/>
      <c r="J37" s="75"/>
      <c r="K37" s="302">
        <v>1012</v>
      </c>
      <c r="L37" s="301" t="s">
        <v>19</v>
      </c>
      <c r="M37" s="301"/>
      <c r="N37" s="301"/>
      <c r="O37" s="301"/>
      <c r="P37" s="301"/>
      <c r="Q37" s="312" t="s">
        <v>145</v>
      </c>
      <c r="R37" s="301"/>
      <c r="S37" s="301"/>
      <c r="T37" s="301"/>
      <c r="U37" s="301"/>
      <c r="V37" s="301"/>
      <c r="W37" s="301"/>
      <c r="X37" s="301"/>
      <c r="Y37" s="301"/>
      <c r="Z37" s="301"/>
      <c r="AA37" s="301"/>
      <c r="AB37" s="301"/>
      <c r="AC37" s="75"/>
      <c r="AD37" s="75"/>
      <c r="AE37" s="75"/>
    </row>
    <row r="38" spans="1:31" ht="15" customHeight="1" x14ac:dyDescent="0.3">
      <c r="A38" s="75"/>
      <c r="B38" s="75"/>
      <c r="C38" s="303">
        <v>365</v>
      </c>
      <c r="D38" s="301" t="s">
        <v>3</v>
      </c>
      <c r="E38" s="301"/>
      <c r="F38" s="301"/>
      <c r="G38" s="301"/>
      <c r="H38" s="301"/>
      <c r="I38" s="75"/>
      <c r="J38" s="75"/>
      <c r="K38" s="302">
        <v>1050</v>
      </c>
      <c r="L38" s="301" t="s">
        <v>7</v>
      </c>
      <c r="M38" s="301"/>
      <c r="N38" s="301"/>
      <c r="O38" s="301"/>
      <c r="P38" s="301"/>
      <c r="Q38" s="312" t="s">
        <v>146</v>
      </c>
      <c r="R38" s="301"/>
      <c r="S38" s="301"/>
      <c r="T38" s="301"/>
      <c r="U38" s="301"/>
      <c r="V38" s="301"/>
      <c r="W38" s="301"/>
      <c r="X38" s="301"/>
      <c r="Y38" s="301"/>
      <c r="Z38" s="301"/>
      <c r="AA38" s="301"/>
      <c r="AB38" s="301"/>
      <c r="AC38" s="75"/>
      <c r="AD38" s="75"/>
      <c r="AE38" s="75"/>
    </row>
    <row r="39" spans="1:31" ht="15" customHeight="1" x14ac:dyDescent="0.3">
      <c r="A39" s="75"/>
      <c r="B39" s="75"/>
      <c r="C39" s="303">
        <v>24</v>
      </c>
      <c r="D39" s="301" t="s">
        <v>13</v>
      </c>
      <c r="E39" s="301"/>
      <c r="F39" s="301"/>
      <c r="G39" s="301"/>
      <c r="H39" s="301"/>
      <c r="I39" s="75"/>
      <c r="J39" s="75"/>
      <c r="K39" s="302"/>
      <c r="L39" s="301"/>
      <c r="M39" s="301"/>
      <c r="N39" s="301"/>
      <c r="O39" s="301"/>
      <c r="P39" s="301"/>
      <c r="Q39" s="554" t="s">
        <v>51</v>
      </c>
      <c r="R39" s="554"/>
      <c r="S39" s="554"/>
      <c r="T39" s="554"/>
      <c r="U39" s="554"/>
      <c r="V39" s="555"/>
      <c r="W39" s="313" t="s">
        <v>52</v>
      </c>
      <c r="X39" s="301"/>
      <c r="Y39" s="301"/>
      <c r="Z39" s="301"/>
      <c r="AA39" s="301"/>
      <c r="AB39" s="301"/>
      <c r="AC39" s="75"/>
      <c r="AD39" s="75"/>
      <c r="AE39" s="75"/>
    </row>
    <row r="40" spans="1:31" ht="15" customHeight="1" x14ac:dyDescent="0.3">
      <c r="A40" s="75"/>
      <c r="B40" s="75"/>
      <c r="C40" s="303">
        <v>60</v>
      </c>
      <c r="D40" s="301" t="s">
        <v>14</v>
      </c>
      <c r="E40" s="301"/>
      <c r="F40" s="301"/>
      <c r="G40" s="301"/>
      <c r="H40" s="301"/>
      <c r="I40" s="75"/>
      <c r="J40" s="75"/>
      <c r="K40" s="302">
        <v>11700</v>
      </c>
      <c r="L40" s="301" t="s">
        <v>9</v>
      </c>
      <c r="M40" s="301"/>
      <c r="N40" s="301"/>
      <c r="O40" s="301"/>
      <c r="P40" s="301"/>
      <c r="Q40" s="302"/>
      <c r="R40" s="301"/>
      <c r="S40" s="301"/>
      <c r="T40" s="301"/>
      <c r="U40" s="301"/>
      <c r="V40" s="301"/>
      <c r="W40" s="301"/>
      <c r="X40" s="301"/>
      <c r="Y40" s="301"/>
      <c r="Z40" s="301"/>
      <c r="AA40" s="301"/>
      <c r="AB40" s="301"/>
      <c r="AC40" s="75"/>
      <c r="AD40" s="75"/>
      <c r="AE40" s="75"/>
    </row>
    <row r="41" spans="1:31" ht="15" customHeight="1" x14ac:dyDescent="0.3">
      <c r="A41" s="75"/>
      <c r="B41" s="75"/>
      <c r="C41" s="305">
        <v>1000</v>
      </c>
      <c r="D41" s="301" t="s">
        <v>8</v>
      </c>
      <c r="E41" s="301"/>
      <c r="F41" s="301"/>
      <c r="G41" s="301"/>
      <c r="H41" s="301"/>
      <c r="I41" s="75"/>
      <c r="J41" s="75"/>
      <c r="K41" s="305">
        <v>3412</v>
      </c>
      <c r="L41" s="306" t="s">
        <v>88</v>
      </c>
      <c r="M41" s="301"/>
      <c r="N41" s="301"/>
      <c r="O41" s="301"/>
      <c r="P41" s="301"/>
      <c r="Q41" s="305"/>
      <c r="R41" s="301"/>
      <c r="S41" s="301"/>
      <c r="T41" s="301"/>
      <c r="U41" s="301"/>
      <c r="V41" s="301"/>
      <c r="W41" s="301"/>
      <c r="X41" s="301"/>
      <c r="Y41" s="301"/>
      <c r="Z41" s="301"/>
      <c r="AA41" s="301"/>
      <c r="AB41" s="301"/>
      <c r="AC41" s="75"/>
      <c r="AD41" s="75"/>
      <c r="AE41" s="75"/>
    </row>
    <row r="42" spans="1:31" ht="15" customHeight="1" x14ac:dyDescent="0.3">
      <c r="A42" s="75"/>
      <c r="B42" s="75"/>
      <c r="C42" s="305">
        <v>1000</v>
      </c>
      <c r="D42" s="306" t="s">
        <v>87</v>
      </c>
      <c r="E42" s="301"/>
      <c r="F42" s="301"/>
      <c r="G42" s="301"/>
      <c r="H42" s="301"/>
      <c r="I42" s="75"/>
      <c r="J42" s="75"/>
      <c r="K42" s="75"/>
      <c r="L42" s="75"/>
      <c r="M42" s="75"/>
      <c r="N42" s="75"/>
      <c r="O42" s="75"/>
      <c r="P42" s="75"/>
      <c r="Q42" s="75"/>
      <c r="R42" s="75"/>
      <c r="S42" s="75"/>
      <c r="T42" s="75"/>
      <c r="U42" s="75"/>
      <c r="V42" s="75"/>
      <c r="W42" s="75"/>
      <c r="X42" s="75"/>
      <c r="Y42" s="75"/>
      <c r="Z42" s="75"/>
      <c r="AA42" s="75"/>
      <c r="AB42" s="75"/>
      <c r="AC42" s="75"/>
      <c r="AD42" s="75"/>
      <c r="AE42" s="75"/>
    </row>
    <row r="43" spans="1:31" ht="15" customHeight="1" x14ac:dyDescent="0.3">
      <c r="A43" s="75"/>
      <c r="B43" s="75"/>
      <c r="C43" s="388">
        <v>947.8</v>
      </c>
      <c r="D43" s="306" t="s">
        <v>168</v>
      </c>
      <c r="E43" s="301"/>
      <c r="F43" s="301"/>
      <c r="G43" s="301"/>
      <c r="H43" s="301"/>
      <c r="I43" s="75"/>
      <c r="J43" s="75"/>
      <c r="K43" s="314" t="s">
        <v>18</v>
      </c>
      <c r="L43" s="314"/>
      <c r="M43" s="301"/>
      <c r="N43" s="301"/>
      <c r="O43" s="301"/>
      <c r="P43" s="301"/>
      <c r="Q43" s="301"/>
      <c r="R43" s="301"/>
      <c r="S43" s="301"/>
      <c r="T43" s="301"/>
      <c r="U43" s="301"/>
      <c r="V43" s="301"/>
      <c r="W43" s="301"/>
      <c r="X43" s="301"/>
      <c r="Y43" s="301"/>
      <c r="Z43" s="301"/>
      <c r="AA43" s="301"/>
      <c r="AB43" s="301"/>
      <c r="AC43" s="75"/>
      <c r="AD43" s="75"/>
      <c r="AE43" s="75"/>
    </row>
    <row r="44" spans="1:31" ht="15" customHeight="1" x14ac:dyDescent="0.35">
      <c r="A44" s="75"/>
      <c r="B44" s="75"/>
      <c r="C44" s="307">
        <v>3.6</v>
      </c>
      <c r="D44" s="306" t="s">
        <v>95</v>
      </c>
      <c r="E44" s="301"/>
      <c r="F44" s="301"/>
      <c r="G44" s="301"/>
      <c r="H44" s="301"/>
      <c r="I44" s="75"/>
      <c r="J44" s="75"/>
      <c r="K44" s="307" t="s">
        <v>35</v>
      </c>
      <c r="L44" s="307"/>
      <c r="M44" s="319" t="s">
        <v>147</v>
      </c>
      <c r="N44" s="301"/>
      <c r="O44" s="301"/>
      <c r="P44" s="301"/>
      <c r="Q44" s="301"/>
      <c r="R44" s="301"/>
      <c r="S44" s="312"/>
      <c r="T44" s="301"/>
      <c r="U44" s="301"/>
      <c r="V44" s="301"/>
      <c r="W44" s="301"/>
      <c r="X44" s="301"/>
      <c r="Y44" s="301"/>
      <c r="Z44" s="301"/>
      <c r="AA44" s="301"/>
      <c r="AB44" s="301"/>
      <c r="AC44" s="75"/>
      <c r="AD44" s="75"/>
      <c r="AE44" s="75"/>
    </row>
    <row r="45" spans="1:31" ht="15" customHeight="1" x14ac:dyDescent="0.3">
      <c r="A45" s="75"/>
      <c r="B45" s="75"/>
      <c r="C45" s="302">
        <v>2000</v>
      </c>
      <c r="D45" s="301" t="s">
        <v>5</v>
      </c>
      <c r="E45" s="301"/>
      <c r="F45" s="301"/>
      <c r="G45" s="301"/>
      <c r="H45" s="301"/>
      <c r="I45" s="75"/>
      <c r="J45" s="75"/>
      <c r="K45" s="315">
        <f>'CO2 Emission Factors'!F23/C41</f>
        <v>1.4294843324906141</v>
      </c>
      <c r="L45" s="315"/>
      <c r="M45" s="301" t="s">
        <v>97</v>
      </c>
      <c r="N45" s="301"/>
      <c r="O45" s="301"/>
      <c r="P45" s="301"/>
      <c r="Q45" s="301"/>
      <c r="R45" s="301"/>
      <c r="S45" s="312"/>
      <c r="T45" s="301"/>
      <c r="U45" s="301"/>
      <c r="V45" s="301"/>
      <c r="W45" s="301"/>
      <c r="X45" s="301"/>
      <c r="Y45" s="301"/>
      <c r="Z45" s="301"/>
      <c r="AA45" s="301"/>
      <c r="AB45" s="301"/>
      <c r="AC45" s="75"/>
      <c r="AD45" s="75"/>
      <c r="AE45" s="75"/>
    </row>
    <row r="46" spans="1:31" ht="15" customHeight="1" x14ac:dyDescent="0.3">
      <c r="A46" s="75"/>
      <c r="B46" s="75"/>
      <c r="C46" s="308">
        <v>0.90720000000000001</v>
      </c>
      <c r="D46" s="301" t="s">
        <v>2</v>
      </c>
      <c r="E46" s="301"/>
      <c r="F46" s="301"/>
      <c r="G46" s="301"/>
      <c r="H46" s="301"/>
      <c r="I46" s="75"/>
      <c r="J46" s="75"/>
      <c r="K46" s="316">
        <v>0.12085</v>
      </c>
      <c r="L46" s="316"/>
      <c r="M46" s="301" t="s">
        <v>10</v>
      </c>
      <c r="N46" s="301"/>
      <c r="O46" s="301"/>
      <c r="P46" s="301"/>
      <c r="Q46" s="301"/>
      <c r="R46" s="301"/>
      <c r="S46" s="312"/>
      <c r="T46" s="312"/>
      <c r="U46" s="312"/>
      <c r="V46" s="301"/>
      <c r="W46" s="365" t="s">
        <v>197</v>
      </c>
      <c r="X46" s="444" t="s">
        <v>85</v>
      </c>
      <c r="Y46" s="301"/>
      <c r="Z46" s="301"/>
      <c r="AA46" s="301"/>
      <c r="AB46" s="301"/>
      <c r="AC46" s="75"/>
      <c r="AD46" s="75"/>
      <c r="AE46" s="75"/>
    </row>
    <row r="47" spans="1:31" ht="15" customHeight="1" x14ac:dyDescent="0.3">
      <c r="A47" s="75"/>
      <c r="B47" s="75"/>
      <c r="C47" s="304">
        <v>1000000</v>
      </c>
      <c r="D47" s="301" t="s">
        <v>12</v>
      </c>
      <c r="E47" s="301"/>
      <c r="F47" s="301"/>
      <c r="G47" s="301"/>
      <c r="H47" s="301"/>
      <c r="I47" s="75"/>
      <c r="J47" s="75"/>
      <c r="K47" s="318">
        <v>163.5</v>
      </c>
      <c r="L47" s="318"/>
      <c r="M47" s="301" t="s">
        <v>58</v>
      </c>
      <c r="N47" s="301"/>
      <c r="O47" s="301"/>
      <c r="P47" s="301"/>
      <c r="Q47" s="301"/>
      <c r="R47" s="301"/>
      <c r="S47" s="312"/>
      <c r="T47" s="312"/>
      <c r="U47" s="312"/>
      <c r="V47" s="366" t="s">
        <v>197</v>
      </c>
      <c r="W47" s="444" t="s">
        <v>85</v>
      </c>
      <c r="X47" s="301"/>
      <c r="Y47" s="301"/>
      <c r="Z47" s="301"/>
      <c r="AA47" s="301"/>
      <c r="AB47" s="301"/>
      <c r="AC47" s="75"/>
      <c r="AD47" s="75"/>
      <c r="AE47" s="75"/>
    </row>
    <row r="48" spans="1:31" ht="15" customHeight="1" x14ac:dyDescent="0.3">
      <c r="A48" s="75"/>
      <c r="B48" s="75"/>
      <c r="C48" s="304">
        <v>1000000</v>
      </c>
      <c r="D48" s="301" t="s">
        <v>11</v>
      </c>
      <c r="E48" s="301"/>
      <c r="F48" s="301"/>
      <c r="G48" s="301"/>
      <c r="H48" s="301"/>
      <c r="I48" s="75"/>
      <c r="J48" s="75"/>
      <c r="K48" s="75"/>
      <c r="L48" s="75"/>
      <c r="M48" s="75"/>
      <c r="N48" s="75"/>
      <c r="O48" s="75"/>
      <c r="P48" s="253"/>
      <c r="Q48" s="253"/>
      <c r="R48" s="75"/>
      <c r="S48" s="75"/>
      <c r="T48" s="75"/>
      <c r="U48" s="75"/>
      <c r="V48" s="228"/>
      <c r="W48" s="75"/>
      <c r="X48" s="75"/>
      <c r="Y48" s="75"/>
      <c r="Z48" s="75"/>
      <c r="AA48" s="75"/>
      <c r="AB48" s="75"/>
      <c r="AC48" s="75"/>
      <c r="AD48" s="75"/>
      <c r="AE48" s="75"/>
    </row>
    <row r="49" spans="1:31" ht="15" customHeight="1" x14ac:dyDescent="0.3">
      <c r="A49" s="75"/>
      <c r="B49" s="75"/>
      <c r="C49" s="304">
        <v>1000000</v>
      </c>
      <c r="D49" s="301" t="s">
        <v>55</v>
      </c>
      <c r="E49" s="301"/>
      <c r="F49" s="301"/>
      <c r="G49" s="301"/>
      <c r="H49" s="301"/>
      <c r="I49" s="75"/>
      <c r="J49" s="75"/>
      <c r="K49" s="329" t="s">
        <v>24</v>
      </c>
      <c r="L49" s="329"/>
      <c r="M49" s="301"/>
      <c r="N49" s="301"/>
      <c r="O49" s="301"/>
      <c r="P49" s="301"/>
      <c r="Q49" s="301"/>
      <c r="R49" s="301"/>
      <c r="S49" s="301"/>
      <c r="T49" s="301"/>
      <c r="U49" s="301"/>
      <c r="V49" s="301"/>
      <c r="W49" s="301"/>
      <c r="X49" s="301"/>
      <c r="Y49" s="301"/>
      <c r="Z49" s="301"/>
      <c r="AA49" s="301"/>
      <c r="AB49" s="301"/>
      <c r="AC49" s="75"/>
      <c r="AD49" s="75"/>
      <c r="AE49" s="75"/>
    </row>
    <row r="50" spans="1:31" ht="15" customHeight="1" x14ac:dyDescent="0.3">
      <c r="A50" s="75"/>
      <c r="B50" s="75"/>
      <c r="C50" s="75"/>
      <c r="D50" s="75"/>
      <c r="E50" s="75"/>
      <c r="F50" s="75"/>
      <c r="G50" s="75"/>
      <c r="H50" s="75"/>
      <c r="I50" s="75"/>
      <c r="J50" s="75"/>
      <c r="K50" s="310">
        <v>0.93</v>
      </c>
      <c r="L50" s="310"/>
      <c r="M50" s="301" t="s">
        <v>22</v>
      </c>
      <c r="N50" s="301"/>
      <c r="O50" s="301"/>
      <c r="P50" s="301"/>
      <c r="Q50" s="317"/>
      <c r="R50" s="301"/>
      <c r="S50" s="301"/>
      <c r="T50" s="301"/>
      <c r="U50" s="301"/>
      <c r="V50" s="301"/>
      <c r="W50" s="301"/>
      <c r="X50" s="301"/>
      <c r="Y50" s="301"/>
      <c r="Z50" s="301"/>
      <c r="AA50" s="301"/>
      <c r="AB50" s="301"/>
      <c r="AC50" s="75"/>
      <c r="AD50" s="75"/>
      <c r="AE50" s="75"/>
    </row>
    <row r="51" spans="1:31" ht="15" customHeight="1" x14ac:dyDescent="0.3">
      <c r="A51" s="75"/>
      <c r="B51" s="75"/>
      <c r="C51" s="309" t="s">
        <v>16</v>
      </c>
      <c r="D51" s="301"/>
      <c r="E51" s="301"/>
      <c r="F51" s="301"/>
      <c r="G51" s="301"/>
      <c r="H51" s="301"/>
      <c r="I51" s="75"/>
      <c r="J51" s="75"/>
      <c r="K51" s="310">
        <v>0.85</v>
      </c>
      <c r="L51" s="310"/>
      <c r="M51" s="301" t="s">
        <v>23</v>
      </c>
      <c r="N51" s="301"/>
      <c r="O51" s="301"/>
      <c r="P51" s="301"/>
      <c r="Q51" s="301"/>
      <c r="R51" s="301"/>
      <c r="S51" s="301"/>
      <c r="T51" s="301"/>
      <c r="U51" s="301"/>
      <c r="V51" s="301"/>
      <c r="W51" s="301"/>
      <c r="X51" s="301"/>
      <c r="Y51" s="301"/>
      <c r="Z51" s="301"/>
      <c r="AA51" s="301"/>
      <c r="AB51" s="301"/>
      <c r="AC51" s="75"/>
      <c r="AD51" s="75"/>
      <c r="AE51" s="75"/>
    </row>
    <row r="52" spans="1:31" ht="15" customHeight="1" x14ac:dyDescent="0.3">
      <c r="A52" s="75"/>
      <c r="B52" s="75"/>
      <c r="C52" s="308">
        <v>4.2299999999999997E-2</v>
      </c>
      <c r="D52" s="301" t="s">
        <v>6</v>
      </c>
      <c r="E52" s="301"/>
      <c r="F52" s="301"/>
      <c r="G52" s="301"/>
      <c r="H52" s="301"/>
      <c r="I52" s="75"/>
      <c r="J52" s="75"/>
      <c r="K52" s="310">
        <v>0.91</v>
      </c>
      <c r="L52" s="310"/>
      <c r="M52" s="301" t="s">
        <v>27</v>
      </c>
      <c r="N52" s="301"/>
      <c r="O52" s="301"/>
      <c r="P52" s="301"/>
      <c r="Q52" s="301"/>
      <c r="R52" s="301"/>
      <c r="S52" s="330"/>
      <c r="T52" s="301"/>
      <c r="U52" s="301"/>
      <c r="V52" s="301"/>
      <c r="W52" s="301"/>
      <c r="X52" s="301"/>
      <c r="Y52" s="301"/>
      <c r="Z52" s="301"/>
      <c r="AA52" s="301"/>
      <c r="AB52" s="301"/>
      <c r="AC52" s="75"/>
      <c r="AD52" s="75"/>
      <c r="AE52" s="75"/>
    </row>
    <row r="53" spans="1:31" ht="15" customHeight="1" x14ac:dyDescent="0.3">
      <c r="A53" s="75"/>
      <c r="B53" s="75"/>
      <c r="C53" s="310">
        <v>0.5</v>
      </c>
      <c r="D53" s="301" t="s">
        <v>98</v>
      </c>
      <c r="E53" s="301"/>
      <c r="F53" s="301"/>
      <c r="G53" s="301"/>
      <c r="H53" s="301"/>
      <c r="I53" s="75"/>
      <c r="J53" s="75"/>
      <c r="K53" s="310">
        <v>0.9</v>
      </c>
      <c r="L53" s="310"/>
      <c r="M53" s="301" t="s">
        <v>99</v>
      </c>
      <c r="N53" s="301"/>
      <c r="O53" s="301"/>
      <c r="P53" s="301"/>
      <c r="Q53" s="301"/>
      <c r="R53" s="301"/>
      <c r="S53" s="301"/>
      <c r="T53" s="301"/>
      <c r="U53" s="301"/>
      <c r="V53" s="301"/>
      <c r="W53" s="301"/>
      <c r="X53" s="301"/>
      <c r="Y53" s="301"/>
      <c r="Z53" s="301"/>
      <c r="AA53" s="301"/>
      <c r="AB53" s="301"/>
      <c r="AC53" s="75"/>
      <c r="AD53" s="75"/>
      <c r="AE53" s="75"/>
    </row>
    <row r="54" spans="1:31" ht="15" customHeight="1" x14ac:dyDescent="0.3">
      <c r="A54" s="75"/>
      <c r="B54" s="75"/>
      <c r="C54" s="310"/>
      <c r="D54" s="301"/>
      <c r="E54" s="301"/>
      <c r="F54" s="301"/>
      <c r="G54" s="301"/>
      <c r="H54" s="301"/>
      <c r="I54" s="75"/>
      <c r="J54" s="75"/>
      <c r="K54" s="75"/>
      <c r="L54" s="75"/>
      <c r="M54" s="75"/>
      <c r="N54" s="75"/>
      <c r="O54" s="75"/>
      <c r="P54" s="75"/>
      <c r="Q54" s="75"/>
      <c r="R54" s="75"/>
      <c r="S54" s="75"/>
      <c r="T54" s="75"/>
      <c r="U54" s="75"/>
      <c r="V54" s="75"/>
      <c r="W54" s="75"/>
      <c r="X54" s="75"/>
      <c r="Y54" s="75"/>
      <c r="Z54" s="75"/>
      <c r="AA54" s="75"/>
      <c r="AB54" s="75"/>
      <c r="AC54" s="75"/>
      <c r="AD54" s="75"/>
      <c r="AE54" s="75"/>
    </row>
    <row r="55" spans="1:31" ht="15" customHeight="1" x14ac:dyDescent="0.3">
      <c r="A55" s="75"/>
      <c r="B55" s="75"/>
      <c r="C55" s="251"/>
      <c r="D55" s="75"/>
      <c r="E55" s="75"/>
      <c r="F55" s="75"/>
      <c r="G55" s="75"/>
      <c r="H55" s="75"/>
      <c r="I55" s="75"/>
      <c r="J55" s="75"/>
      <c r="K55" s="311" t="s">
        <v>100</v>
      </c>
      <c r="L55" s="311"/>
      <c r="M55" s="301"/>
      <c r="N55" s="301"/>
      <c r="O55" s="301"/>
      <c r="P55" s="301"/>
      <c r="Q55" s="301"/>
      <c r="R55" s="301"/>
      <c r="S55" s="301"/>
      <c r="T55" s="301"/>
      <c r="U55" s="301"/>
      <c r="V55" s="301"/>
      <c r="W55" s="301"/>
      <c r="X55" s="301"/>
      <c r="Y55" s="301"/>
      <c r="Z55" s="301"/>
      <c r="AA55" s="301"/>
      <c r="AB55" s="301"/>
      <c r="AC55" s="75"/>
      <c r="AD55" s="75"/>
      <c r="AE55" s="75"/>
    </row>
    <row r="56" spans="1:31" ht="15" customHeight="1" x14ac:dyDescent="0.3">
      <c r="A56" s="75"/>
      <c r="B56" s="75"/>
      <c r="C56" s="314" t="s">
        <v>84</v>
      </c>
      <c r="D56" s="300"/>
      <c r="E56" s="301"/>
      <c r="F56" s="301"/>
      <c r="G56" s="301"/>
      <c r="H56" s="301"/>
      <c r="I56" s="75"/>
      <c r="J56" s="75"/>
      <c r="K56" s="307">
        <f>0.01+0.01</f>
        <v>0.02</v>
      </c>
      <c r="L56" s="307"/>
      <c r="M56" s="306" t="s">
        <v>171</v>
      </c>
      <c r="N56" s="301"/>
      <c r="O56" s="301"/>
      <c r="P56" s="301"/>
      <c r="Q56" s="301"/>
      <c r="R56" s="301"/>
      <c r="S56" s="335"/>
      <c r="T56" s="335"/>
      <c r="U56" s="335"/>
      <c r="V56" s="550" t="s">
        <v>89</v>
      </c>
      <c r="W56" s="550"/>
      <c r="X56" s="550"/>
      <c r="Y56" s="550"/>
      <c r="Z56" s="550"/>
      <c r="AA56" s="550"/>
      <c r="AB56" s="550"/>
      <c r="AC56" s="75"/>
      <c r="AD56" s="75"/>
      <c r="AE56" s="75"/>
    </row>
    <row r="57" spans="1:31" ht="15" customHeight="1" x14ac:dyDescent="0.3">
      <c r="A57" s="75"/>
      <c r="B57" s="75"/>
      <c r="C57" s="328">
        <v>28</v>
      </c>
      <c r="D57" s="552" t="s">
        <v>154</v>
      </c>
      <c r="E57" s="552"/>
      <c r="F57" s="552"/>
      <c r="G57" s="552"/>
      <c r="H57" s="552"/>
      <c r="I57" s="241"/>
      <c r="J57" s="242"/>
      <c r="K57" s="307">
        <f>0.03+0.03</f>
        <v>0.06</v>
      </c>
      <c r="L57" s="307"/>
      <c r="M57" s="306" t="s">
        <v>169</v>
      </c>
      <c r="N57" s="301"/>
      <c r="O57" s="301"/>
      <c r="P57" s="301"/>
      <c r="Q57" s="301"/>
      <c r="R57" s="301"/>
      <c r="S57" s="335"/>
      <c r="T57" s="335"/>
      <c r="U57" s="301"/>
      <c r="V57" s="550"/>
      <c r="W57" s="550"/>
      <c r="X57" s="550"/>
      <c r="Y57" s="550"/>
      <c r="Z57" s="550"/>
      <c r="AA57" s="550"/>
      <c r="AB57" s="550"/>
      <c r="AC57" s="75"/>
      <c r="AD57" s="75"/>
      <c r="AE57" s="75"/>
    </row>
    <row r="58" spans="1:31" ht="15" customHeight="1" x14ac:dyDescent="0.3">
      <c r="A58" s="75"/>
      <c r="B58" s="75"/>
      <c r="C58" s="301"/>
      <c r="D58" s="552"/>
      <c r="E58" s="552"/>
      <c r="F58" s="552"/>
      <c r="G58" s="552"/>
      <c r="H58" s="552"/>
      <c r="I58" s="241"/>
      <c r="J58" s="242"/>
      <c r="K58" s="307">
        <v>1.6E-2</v>
      </c>
      <c r="L58" s="307"/>
      <c r="M58" s="306" t="s">
        <v>170</v>
      </c>
      <c r="N58" s="301"/>
      <c r="O58" s="301"/>
      <c r="P58" s="334"/>
      <c r="Q58" s="301"/>
      <c r="R58" s="301"/>
      <c r="S58" s="320"/>
      <c r="T58" s="301"/>
      <c r="U58" s="320"/>
      <c r="V58" s="444" t="s">
        <v>86</v>
      </c>
      <c r="W58" s="335"/>
      <c r="X58" s="335"/>
      <c r="Y58" s="301"/>
      <c r="Z58" s="301"/>
      <c r="AA58" s="301"/>
      <c r="AB58" s="301"/>
      <c r="AC58" s="75"/>
      <c r="AD58" s="75"/>
      <c r="AE58" s="75"/>
    </row>
    <row r="59" spans="1:31" ht="15" customHeight="1" x14ac:dyDescent="0.3">
      <c r="A59" s="75"/>
      <c r="B59" s="75"/>
      <c r="C59" s="301"/>
      <c r="D59" s="552"/>
      <c r="E59" s="552"/>
      <c r="F59" s="552"/>
      <c r="G59" s="552"/>
      <c r="H59" s="552"/>
      <c r="I59" s="241"/>
      <c r="J59" s="75"/>
      <c r="K59" s="307"/>
      <c r="L59" s="307"/>
      <c r="M59" s="306"/>
      <c r="N59" s="301"/>
      <c r="O59" s="301"/>
      <c r="P59" s="334"/>
      <c r="Q59" s="301"/>
      <c r="R59" s="301"/>
      <c r="S59" s="320"/>
      <c r="T59" s="301"/>
      <c r="U59" s="335"/>
      <c r="V59" s="335"/>
      <c r="W59" s="335"/>
      <c r="X59" s="335"/>
      <c r="Y59" s="301"/>
      <c r="Z59" s="301"/>
      <c r="AA59" s="301"/>
      <c r="AB59" s="301"/>
      <c r="AC59" s="75"/>
      <c r="AD59" s="75"/>
      <c r="AE59" s="75"/>
    </row>
    <row r="60" spans="1:31" ht="15" customHeight="1" x14ac:dyDescent="0.3">
      <c r="A60" s="75"/>
      <c r="B60" s="75"/>
      <c r="C60" s="75"/>
      <c r="D60" s="75"/>
      <c r="E60" s="242"/>
      <c r="F60" s="242"/>
      <c r="G60" s="242"/>
      <c r="H60" s="242"/>
      <c r="I60" s="242"/>
      <c r="J60" s="242"/>
      <c r="K60" s="75"/>
      <c r="L60" s="75"/>
      <c r="M60" s="75"/>
      <c r="N60" s="75"/>
      <c r="O60" s="75"/>
      <c r="P60" s="75"/>
      <c r="Q60" s="75"/>
      <c r="R60" s="75"/>
      <c r="S60" s="75"/>
      <c r="T60" s="75"/>
      <c r="U60" s="75"/>
      <c r="V60" s="75"/>
      <c r="W60" s="75"/>
      <c r="X60" s="75"/>
      <c r="Y60" s="75"/>
      <c r="Z60" s="75"/>
      <c r="AA60" s="75"/>
      <c r="AB60" s="75"/>
      <c r="AC60" s="75"/>
      <c r="AD60" s="75"/>
      <c r="AE60" s="75"/>
    </row>
    <row r="61" spans="1:31" ht="11.25" customHeight="1" x14ac:dyDescent="0.3">
      <c r="A61" s="75"/>
      <c r="B61" s="336"/>
      <c r="C61" s="336"/>
      <c r="D61" s="336"/>
      <c r="E61" s="337"/>
      <c r="F61" s="337"/>
      <c r="G61" s="337"/>
      <c r="H61" s="337"/>
      <c r="I61" s="337"/>
      <c r="J61" s="242"/>
      <c r="K61" s="75"/>
      <c r="L61" s="75"/>
      <c r="M61" s="75"/>
      <c r="N61" s="75"/>
      <c r="O61" s="75"/>
      <c r="P61" s="75"/>
      <c r="Q61" s="75"/>
      <c r="R61" s="75"/>
      <c r="S61" s="75"/>
      <c r="T61" s="75"/>
      <c r="U61" s="75"/>
      <c r="V61" s="75"/>
      <c r="W61" s="75"/>
      <c r="X61" s="75"/>
      <c r="Y61" s="75"/>
      <c r="Z61" s="75"/>
      <c r="AA61" s="75"/>
      <c r="AB61" s="75"/>
      <c r="AC61" s="75"/>
      <c r="AD61" s="75"/>
      <c r="AE61" s="75"/>
    </row>
    <row r="62" spans="1:31" ht="15" customHeight="1" x14ac:dyDescent="0.3">
      <c r="A62" s="75"/>
      <c r="B62" s="336"/>
      <c r="C62" s="556" t="s">
        <v>59</v>
      </c>
      <c r="D62" s="556"/>
      <c r="E62" s="556"/>
      <c r="F62" s="556"/>
      <c r="G62" s="556"/>
      <c r="H62" s="556"/>
      <c r="I62" s="338"/>
      <c r="J62" s="285"/>
      <c r="K62" s="79"/>
      <c r="L62" s="79"/>
      <c r="M62" s="74"/>
      <c r="N62" s="75"/>
      <c r="O62" s="75"/>
      <c r="P62" s="230"/>
      <c r="Q62" s="75"/>
      <c r="R62" s="75"/>
      <c r="S62" s="75"/>
      <c r="T62" s="75"/>
      <c r="U62" s="229"/>
      <c r="V62" s="229"/>
      <c r="W62" s="229"/>
      <c r="X62" s="229"/>
      <c r="Y62" s="75"/>
      <c r="Z62" s="75"/>
      <c r="AA62" s="75"/>
      <c r="AB62" s="75"/>
      <c r="AC62" s="75"/>
      <c r="AD62" s="75"/>
      <c r="AE62" s="75"/>
    </row>
    <row r="63" spans="1:31" ht="15" customHeight="1" x14ac:dyDescent="0.3">
      <c r="A63" s="75"/>
      <c r="B63" s="336"/>
      <c r="C63" s="556"/>
      <c r="D63" s="556"/>
      <c r="E63" s="556"/>
      <c r="F63" s="556"/>
      <c r="G63" s="556"/>
      <c r="H63" s="556"/>
      <c r="I63" s="338"/>
      <c r="J63" s="285"/>
      <c r="K63" s="75"/>
      <c r="L63" s="75"/>
      <c r="M63" s="75"/>
      <c r="N63" s="75"/>
      <c r="O63" s="75"/>
      <c r="P63" s="75"/>
      <c r="Q63" s="75"/>
      <c r="R63" s="75"/>
      <c r="S63" s="75"/>
      <c r="T63" s="75"/>
      <c r="U63" s="75"/>
      <c r="V63" s="75"/>
      <c r="W63" s="75"/>
      <c r="X63" s="75"/>
      <c r="Y63" s="75"/>
      <c r="Z63" s="75"/>
      <c r="AA63" s="75"/>
      <c r="AB63" s="75"/>
      <c r="AC63" s="75"/>
      <c r="AD63" s="75"/>
      <c r="AE63" s="75"/>
    </row>
    <row r="64" spans="1:31" ht="15" customHeight="1" x14ac:dyDescent="0.3">
      <c r="A64" s="75"/>
      <c r="B64" s="336"/>
      <c r="C64" s="557" t="s">
        <v>60</v>
      </c>
      <c r="D64" s="557"/>
      <c r="E64" s="557"/>
      <c r="F64" s="557"/>
      <c r="G64" s="553" t="s">
        <v>61</v>
      </c>
      <c r="H64" s="553"/>
      <c r="I64" s="339"/>
      <c r="J64" s="299"/>
      <c r="K64" s="75"/>
      <c r="L64" s="75"/>
      <c r="M64" s="75"/>
      <c r="N64" s="75"/>
      <c r="O64" s="75"/>
      <c r="P64" s="75"/>
      <c r="Q64" s="75"/>
      <c r="R64" s="75"/>
      <c r="S64" s="75"/>
      <c r="T64" s="75"/>
      <c r="U64" s="75"/>
      <c r="V64" s="75"/>
      <c r="W64" s="75"/>
      <c r="X64" s="75"/>
      <c r="Y64" s="75"/>
      <c r="Z64" s="75"/>
      <c r="AA64" s="75"/>
      <c r="AB64" s="75"/>
      <c r="AC64" s="75"/>
      <c r="AD64" s="75"/>
      <c r="AE64" s="75"/>
    </row>
    <row r="65" spans="1:31" ht="15" customHeight="1" x14ac:dyDescent="0.3">
      <c r="A65" s="75"/>
      <c r="B65" s="336"/>
      <c r="C65" s="558" t="s">
        <v>62</v>
      </c>
      <c r="D65" s="558"/>
      <c r="E65" s="558"/>
      <c r="F65" s="558"/>
      <c r="G65" s="543" t="s">
        <v>69</v>
      </c>
      <c r="H65" s="543"/>
      <c r="I65" s="340"/>
      <c r="J65" s="75"/>
      <c r="K65" s="75"/>
      <c r="L65" s="75"/>
      <c r="M65" s="75"/>
      <c r="N65" s="75"/>
      <c r="O65" s="75"/>
      <c r="P65" s="75"/>
      <c r="Q65" s="75"/>
      <c r="R65" s="75"/>
      <c r="S65" s="75"/>
      <c r="T65" s="75"/>
      <c r="U65" s="75"/>
      <c r="V65" s="75"/>
      <c r="W65" s="75"/>
      <c r="X65" s="75"/>
      <c r="Y65" s="75"/>
      <c r="Z65" s="75"/>
      <c r="AA65" s="75"/>
      <c r="AB65" s="75"/>
      <c r="AC65" s="75"/>
      <c r="AD65" s="75"/>
      <c r="AE65" s="75"/>
    </row>
    <row r="66" spans="1:31" ht="15" customHeight="1" x14ac:dyDescent="0.3">
      <c r="A66" s="75"/>
      <c r="B66" s="336"/>
      <c r="C66" s="558" t="s">
        <v>63</v>
      </c>
      <c r="D66" s="558"/>
      <c r="E66" s="558"/>
      <c r="F66" s="558"/>
      <c r="G66" s="543" t="s">
        <v>70</v>
      </c>
      <c r="H66" s="543"/>
      <c r="I66" s="340"/>
      <c r="J66" s="75"/>
      <c r="K66" s="75"/>
      <c r="L66" s="75"/>
      <c r="M66" s="75"/>
      <c r="N66" s="75"/>
      <c r="O66" s="75"/>
      <c r="P66" s="75"/>
      <c r="Q66" s="75"/>
      <c r="R66" s="75"/>
      <c r="S66" s="75"/>
      <c r="T66" s="75"/>
      <c r="U66" s="75"/>
      <c r="V66" s="75"/>
      <c r="W66" s="75"/>
      <c r="X66" s="75"/>
      <c r="Y66" s="75"/>
      <c r="Z66" s="75"/>
      <c r="AA66" s="75"/>
      <c r="AB66" s="75"/>
      <c r="AC66" s="75"/>
      <c r="AD66" s="75"/>
      <c r="AE66" s="75"/>
    </row>
    <row r="67" spans="1:31" ht="15" customHeight="1" x14ac:dyDescent="0.3">
      <c r="A67" s="75"/>
      <c r="B67" s="336"/>
      <c r="C67" s="558" t="s">
        <v>64</v>
      </c>
      <c r="D67" s="558"/>
      <c r="E67" s="558"/>
      <c r="F67" s="558"/>
      <c r="G67" s="543" t="s">
        <v>71</v>
      </c>
      <c r="H67" s="543"/>
      <c r="I67" s="340"/>
      <c r="J67" s="75"/>
      <c r="K67" s="75"/>
      <c r="L67" s="75"/>
      <c r="M67" s="75"/>
      <c r="N67" s="75"/>
      <c r="O67" s="75"/>
      <c r="P67" s="75"/>
      <c r="Q67" s="75"/>
      <c r="R67" s="75"/>
      <c r="S67" s="75"/>
      <c r="T67" s="75"/>
      <c r="U67" s="75"/>
      <c r="V67" s="75"/>
      <c r="W67" s="75"/>
      <c r="X67" s="75"/>
      <c r="Y67" s="75"/>
      <c r="Z67" s="75"/>
      <c r="AA67" s="75"/>
      <c r="AB67" s="75"/>
      <c r="AC67" s="75"/>
      <c r="AD67" s="75"/>
      <c r="AE67" s="75"/>
    </row>
    <row r="68" spans="1:31" ht="15" customHeight="1" x14ac:dyDescent="0.3">
      <c r="A68" s="75"/>
      <c r="B68" s="336"/>
      <c r="C68" s="301" t="s">
        <v>65</v>
      </c>
      <c r="D68" s="301"/>
      <c r="E68" s="301"/>
      <c r="F68" s="301"/>
      <c r="G68" s="543"/>
      <c r="H68" s="543"/>
      <c r="I68" s="340"/>
      <c r="J68" s="75"/>
      <c r="K68" s="75"/>
      <c r="L68" s="75"/>
      <c r="M68" s="75"/>
      <c r="N68" s="75"/>
      <c r="O68" s="75"/>
      <c r="P68" s="75"/>
      <c r="Q68" s="75"/>
      <c r="R68" s="75"/>
      <c r="S68" s="75"/>
      <c r="T68" s="75"/>
      <c r="U68" s="75"/>
      <c r="V68" s="75"/>
      <c r="W68" s="75"/>
      <c r="X68" s="75"/>
      <c r="Y68" s="75"/>
      <c r="Z68" s="75"/>
      <c r="AA68" s="75"/>
      <c r="AB68" s="75"/>
      <c r="AC68" s="75"/>
      <c r="AD68" s="75"/>
      <c r="AE68" s="75"/>
    </row>
    <row r="69" spans="1:31" ht="15" customHeight="1" x14ac:dyDescent="0.3">
      <c r="A69" s="75"/>
      <c r="B69" s="336"/>
      <c r="C69" s="333" t="s">
        <v>66</v>
      </c>
      <c r="D69" s="301"/>
      <c r="E69" s="301"/>
      <c r="F69" s="301"/>
      <c r="G69" s="543" t="s">
        <v>72</v>
      </c>
      <c r="H69" s="543"/>
      <c r="I69" s="340"/>
      <c r="J69" s="75"/>
      <c r="K69" s="75"/>
      <c r="L69" s="75"/>
      <c r="M69" s="75"/>
      <c r="N69" s="75"/>
      <c r="O69" s="75"/>
      <c r="P69" s="75"/>
      <c r="Q69" s="75"/>
      <c r="R69" s="75"/>
      <c r="S69" s="75"/>
      <c r="T69" s="75"/>
      <c r="U69" s="75"/>
      <c r="V69" s="75"/>
      <c r="W69" s="75"/>
      <c r="X69" s="75"/>
      <c r="Y69" s="75"/>
      <c r="Z69" s="75"/>
      <c r="AA69" s="75"/>
      <c r="AB69" s="75"/>
      <c r="AC69" s="75"/>
      <c r="AD69" s="75"/>
      <c r="AE69" s="75"/>
    </row>
    <row r="70" spans="1:31" ht="15" customHeight="1" x14ac:dyDescent="0.3">
      <c r="A70" s="75"/>
      <c r="B70" s="336"/>
      <c r="C70" s="333" t="s">
        <v>67</v>
      </c>
      <c r="D70" s="301"/>
      <c r="E70" s="301"/>
      <c r="F70" s="301"/>
      <c r="G70" s="543" t="s">
        <v>148</v>
      </c>
      <c r="H70" s="543"/>
      <c r="I70" s="340"/>
      <c r="J70" s="75"/>
      <c r="K70" s="75"/>
      <c r="L70" s="75"/>
      <c r="M70" s="75"/>
      <c r="N70" s="75"/>
      <c r="O70" s="75"/>
      <c r="P70" s="232"/>
      <c r="Q70" s="232"/>
      <c r="R70" s="75"/>
      <c r="S70" s="75"/>
      <c r="T70" s="75"/>
      <c r="U70" s="75"/>
      <c r="V70" s="75"/>
      <c r="W70" s="75"/>
      <c r="X70" s="75"/>
      <c r="Y70" s="75"/>
      <c r="Z70" s="75"/>
      <c r="AA70" s="75"/>
      <c r="AB70" s="75"/>
      <c r="AC70" s="75"/>
      <c r="AD70" s="75"/>
      <c r="AE70" s="75"/>
    </row>
    <row r="71" spans="1:31" ht="15" customHeight="1" x14ac:dyDescent="0.3">
      <c r="A71" s="75"/>
      <c r="B71" s="336"/>
      <c r="C71" s="332" t="s">
        <v>68</v>
      </c>
      <c r="D71" s="332"/>
      <c r="E71" s="332"/>
      <c r="F71" s="332"/>
      <c r="G71" s="551" t="s">
        <v>148</v>
      </c>
      <c r="H71" s="551"/>
      <c r="I71" s="340"/>
      <c r="J71" s="75"/>
      <c r="K71" s="75"/>
      <c r="L71" s="75"/>
      <c r="M71" s="75"/>
      <c r="N71" s="75"/>
      <c r="O71" s="75"/>
      <c r="P71" s="75"/>
      <c r="Q71" s="75"/>
      <c r="R71" s="75"/>
      <c r="S71" s="75"/>
      <c r="T71" s="75"/>
      <c r="U71" s="75"/>
      <c r="V71" s="75"/>
      <c r="W71" s="75"/>
      <c r="X71" s="75"/>
      <c r="Y71" s="75"/>
      <c r="Z71" s="75"/>
      <c r="AA71" s="75"/>
      <c r="AB71" s="75"/>
      <c r="AC71" s="75"/>
      <c r="AD71" s="75"/>
      <c r="AE71" s="75"/>
    </row>
    <row r="72" spans="1:31" ht="7.5" customHeight="1" x14ac:dyDescent="0.3">
      <c r="A72" s="75"/>
      <c r="B72" s="336"/>
      <c r="C72" s="301"/>
      <c r="D72" s="301"/>
      <c r="E72" s="301"/>
      <c r="F72" s="301"/>
      <c r="G72" s="331"/>
      <c r="H72" s="331"/>
      <c r="I72" s="340"/>
      <c r="J72" s="75"/>
      <c r="K72" s="75"/>
      <c r="L72" s="75"/>
      <c r="M72" s="75"/>
      <c r="N72" s="75"/>
      <c r="O72" s="75"/>
      <c r="P72" s="75"/>
      <c r="Q72" s="75"/>
      <c r="R72" s="75"/>
      <c r="S72" s="75"/>
      <c r="T72" s="75"/>
      <c r="U72" s="75"/>
      <c r="V72" s="75"/>
      <c r="W72" s="75"/>
      <c r="X72" s="75"/>
      <c r="Y72" s="75"/>
      <c r="Z72" s="75"/>
      <c r="AA72" s="75"/>
      <c r="AB72" s="75"/>
      <c r="AC72" s="75"/>
      <c r="AD72" s="75"/>
      <c r="AE72" s="75"/>
    </row>
    <row r="73" spans="1:31" ht="20.25" customHeight="1" x14ac:dyDescent="0.3">
      <c r="A73" s="75"/>
      <c r="B73" s="336"/>
      <c r="C73" s="546" t="s">
        <v>195</v>
      </c>
      <c r="D73" s="546"/>
      <c r="E73" s="546"/>
      <c r="F73" s="546"/>
      <c r="G73" s="546"/>
      <c r="H73" s="546"/>
      <c r="I73" s="341"/>
      <c r="J73" s="75"/>
      <c r="K73" s="75"/>
      <c r="L73" s="75"/>
      <c r="M73" s="75"/>
      <c r="N73" s="75"/>
      <c r="O73" s="75"/>
      <c r="P73" s="75"/>
      <c r="Q73" s="75"/>
      <c r="R73" s="75"/>
      <c r="S73" s="75"/>
      <c r="T73" s="75"/>
      <c r="U73" s="75"/>
      <c r="V73" s="75"/>
      <c r="W73" s="75"/>
      <c r="X73" s="75"/>
      <c r="Y73" s="75"/>
      <c r="Z73" s="75"/>
      <c r="AA73" s="75"/>
      <c r="AB73" s="75"/>
      <c r="AC73" s="75"/>
      <c r="AD73" s="75"/>
      <c r="AE73" s="75"/>
    </row>
    <row r="74" spans="1:31" ht="15" customHeight="1" x14ac:dyDescent="0.3">
      <c r="A74" s="75"/>
      <c r="B74" s="336"/>
      <c r="C74" s="544" t="s">
        <v>196</v>
      </c>
      <c r="D74" s="545"/>
      <c r="E74" s="545"/>
      <c r="F74" s="545"/>
      <c r="G74" s="545"/>
      <c r="H74" s="545"/>
      <c r="I74" s="341"/>
      <c r="J74" s="75"/>
      <c r="K74" s="75"/>
      <c r="L74" s="75"/>
      <c r="M74" s="75"/>
      <c r="N74" s="75"/>
      <c r="O74" s="75"/>
      <c r="P74" s="75"/>
      <c r="Q74" s="75"/>
      <c r="R74" s="75"/>
      <c r="S74" s="75"/>
      <c r="T74" s="75"/>
      <c r="U74" s="75"/>
      <c r="V74" s="75"/>
      <c r="W74" s="75"/>
      <c r="X74" s="75"/>
      <c r="Y74" s="75"/>
      <c r="Z74" s="75"/>
      <c r="AA74" s="75"/>
      <c r="AB74" s="75"/>
      <c r="AC74" s="75"/>
      <c r="AD74" s="75"/>
      <c r="AE74" s="75"/>
    </row>
    <row r="75" spans="1:31" ht="10.5" customHeight="1" x14ac:dyDescent="0.3">
      <c r="A75" s="75"/>
      <c r="B75" s="336"/>
      <c r="C75" s="342"/>
      <c r="D75" s="336"/>
      <c r="E75" s="336"/>
      <c r="F75" s="336"/>
      <c r="G75" s="336"/>
      <c r="H75" s="336"/>
      <c r="I75" s="336"/>
      <c r="J75" s="75"/>
      <c r="K75" s="75"/>
      <c r="L75" s="75"/>
      <c r="M75" s="75"/>
      <c r="N75" s="75"/>
      <c r="O75" s="75"/>
      <c r="P75" s="75"/>
      <c r="Q75" s="75"/>
      <c r="R75" s="75"/>
      <c r="S75" s="75"/>
      <c r="T75" s="75"/>
      <c r="U75" s="75"/>
      <c r="V75" s="75"/>
      <c r="W75" s="75"/>
      <c r="X75" s="75"/>
      <c r="Y75" s="75"/>
      <c r="Z75" s="75"/>
      <c r="AA75" s="75"/>
      <c r="AB75" s="75"/>
      <c r="AC75" s="75"/>
      <c r="AD75" s="75"/>
      <c r="AE75" s="75"/>
    </row>
    <row r="76" spans="1:31" ht="15" customHeight="1" x14ac:dyDescent="0.3">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row>
    <row r="77" spans="1:31" ht="15" customHeight="1" x14ac:dyDescent="0.3"/>
    <row r="78" spans="1:31" ht="15" customHeight="1" x14ac:dyDescent="0.3"/>
    <row r="79" spans="1:31" ht="15" customHeight="1" x14ac:dyDescent="0.3"/>
    <row r="80" spans="1:31" ht="15" customHeight="1" x14ac:dyDescent="0.3"/>
    <row r="81" spans="3:19" ht="15" customHeight="1" x14ac:dyDescent="0.3"/>
    <row r="82" spans="3:19" x14ac:dyDescent="0.3">
      <c r="L82" s="234"/>
      <c r="M82" s="234"/>
      <c r="N82" s="234"/>
      <c r="O82" s="234"/>
      <c r="P82" s="234"/>
    </row>
    <row r="83" spans="3:19" ht="15" customHeight="1" x14ac:dyDescent="0.3">
      <c r="K83" s="234"/>
      <c r="L83" s="234"/>
      <c r="M83" s="234"/>
      <c r="N83" s="234"/>
      <c r="O83" s="234"/>
      <c r="P83" s="234"/>
    </row>
    <row r="84" spans="3:19" ht="15" customHeight="1" x14ac:dyDescent="0.3">
      <c r="K84" s="234"/>
      <c r="L84" s="234"/>
      <c r="M84" s="234"/>
      <c r="N84" s="234"/>
      <c r="O84" s="234"/>
      <c r="P84" s="234"/>
    </row>
    <row r="85" spans="3:19" ht="15" customHeight="1" x14ac:dyDescent="0.3">
      <c r="K85" s="234"/>
    </row>
    <row r="86" spans="3:19" ht="15" customHeight="1" x14ac:dyDescent="0.3"/>
    <row r="87" spans="3:19" ht="15" customHeight="1" x14ac:dyDescent="0.3">
      <c r="C87" s="233"/>
      <c r="D87" s="234"/>
      <c r="E87" s="234"/>
      <c r="F87" s="234"/>
      <c r="G87" s="234"/>
      <c r="H87" s="234"/>
      <c r="I87" s="234"/>
      <c r="J87" s="234"/>
    </row>
    <row r="88" spans="3:19" ht="15" customHeight="1" x14ac:dyDescent="0.3">
      <c r="C88" s="234"/>
      <c r="D88" s="234"/>
      <c r="E88" s="234"/>
      <c r="F88" s="234"/>
      <c r="G88" s="234"/>
      <c r="H88" s="234"/>
      <c r="I88" s="234"/>
      <c r="J88" s="234"/>
    </row>
    <row r="89" spans="3:19" ht="15" customHeight="1" x14ac:dyDescent="0.3">
      <c r="C89" s="234"/>
      <c r="D89" s="234"/>
      <c r="E89" s="234"/>
      <c r="F89" s="234"/>
      <c r="G89" s="234"/>
      <c r="H89" s="234"/>
      <c r="I89" s="234"/>
      <c r="J89" s="234"/>
    </row>
    <row r="90" spans="3:19" ht="15" customHeight="1" x14ac:dyDescent="0.3">
      <c r="C90" s="235"/>
    </row>
    <row r="94" spans="3:19" x14ac:dyDescent="0.3">
      <c r="Q94" s="236"/>
      <c r="R94" s="236"/>
      <c r="S94" s="236"/>
    </row>
    <row r="95" spans="3:19" x14ac:dyDescent="0.3">
      <c r="Q95" s="236"/>
      <c r="R95" s="236"/>
      <c r="S95" s="236"/>
    </row>
    <row r="96" spans="3:19" x14ac:dyDescent="0.3">
      <c r="Q96" s="236"/>
      <c r="R96" s="236"/>
      <c r="S96" s="236"/>
    </row>
    <row r="97" spans="17:20" x14ac:dyDescent="0.3">
      <c r="Q97" s="236"/>
      <c r="R97" s="236"/>
      <c r="S97" s="237"/>
    </row>
    <row r="98" spans="17:20" x14ac:dyDescent="0.3">
      <c r="Q98" s="236"/>
      <c r="R98" s="236"/>
      <c r="S98" s="236"/>
      <c r="T98" s="236"/>
    </row>
  </sheetData>
  <sheetProtection algorithmName="SHA-512" hashValue="XUynYHdaoCwYdySeRV9Ltkdo9nIYJa1XGUM6QMjWPpxH1ZaU0fFuLGEbDbwpTbuHPKOIn064Q7KYuA1LI/vBLA==" saltValue="kU7Up1uYLIiJXhW5eX1liw==" spinCount="100000" sheet="1" objects="1" scenarios="1"/>
  <mergeCells count="27">
    <mergeCell ref="G67:H67"/>
    <mergeCell ref="C62:H63"/>
    <mergeCell ref="C64:F64"/>
    <mergeCell ref="C65:F65"/>
    <mergeCell ref="C66:F66"/>
    <mergeCell ref="C67:F67"/>
    <mergeCell ref="G68:H68"/>
    <mergeCell ref="C74:H74"/>
    <mergeCell ref="C73:H73"/>
    <mergeCell ref="S18:AC21"/>
    <mergeCell ref="S24:AC26"/>
    <mergeCell ref="C21:O24"/>
    <mergeCell ref="C27:O31"/>
    <mergeCell ref="V56:AB57"/>
    <mergeCell ref="G69:H69"/>
    <mergeCell ref="G70:H70"/>
    <mergeCell ref="G71:H71"/>
    <mergeCell ref="D57:H59"/>
    <mergeCell ref="G64:H64"/>
    <mergeCell ref="G65:H65"/>
    <mergeCell ref="G66:H66"/>
    <mergeCell ref="Q39:V39"/>
    <mergeCell ref="A1:AE1"/>
    <mergeCell ref="C14:O15"/>
    <mergeCell ref="S9:AC10"/>
    <mergeCell ref="S13:AC15"/>
    <mergeCell ref="C9:O11"/>
  </mergeCells>
  <phoneticPr fontId="6" type="noConversion"/>
  <hyperlinks>
    <hyperlink ref="Q39" r:id="rId1" xr:uid="{643F491B-42EF-4AF6-BDD8-6B137A2188AC}"/>
    <hyperlink ref="X46" r:id="rId2" xr:uid="{AB272E99-1A5F-4C79-A603-6643D5B2E838}"/>
    <hyperlink ref="W47" r:id="rId3" xr:uid="{2C41766F-AF84-4055-85BC-80600FAE85C5}"/>
    <hyperlink ref="V58" r:id="rId4" xr:uid="{26D3A653-0E51-43A7-A037-BEFD6874F4ED}"/>
    <hyperlink ref="C74" r:id="rId5" xr:uid="{909E99C4-2E3B-4316-B516-34A65A5540BA}"/>
  </hyperlinks>
  <printOptions horizontalCentered="1"/>
  <pageMargins left="0.2" right="0.2" top="0.8" bottom="0.8" header="0.5" footer="0.5"/>
  <pageSetup paperSize="5" scale="68" firstPageNumber="4" orientation="landscape" useFirstPageNumber="1" horizontalDpi="1200" verticalDpi="1200" r:id="rId6"/>
  <headerFooter alignWithMargins="0">
    <oddFooter>&amp;LLFG Energy Benefits Calculator
https://www.epa.gov/lmop/
landfill-gas-energy-benefits-calculator&amp;CPage &amp;P of 6&amp;RLast updated December 2024</oddFooter>
  </headerFooter>
  <rowBreaks count="2" manualBreakCount="2">
    <brk id="33" max="28" man="1"/>
    <brk id="90" max="16383" man="1"/>
  </rowBreaks>
  <cellWatches>
    <cellWatch r="F60"/>
  </cellWatches>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B87AB-5EE7-4401-A6B0-F20DA38F0B76}">
  <sheetPr codeName="Sheet5"/>
  <dimension ref="A1:N30"/>
  <sheetViews>
    <sheetView zoomScaleNormal="100" zoomScaleSheetLayoutView="100" workbookViewId="0">
      <selection sqref="A1:M1"/>
    </sheetView>
  </sheetViews>
  <sheetFormatPr defaultColWidth="8.88671875" defaultRowHeight="13.2" x14ac:dyDescent="0.25"/>
  <cols>
    <col min="1" max="1" width="3.33203125" style="42" customWidth="1"/>
    <col min="2" max="13" width="10.6640625" style="42" customWidth="1"/>
    <col min="14" max="14" width="12.88671875" style="42" customWidth="1"/>
    <col min="15" max="16384" width="8.88671875" style="42"/>
  </cols>
  <sheetData>
    <row r="1" spans="1:14" ht="23.4" x14ac:dyDescent="0.45">
      <c r="A1" s="561" t="s">
        <v>57</v>
      </c>
      <c r="B1" s="561"/>
      <c r="C1" s="561"/>
      <c r="D1" s="561"/>
      <c r="E1" s="561"/>
      <c r="F1" s="561"/>
      <c r="G1" s="561"/>
      <c r="H1" s="561"/>
      <c r="I1" s="561"/>
      <c r="J1" s="561"/>
      <c r="K1" s="561"/>
      <c r="L1" s="561"/>
      <c r="M1" s="561"/>
      <c r="N1" s="21"/>
    </row>
    <row r="2" spans="1:14" ht="13.8" x14ac:dyDescent="0.3">
      <c r="A2" s="75"/>
      <c r="B2" s="75"/>
      <c r="C2" s="75"/>
      <c r="D2" s="75"/>
      <c r="E2" s="75"/>
      <c r="F2" s="75"/>
      <c r="G2" s="75"/>
      <c r="H2" s="75"/>
      <c r="I2" s="75"/>
      <c r="J2" s="75"/>
      <c r="K2" s="75"/>
      <c r="L2" s="75"/>
      <c r="M2" s="75"/>
      <c r="N2" s="4"/>
    </row>
    <row r="3" spans="1:14" ht="13.8" x14ac:dyDescent="0.3">
      <c r="A3" s="75"/>
      <c r="B3" s="75"/>
      <c r="C3" s="75"/>
      <c r="D3" s="75"/>
      <c r="E3" s="75"/>
      <c r="F3" s="75"/>
      <c r="G3" s="75"/>
      <c r="H3" s="75"/>
      <c r="I3" s="75"/>
      <c r="J3" s="75"/>
      <c r="K3" s="75"/>
      <c r="L3" s="75"/>
      <c r="M3" s="75"/>
      <c r="N3" s="4"/>
    </row>
    <row r="4" spans="1:14" ht="13.8" x14ac:dyDescent="0.3">
      <c r="A4" s="75"/>
      <c r="B4" s="75"/>
      <c r="C4" s="75"/>
      <c r="D4" s="75"/>
      <c r="E4" s="75"/>
      <c r="F4" s="75"/>
      <c r="G4" s="75"/>
      <c r="H4" s="75"/>
      <c r="I4" s="75"/>
      <c r="J4" s="75"/>
      <c r="K4" s="75"/>
      <c r="L4" s="75"/>
      <c r="M4" s="75"/>
      <c r="N4" s="4"/>
    </row>
    <row r="5" spans="1:14" ht="13.8" x14ac:dyDescent="0.3">
      <c r="A5" s="75"/>
      <c r="B5" s="75"/>
      <c r="C5" s="75"/>
      <c r="D5" s="75"/>
      <c r="E5" s="75"/>
      <c r="F5" s="75"/>
      <c r="G5" s="75"/>
      <c r="H5" s="75"/>
      <c r="I5" s="75"/>
      <c r="J5" s="75"/>
      <c r="K5" s="75"/>
      <c r="L5" s="75"/>
      <c r="M5" s="75"/>
      <c r="N5" s="4"/>
    </row>
    <row r="6" spans="1:14" ht="14.4" x14ac:dyDescent="0.3">
      <c r="A6" s="75"/>
      <c r="B6" s="357" t="s">
        <v>76</v>
      </c>
      <c r="C6" s="358"/>
      <c r="D6" s="359"/>
      <c r="E6" s="350"/>
      <c r="F6" s="350"/>
      <c r="G6" s="350"/>
      <c r="H6" s="350"/>
      <c r="I6" s="350"/>
      <c r="J6" s="155"/>
      <c r="K6" s="75"/>
      <c r="L6" s="75"/>
      <c r="M6" s="75"/>
      <c r="N6" s="4"/>
    </row>
    <row r="7" spans="1:14" ht="14.4" x14ac:dyDescent="0.3">
      <c r="A7" s="75"/>
      <c r="B7" s="351">
        <v>0.99</v>
      </c>
      <c r="C7" s="350" t="s">
        <v>29</v>
      </c>
      <c r="D7" s="350"/>
      <c r="E7" s="350"/>
      <c r="F7" s="350"/>
      <c r="G7" s="350"/>
      <c r="H7" s="350"/>
      <c r="I7" s="352"/>
      <c r="J7" s="353"/>
      <c r="K7" s="348"/>
      <c r="L7" s="348"/>
      <c r="M7" s="348"/>
      <c r="N7" s="4"/>
    </row>
    <row r="8" spans="1:14" ht="14.4" x14ac:dyDescent="0.3">
      <c r="A8" s="75"/>
      <c r="B8" s="354">
        <v>180.35</v>
      </c>
      <c r="C8" s="350" t="s">
        <v>30</v>
      </c>
      <c r="D8" s="350"/>
      <c r="E8" s="350"/>
      <c r="F8" s="350"/>
      <c r="G8" s="350"/>
      <c r="H8" s="350"/>
      <c r="I8" s="352"/>
      <c r="J8" s="353"/>
      <c r="K8" s="348"/>
      <c r="L8" s="348"/>
      <c r="M8" s="348"/>
      <c r="N8" s="4"/>
    </row>
    <row r="9" spans="1:14" ht="14.4" x14ac:dyDescent="0.3">
      <c r="A9" s="75"/>
      <c r="B9" s="351">
        <v>0.43190000000000001</v>
      </c>
      <c r="C9" s="350" t="s">
        <v>31</v>
      </c>
      <c r="D9" s="350"/>
      <c r="E9" s="350"/>
      <c r="F9" s="350"/>
      <c r="G9" s="350"/>
      <c r="H9" s="350"/>
      <c r="I9" s="352"/>
      <c r="J9" s="353"/>
      <c r="K9" s="348"/>
      <c r="L9" s="348"/>
      <c r="M9" s="348"/>
      <c r="N9" s="4"/>
    </row>
    <row r="10" spans="1:14" ht="14.4" x14ac:dyDescent="0.3">
      <c r="A10" s="75"/>
      <c r="B10" s="351">
        <v>8.8870000000000008E-3</v>
      </c>
      <c r="C10" s="350" t="s">
        <v>32</v>
      </c>
      <c r="D10" s="350"/>
      <c r="E10" s="350"/>
      <c r="F10" s="350"/>
      <c r="G10" s="350"/>
      <c r="H10" s="350"/>
      <c r="I10" s="352"/>
      <c r="J10" s="353"/>
      <c r="K10" s="348"/>
      <c r="L10" s="348"/>
      <c r="M10" s="348"/>
      <c r="N10" s="4"/>
    </row>
    <row r="11" spans="1:14" ht="14.4" x14ac:dyDescent="0.3">
      <c r="A11" s="75"/>
      <c r="B11" s="351">
        <v>1.018E-2</v>
      </c>
      <c r="C11" s="350" t="s">
        <v>96</v>
      </c>
      <c r="D11" s="350"/>
      <c r="E11" s="350"/>
      <c r="F11" s="350"/>
      <c r="G11" s="350"/>
      <c r="H11" s="350"/>
      <c r="I11" s="355"/>
      <c r="J11" s="356"/>
      <c r="K11" s="349"/>
      <c r="L11" s="349"/>
      <c r="M11" s="349"/>
      <c r="N11" s="4"/>
    </row>
    <row r="12" spans="1:14" ht="14.4" x14ac:dyDescent="0.3">
      <c r="A12" s="75"/>
      <c r="B12" s="351"/>
      <c r="C12" s="350"/>
      <c r="D12" s="350"/>
      <c r="E12" s="350"/>
      <c r="F12" s="350"/>
      <c r="G12" s="350"/>
      <c r="H12" s="350"/>
      <c r="I12" s="355"/>
      <c r="J12" s="356"/>
      <c r="K12" s="349"/>
      <c r="L12" s="349"/>
      <c r="M12" s="349"/>
      <c r="N12" s="4"/>
    </row>
    <row r="13" spans="1:14" ht="14.4" x14ac:dyDescent="0.3">
      <c r="A13" s="75"/>
      <c r="B13" s="358" t="s">
        <v>20</v>
      </c>
      <c r="C13" s="350"/>
      <c r="D13" s="350"/>
      <c r="E13" s="350"/>
      <c r="F13" s="350"/>
      <c r="G13" s="350"/>
      <c r="H13" s="350"/>
      <c r="I13" s="350"/>
      <c r="J13" s="350"/>
      <c r="K13" s="350"/>
      <c r="L13" s="350"/>
      <c r="M13" s="350"/>
      <c r="N13" s="4"/>
    </row>
    <row r="14" spans="1:14" ht="14.4" x14ac:dyDescent="0.3">
      <c r="A14" s="75"/>
      <c r="B14" s="564" t="s">
        <v>175</v>
      </c>
      <c r="C14" s="565"/>
      <c r="D14" s="565"/>
      <c r="E14" s="565"/>
      <c r="F14" s="565"/>
      <c r="G14" s="565"/>
      <c r="H14" s="565"/>
      <c r="I14" s="565"/>
      <c r="J14" s="565"/>
      <c r="K14" s="565"/>
      <c r="L14" s="565"/>
      <c r="M14" s="566"/>
      <c r="N14" s="555"/>
    </row>
    <row r="15" spans="1:14" ht="14.4" x14ac:dyDescent="0.3">
      <c r="A15" s="75"/>
      <c r="B15" s="562" t="s">
        <v>176</v>
      </c>
      <c r="C15" s="562"/>
      <c r="D15" s="562"/>
      <c r="E15" s="562"/>
      <c r="F15" s="562"/>
      <c r="G15" s="562"/>
      <c r="H15" s="562"/>
      <c r="I15" s="562"/>
      <c r="J15" s="562"/>
      <c r="K15" s="562"/>
      <c r="L15" s="562"/>
      <c r="M15" s="562"/>
      <c r="N15" s="4"/>
    </row>
    <row r="16" spans="1:14" ht="14.4" x14ac:dyDescent="0.3">
      <c r="A16" s="75"/>
      <c r="B16" s="562" t="s">
        <v>177</v>
      </c>
      <c r="C16" s="562"/>
      <c r="D16" s="562"/>
      <c r="E16" s="562"/>
      <c r="F16" s="562"/>
      <c r="G16" s="562"/>
      <c r="H16" s="562"/>
      <c r="I16" s="562"/>
      <c r="J16" s="562"/>
      <c r="K16" s="562"/>
      <c r="L16" s="562"/>
      <c r="M16" s="562"/>
      <c r="N16" s="4"/>
    </row>
    <row r="17" spans="1:14" ht="14.4" x14ac:dyDescent="0.3">
      <c r="A17" s="75"/>
      <c r="B17" s="562" t="s">
        <v>178</v>
      </c>
      <c r="C17" s="562"/>
      <c r="D17" s="562"/>
      <c r="E17" s="562"/>
      <c r="F17" s="562"/>
      <c r="G17" s="562"/>
      <c r="H17" s="562"/>
      <c r="I17" s="562"/>
      <c r="J17" s="562"/>
      <c r="K17" s="562"/>
      <c r="L17" s="562"/>
      <c r="M17" s="562"/>
      <c r="N17" s="4"/>
    </row>
    <row r="18" spans="1:14" ht="14.4" x14ac:dyDescent="0.3">
      <c r="A18" s="75"/>
      <c r="B18" s="562" t="s">
        <v>179</v>
      </c>
      <c r="C18" s="562"/>
      <c r="D18" s="562"/>
      <c r="E18" s="562"/>
      <c r="F18" s="562"/>
      <c r="G18" s="562"/>
      <c r="H18" s="562"/>
      <c r="I18" s="562"/>
      <c r="J18" s="562"/>
      <c r="K18" s="562"/>
      <c r="L18" s="562"/>
      <c r="M18" s="562"/>
      <c r="N18" s="4"/>
    </row>
    <row r="19" spans="1:14" ht="14.4" x14ac:dyDescent="0.3">
      <c r="A19" s="75"/>
      <c r="B19" s="562" t="s">
        <v>180</v>
      </c>
      <c r="C19" s="563"/>
      <c r="D19" s="563"/>
      <c r="E19" s="563"/>
      <c r="F19" s="563"/>
      <c r="G19" s="563"/>
      <c r="H19" s="563"/>
      <c r="I19" s="563"/>
      <c r="J19" s="563"/>
      <c r="K19" s="563"/>
      <c r="L19" s="563"/>
      <c r="M19" s="563"/>
      <c r="N19" s="4"/>
    </row>
    <row r="20" spans="1:14" ht="13.8" x14ac:dyDescent="0.3">
      <c r="A20" s="75"/>
      <c r="B20" s="75"/>
      <c r="C20" s="75"/>
      <c r="D20" s="75"/>
      <c r="E20" s="75"/>
      <c r="F20" s="75"/>
      <c r="G20" s="75"/>
      <c r="H20" s="75"/>
      <c r="I20" s="75"/>
      <c r="J20" s="75"/>
      <c r="K20" s="75"/>
      <c r="L20" s="75"/>
      <c r="M20" s="75"/>
      <c r="N20" s="4"/>
    </row>
    <row r="21" spans="1:14" s="363" customFormat="1" ht="14.4" x14ac:dyDescent="0.3">
      <c r="A21" s="350"/>
      <c r="B21" s="357" t="s">
        <v>77</v>
      </c>
      <c r="C21" s="358"/>
      <c r="D21" s="359"/>
      <c r="E21" s="350"/>
      <c r="F21" s="350"/>
      <c r="G21" s="350"/>
      <c r="H21" s="350"/>
      <c r="I21" s="350"/>
      <c r="J21" s="350"/>
      <c r="K21" s="350"/>
      <c r="L21" s="350"/>
      <c r="M21" s="350"/>
      <c r="N21" s="360"/>
    </row>
    <row r="22" spans="1:14" s="363" customFormat="1" ht="14.4" x14ac:dyDescent="0.3">
      <c r="A22" s="350"/>
      <c r="B22" s="361">
        <v>10566</v>
      </c>
      <c r="C22" s="350" t="s">
        <v>21</v>
      </c>
      <c r="D22" s="350"/>
      <c r="E22" s="350"/>
      <c r="F22" s="350"/>
      <c r="G22" s="350"/>
      <c r="H22" s="350"/>
      <c r="I22" s="350"/>
      <c r="J22" s="350"/>
      <c r="K22" s="350"/>
      <c r="L22" s="350"/>
      <c r="M22" s="350"/>
      <c r="N22" s="360"/>
    </row>
    <row r="23" spans="1:14" s="363" customFormat="1" ht="14.4" x14ac:dyDescent="0.3">
      <c r="A23" s="350"/>
      <c r="B23" s="361">
        <v>56300</v>
      </c>
      <c r="C23" s="350" t="s">
        <v>28</v>
      </c>
      <c r="D23" s="350"/>
      <c r="E23" s="350"/>
      <c r="F23" s="350"/>
      <c r="G23" s="350"/>
      <c r="H23" s="350"/>
      <c r="I23" s="350"/>
      <c r="J23" s="350"/>
      <c r="K23" s="350"/>
      <c r="L23" s="350"/>
      <c r="M23" s="350"/>
      <c r="N23" s="360"/>
    </row>
    <row r="24" spans="1:14" s="363" customFormat="1" ht="14.4" x14ac:dyDescent="0.3">
      <c r="A24" s="350"/>
      <c r="B24" s="361"/>
      <c r="C24" s="350"/>
      <c r="D24" s="350"/>
      <c r="E24" s="350"/>
      <c r="F24" s="350"/>
      <c r="G24" s="350"/>
      <c r="H24" s="350"/>
      <c r="I24" s="350"/>
      <c r="J24" s="350"/>
      <c r="K24" s="350"/>
      <c r="L24" s="350"/>
      <c r="M24" s="350"/>
      <c r="N24" s="360"/>
    </row>
    <row r="25" spans="1:14" s="364" customFormat="1" ht="14.4" x14ac:dyDescent="0.3">
      <c r="A25" s="246"/>
      <c r="B25" s="358" t="s">
        <v>78</v>
      </c>
      <c r="C25" s="350"/>
      <c r="D25" s="350"/>
      <c r="E25" s="350"/>
      <c r="F25" s="350"/>
      <c r="G25" s="350"/>
      <c r="H25" s="350"/>
      <c r="I25" s="350"/>
      <c r="J25" s="350"/>
      <c r="K25" s="350"/>
      <c r="L25" s="350"/>
      <c r="M25" s="350"/>
      <c r="N25" s="360"/>
    </row>
    <row r="26" spans="1:14" s="364" customFormat="1" ht="33" customHeight="1" x14ac:dyDescent="0.3">
      <c r="A26" s="246"/>
      <c r="B26" s="559" t="s">
        <v>181</v>
      </c>
      <c r="C26" s="559"/>
      <c r="D26" s="559"/>
      <c r="E26" s="559"/>
      <c r="F26" s="559"/>
      <c r="G26" s="559"/>
      <c r="H26" s="559"/>
      <c r="I26" s="559"/>
      <c r="J26" s="559"/>
      <c r="K26" s="559"/>
      <c r="L26" s="559"/>
      <c r="M26" s="559"/>
      <c r="N26" s="559"/>
    </row>
    <row r="27" spans="1:14" s="364" customFormat="1" ht="14.4" x14ac:dyDescent="0.3">
      <c r="A27" s="246"/>
      <c r="B27" s="560" t="s">
        <v>53</v>
      </c>
      <c r="C27" s="560"/>
      <c r="D27" s="560"/>
      <c r="E27" s="560"/>
      <c r="F27" s="560"/>
      <c r="G27" s="560"/>
      <c r="H27" s="560"/>
      <c r="I27" s="555"/>
      <c r="J27" s="350"/>
      <c r="K27" s="350"/>
      <c r="L27" s="350"/>
      <c r="M27" s="350"/>
      <c r="N27" s="360"/>
    </row>
    <row r="28" spans="1:14" ht="13.8" x14ac:dyDescent="0.3">
      <c r="A28" s="75"/>
      <c r="B28" s="75"/>
      <c r="C28" s="75"/>
      <c r="D28" s="75"/>
      <c r="E28" s="75"/>
      <c r="F28" s="75"/>
      <c r="G28" s="75"/>
      <c r="H28" s="75"/>
      <c r="I28" s="75"/>
      <c r="J28" s="75"/>
      <c r="K28" s="75"/>
      <c r="L28" s="75"/>
      <c r="M28" s="75"/>
      <c r="N28" s="4"/>
    </row>
    <row r="29" spans="1:14" ht="13.8" x14ac:dyDescent="0.3">
      <c r="A29" s="157"/>
      <c r="B29" s="157"/>
      <c r="C29" s="157"/>
      <c r="D29" s="157"/>
      <c r="E29" s="157"/>
      <c r="F29" s="157"/>
      <c r="G29" s="157"/>
      <c r="H29" s="157"/>
      <c r="I29" s="157"/>
      <c r="J29" s="157"/>
      <c r="K29" s="157"/>
      <c r="L29" s="157"/>
      <c r="M29" s="157"/>
    </row>
    <row r="30" spans="1:14" ht="13.8" x14ac:dyDescent="0.3">
      <c r="A30" s="157"/>
      <c r="B30" s="157"/>
      <c r="C30" s="157"/>
      <c r="D30" s="157"/>
      <c r="E30" s="157"/>
      <c r="F30" s="157"/>
      <c r="G30" s="157"/>
      <c r="H30" s="157"/>
      <c r="I30" s="157"/>
      <c r="J30" s="157"/>
      <c r="K30" s="157"/>
      <c r="L30" s="157"/>
      <c r="M30" s="157"/>
    </row>
  </sheetData>
  <sheetProtection algorithmName="SHA-512" hashValue="BJp8uGZnPv8DBeXN2bpDlNgfxPV7SGUDgl+XzDgOLwJ6Gq6jBPEvYQNYu2pyqBYdwcTRKRnheSLM8hCwCydXsg==" saltValue="PN2u3tjodxpRAAMIcfwHow==" spinCount="100000" sheet="1" objects="1" scenarios="1"/>
  <mergeCells count="9">
    <mergeCell ref="B26:N26"/>
    <mergeCell ref="B27:I27"/>
    <mergeCell ref="A1:M1"/>
    <mergeCell ref="B19:M19"/>
    <mergeCell ref="B16:M16"/>
    <mergeCell ref="B15:M15"/>
    <mergeCell ref="B18:M18"/>
    <mergeCell ref="B17:M17"/>
    <mergeCell ref="B14:N14"/>
  </mergeCells>
  <hyperlinks>
    <hyperlink ref="B15:M15" r:id="rId1" location="pineforests" display="• For acres of forest:  Greenhouse Gas Equivalencies Calculator at https://www.epa.gov/energy/greenhouse-gases-equivalencies-calculator-calculations-and-references#pineforests" xr:uid="{00000000-0004-0000-0200-000003000000}"/>
    <hyperlink ref="B16:M16" r:id="rId2" location="railcars" display="• For railcars of coal:  Greenhouse Gas Equivalencies Calculator at https://www.epa.gov/energy/greenhouse-gases-equivalencies-calculator-calculations-and-references#railcars" xr:uid="{00000000-0004-0000-0200-000005000000}"/>
    <hyperlink ref="B17:M17" r:id="rId3" location="oil" display="• For barrels of oil:  Greenhouse Gas Equivalencies Calculator at https://www.epa.gov/energy/greenhouse-gases-equivalencies-calculator-calculations-and-references#oil" xr:uid="{00000000-0004-0000-0200-000006000000}"/>
    <hyperlink ref="B18:M18" r:id="rId4" location="gasoline" display="• For gallons of gasoline:  Greenhouse Gas Equivalencies Calculator at https://www.epa.gov/energy/greenhouse-gases-equivalencies-calculator-calculations-and-references#gasoline" xr:uid="{00000000-0004-0000-0200-000007000000}"/>
    <hyperlink ref="B19" r:id="rId5" location="diesel" display="• For gallons of diesel: Greenhouse Gas Equivalencies Calculator at https://www.epa.gov/energy/greenhouse-gases-equivalencies-calculator-calculations-and-references#diesel" xr:uid="{55EEE9F9-6FC3-403D-AB01-AEF855A1A5DC}"/>
    <hyperlink ref="B27" r:id="rId6" xr:uid="{9712CC6A-6BD7-42C0-B1B7-C4ED89581C46}"/>
    <hyperlink ref="B27:H27" r:id="rId7" display="https://www.eia.gov/consumption/residential/data/2020/index.php?view=consumption" xr:uid="{7646C98B-4770-4413-8EED-8A2EC20A6F05}"/>
    <hyperlink ref="B14" r:id="rId8" xr:uid="{F1B83968-2A44-4F60-9988-5AAF70416F7E}"/>
  </hyperlinks>
  <pageMargins left="0.7" right="0.7" top="0.75" bottom="0.75" header="0.3" footer="0.3"/>
  <pageSetup paperSize="5" orientation="landscape" horizontalDpi="300" verticalDpi="300" r:id="rId9"/>
  <headerFooter>
    <oddFooter>&amp;LLFG Energy Benefits Calculator
https://www.epa.gov/lmop/
landfill-gas-energy-benefits-calculator&amp;CPage 6 of 6&amp;RLast updated December 2024</oddFooter>
  </headerFooter>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ReadMe</vt:lpstr>
      <vt:lpstr>Tool</vt:lpstr>
      <vt:lpstr>CO2 Emission Factors</vt:lpstr>
      <vt:lpstr>Calculations and References</vt:lpstr>
      <vt:lpstr>Equivalencies</vt:lpstr>
      <vt:lpstr>'Calculations and References'!Print_Area</vt:lpstr>
      <vt:lpstr>'CO2 Emission Factors'!Print_Area</vt:lpstr>
      <vt:lpstr>Equivalencies!Print_Area</vt:lpstr>
      <vt:lpstr>ReadMe!Print_Area</vt:lpstr>
      <vt:lpstr>Tool!Print_Area</vt:lpstr>
      <vt:lpstr>'Calculations and References'!Print_Titles</vt:lpstr>
      <vt:lpstr>Step3</vt:lpstr>
    </vt:vector>
  </TitlesOfParts>
  <Company>Eastern Research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 - Morrisville</dc:creator>
  <cp:lastModifiedBy>Jeanette Alvis</cp:lastModifiedBy>
  <cp:lastPrinted>2024-09-06T00:52:40Z</cp:lastPrinted>
  <dcterms:created xsi:type="dcterms:W3CDTF">2001-10-03T18:13:51Z</dcterms:created>
  <dcterms:modified xsi:type="dcterms:W3CDTF">2024-12-04T14:12:35Z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a1656fff-0ade-40e5-b136-02891e9bd1a7</vt:lpwstr>
  </property>
</Properties>
</file>