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usepa.sharepoint.com/sites/ocspp_Work/wpc/TSCA Scoping Next 20 HPS Review/Chlorinated Solvents/1,1-Dichloroethane (priority 1)/RE Documents/Final RE/Supplemental Files for Final RE/Updated Versions - Pre QC/"/>
    </mc:Choice>
  </mc:AlternateContent>
  <xr:revisionPtr revIDLastSave="342" documentId="8_{3788BA69-6D8D-48B1-B7DC-201C97D31880}" xr6:coauthVersionLast="47" xr6:coauthVersionMax="47" xr10:uidLastSave="{80ACA282-AD59-4D7F-AF2F-7F95EA16DD41}"/>
  <bookViews>
    <workbookView xWindow="-120" yWindow="-120" windowWidth="29040" windowHeight="15720" tabRatio="763" xr2:uid="{D3562889-3A19-4223-B21B-EB97C1AB3C27}"/>
  </bookViews>
  <sheets>
    <sheet name="Cover Page" sheetId="49" r:id="rId1"/>
    <sheet name="README" sheetId="44" r:id="rId2"/>
    <sheet name="Calculation Summary" sheetId="46" r:id="rId3"/>
    <sheet name="Dashboard" sheetId="31" r:id="rId4"/>
    <sheet name="Bridge Table" sheetId="45" r:id="rId5"/>
    <sheet name="Risk Reduction" sheetId="40" r:id="rId6"/>
    <sheet name="Health Data" sheetId="39" r:id="rId7"/>
    <sheet name="Dermal Exposure" sheetId="41" state="hidden" r:id="rId8"/>
    <sheet name="Dermal Crosswalk" sheetId="42" r:id="rId9"/>
    <sheet name="Inhalation Exposure" sheetId="37" r:id="rId10"/>
    <sheet name="List Values" sheetId="35" r:id="rId11"/>
    <sheet name="Exposure Factors" sheetId="38" r:id="rId12"/>
  </sheets>
  <externalReferences>
    <externalReference r:id="rId13"/>
    <externalReference r:id="rId14"/>
    <externalReference r:id="rId15"/>
    <externalReference r:id="rId16"/>
    <externalReference r:id="rId17"/>
  </externalReferences>
  <definedNames>
    <definedName name="_2017NEI_Nonpoint_TSCA_Chem_List" localSheetId="0">#REF!</definedName>
    <definedName name="_2017NEI_Nonpoint_TSCA_Chem_List">#REF!</definedName>
    <definedName name="_2017NEI_tsca_chemicals_wSCCdetail_Query" localSheetId="0">#REF!</definedName>
    <definedName name="_2017NEI_tsca_chemicals_wSCCdetail_Query">#REF!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15</definedName>
    <definedName name="_AtRisk_SimSetting_ReportOptionReportsFileType" hidden="1">1</definedName>
    <definedName name="_AtRisk_SimSetting_ReportOptionSelectiveQR" hidden="1">FALSE</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9" hidden="1">'Inhalation Exposure'!$B$5:$U$32</definedName>
    <definedName name="ARDavg5">'[1]Exposure Calcs'!$G$45</definedName>
    <definedName name="AT">[2]Constants!$C$12</definedName>
    <definedName name="AT_50th_non_cancer">[3]Constants!$C$11</definedName>
    <definedName name="AT_50th_non_cancer_DC">[3]Constants!$C$25</definedName>
    <definedName name="AT_95th_non_cancer">[3]Constants!$C$10</definedName>
    <definedName name="AT_95th_non_cancer_DC">[3]Constants!$C$24</definedName>
    <definedName name="AT_AC" localSheetId="0">[3]Constants!$C$4</definedName>
    <definedName name="AT_AC">'List Values'!$J$42</definedName>
    <definedName name="AT_AC_DC">[3]Constants!$C$17</definedName>
    <definedName name="AT_ADC_high" localSheetId="0">[2]Constants!$C$18</definedName>
    <definedName name="AT_ADC_high">'List Values'!$J$33</definedName>
    <definedName name="AT_ADC_mid" localSheetId="0">[2]Constants!$C$17</definedName>
    <definedName name="AT_ADC_mid">'List Values'!$J$32</definedName>
    <definedName name="AT_ADC_ST">'List Values'!$J$39</definedName>
    <definedName name="AT_cancer">[3]Constants!$C$12</definedName>
    <definedName name="AT_cancer_DC">[3]Constants!$C$26</definedName>
    <definedName name="AT_CRD_high">'List Values'!$J$36</definedName>
    <definedName name="AT_CRD_mid">'List Values'!$J$35</definedName>
    <definedName name="AT_CRD_ST">'List Values'!$J$41</definedName>
    <definedName name="AT_LADC" localSheetId="0">[2]Constants!$C$19</definedName>
    <definedName name="AT_LADC">'List Values'!$J$34</definedName>
    <definedName name="AT_LCRD">'List Values'!$J$37</definedName>
    <definedName name="AWD">[3]Constants!$C$6</definedName>
    <definedName name="AWD_DC_50th">[3]Constants!$C$20</definedName>
    <definedName name="AWD_DC_95th">[3]Constants!$C$19</definedName>
    <definedName name="Breathing_Ratio">'List Values'!$J$38</definedName>
    <definedName name="BW_default">'Exposure Factors'!$C$6</definedName>
    <definedName name="BW_women">'Exposure Factors'!$D$6</definedName>
    <definedName name="CASRN">'[4]Table 1_Scoping'!#REF!</definedName>
    <definedName name="CRDavg5">'[1]Exposure Calcs'!$G$49</definedName>
    <definedName name="ED">[2]Constants!$C$11</definedName>
    <definedName name="ED_24">'List Values'!$J$26</definedName>
    <definedName name="ED_8">'List Values'!$J$25</definedName>
    <definedName name="ED_AC">[3]Constants!$C$3</definedName>
    <definedName name="ED_AC_DC">[3]Constants!$C$16</definedName>
    <definedName name="ED_chronic">[3]Constants!$C$5</definedName>
    <definedName name="ED_chronic_DC">[3]Constants!$C$18</definedName>
    <definedName name="EF" localSheetId="0">[2]Constants!$C$13</definedName>
    <definedName name="EF">'List Values'!$J$27</definedName>
    <definedName name="EF_C">'List Values'!$J$28</definedName>
    <definedName name="EF_ST">'List Values'!$J$40</definedName>
    <definedName name="EG">'[5]For Figure'!$A$4:$A$69</definedName>
    <definedName name="Exposure_Drop_down" localSheetId="6">'Health Data'!#REF!</definedName>
    <definedName name="LCRDavg5">'[1]Exposure Calcs'!$G$51</definedName>
    <definedName name="LT">'List Values'!$J$31</definedName>
    <definedName name="MW">'List Values'!$I$15</definedName>
    <definedName name="Pal_Workbook_GUID" localSheetId="0" hidden="1">"SK39RLEDQA2L46YW8H5SUKN3"</definedName>
    <definedName name="Pal_Workbook_GUID" hidden="1">"QFFA8IQU6YFGRFCXE7L4LIWR"</definedName>
    <definedName name="PDRavg5">'[1]Exposure Calcs'!$G$43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CRDavg5">'[1]Exposure Calcs'!$G$47</definedName>
    <definedName name="solver_adj" localSheetId="5" hidden="1">'Risk Reduction'!#REF!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'Risk Reduction'!#REF!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1</definedName>
    <definedName name="solver_ver" localSheetId="5" hidden="1">3</definedName>
    <definedName name="ug_per_mg">'List Values'!$I$22</definedName>
    <definedName name="WY_50th">[3]Constants!$C$8</definedName>
    <definedName name="WY_50th_DC">[3]Constants!$C$22</definedName>
    <definedName name="WY_95th">[3]Constants!$C$7</definedName>
    <definedName name="WY_95th_DC">[3]Constants!$C$21</definedName>
    <definedName name="WY_CT_default">'Exposure Factors'!$C$10</definedName>
    <definedName name="WY_CT_women">'Exposure Factors'!$D$10</definedName>
    <definedName name="WY_HE_default">'Exposure Factors'!$C$9</definedName>
    <definedName name="WY_HE_women">'Exposure Factors'!$D$9</definedName>
    <definedName name="WY_high" localSheetId="0">[2]Constants!$C$15</definedName>
    <definedName name="WY_high">'List Values'!$J$30</definedName>
    <definedName name="WY_mid" localSheetId="0">[2]Constants!$C$14</definedName>
    <definedName name="WY_mid">'List Values'!$J$29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45" l="1"/>
  <c r="M15" i="45"/>
  <c r="S11" i="31"/>
  <c r="R11" i="31"/>
  <c r="Q11" i="31"/>
  <c r="P11" i="31"/>
  <c r="S10" i="31"/>
  <c r="R10" i="31"/>
  <c r="Q10" i="31"/>
  <c r="P10" i="31"/>
  <c r="M16" i="42"/>
  <c r="N16" i="42" s="1"/>
  <c r="R16" i="42"/>
  <c r="S16" i="42" s="1"/>
  <c r="R9" i="42" l="1"/>
  <c r="S9" i="42" s="1"/>
  <c r="M9" i="42"/>
  <c r="N9" i="42" s="1"/>
  <c r="W27" i="40" l="1"/>
  <c r="W26" i="40"/>
  <c r="W25" i="40"/>
  <c r="W24" i="40"/>
  <c r="W23" i="40"/>
  <c r="W22" i="40"/>
  <c r="U26" i="40"/>
  <c r="U24" i="40"/>
  <c r="U22" i="40"/>
  <c r="T24" i="40"/>
  <c r="T26" i="40"/>
  <c r="T22" i="40"/>
  <c r="S26" i="40"/>
  <c r="S24" i="40"/>
  <c r="S22" i="40"/>
  <c r="H30" i="40"/>
  <c r="D41" i="31"/>
  <c r="Q33" i="31"/>
  <c r="Q32" i="31"/>
  <c r="O32" i="31"/>
  <c r="N32" i="31"/>
  <c r="Q25" i="31"/>
  <c r="Q24" i="31"/>
  <c r="O24" i="31"/>
  <c r="N24" i="31"/>
  <c r="Q19" i="31"/>
  <c r="Q18" i="31"/>
  <c r="N18" i="31"/>
  <c r="M5" i="45"/>
  <c r="L5" i="45"/>
  <c r="K5" i="45"/>
  <c r="AB10" i="45"/>
  <c r="AA10" i="45"/>
  <c r="Z10" i="45"/>
  <c r="O18" i="31"/>
  <c r="N135" i="45"/>
  <c r="N137" i="45"/>
  <c r="N139" i="45"/>
  <c r="N141" i="45"/>
  <c r="N113" i="45"/>
  <c r="N115" i="45"/>
  <c r="N117" i="45"/>
  <c r="N119" i="45"/>
  <c r="N95" i="45"/>
  <c r="N97" i="45"/>
  <c r="N81" i="45"/>
  <c r="N83" i="45"/>
  <c r="N55" i="45"/>
  <c r="N57" i="45"/>
  <c r="N33" i="45"/>
  <c r="N35" i="45"/>
  <c r="M15" i="42"/>
  <c r="N15" i="42" s="1"/>
  <c r="R15" i="42"/>
  <c r="S15" i="42" s="1"/>
  <c r="M17" i="42"/>
  <c r="N17" i="42" s="1"/>
  <c r="R17" i="42"/>
  <c r="S17" i="42" s="1"/>
  <c r="M20" i="42" l="1"/>
  <c r="N20" i="42" s="1"/>
  <c r="M21" i="42"/>
  <c r="N21" i="42" s="1"/>
  <c r="R21" i="42"/>
  <c r="S21" i="42" s="1"/>
  <c r="M22" i="42"/>
  <c r="N22" i="42" s="1"/>
  <c r="R22" i="42"/>
  <c r="S22" i="42" s="1"/>
  <c r="R20" i="42"/>
  <c r="M6" i="42"/>
  <c r="R6" i="42"/>
  <c r="M7" i="42"/>
  <c r="N7" i="42" s="1"/>
  <c r="R7" i="42"/>
  <c r="S7" i="42" s="1"/>
  <c r="M13" i="42"/>
  <c r="N13" i="42" s="1"/>
  <c r="R13" i="42"/>
  <c r="S13" i="42" s="1"/>
  <c r="M12" i="42"/>
  <c r="N12" i="42" s="1"/>
  <c r="R12" i="42"/>
  <c r="S12" i="42" s="1"/>
  <c r="A7" i="41"/>
  <c r="G7" i="41" s="1"/>
  <c r="A10" i="41"/>
  <c r="H10" i="41" s="1"/>
  <c r="A8" i="41"/>
  <c r="I8" i="41" s="1"/>
  <c r="D26" i="40"/>
  <c r="D24" i="40"/>
  <c r="D22" i="40"/>
  <c r="C41" i="31"/>
  <c r="C32" i="31"/>
  <c r="C24" i="31"/>
  <c r="C18" i="31"/>
  <c r="F30" i="40"/>
  <c r="E30" i="40"/>
  <c r="F26" i="40"/>
  <c r="F24" i="40"/>
  <c r="F22" i="40"/>
  <c r="M8" i="42"/>
  <c r="N8" i="42" s="1"/>
  <c r="M10" i="42"/>
  <c r="N10" i="42" s="1"/>
  <c r="R10" i="42"/>
  <c r="S10" i="42" s="1"/>
  <c r="R8" i="42"/>
  <c r="S8" i="42" s="1"/>
  <c r="J25" i="40"/>
  <c r="J24" i="40"/>
  <c r="H24" i="40"/>
  <c r="M4" i="45"/>
  <c r="L4" i="45"/>
  <c r="K4" i="45"/>
  <c r="I32" i="37"/>
  <c r="H32" i="37"/>
  <c r="I30" i="37"/>
  <c r="H30" i="37"/>
  <c r="I28" i="37"/>
  <c r="H28" i="37"/>
  <c r="I16" i="37"/>
  <c r="J13" i="40" s="1"/>
  <c r="H16" i="37"/>
  <c r="J11" i="40" s="1"/>
  <c r="E13" i="31"/>
  <c r="E12" i="31"/>
  <c r="E11" i="31"/>
  <c r="E10" i="31"/>
  <c r="R130" i="45"/>
  <c r="R128" i="45"/>
  <c r="R126" i="45"/>
  <c r="R124" i="45"/>
  <c r="R108" i="45"/>
  <c r="R106" i="45"/>
  <c r="R104" i="45"/>
  <c r="R102" i="45"/>
  <c r="R94" i="45"/>
  <c r="R92" i="45"/>
  <c r="R90" i="45"/>
  <c r="R88" i="45"/>
  <c r="R54" i="45"/>
  <c r="R52" i="45"/>
  <c r="R42" i="45"/>
  <c r="R40" i="45"/>
  <c r="R80" i="45"/>
  <c r="R78" i="45"/>
  <c r="R64" i="45"/>
  <c r="R62" i="45"/>
  <c r="Q130" i="45"/>
  <c r="Q128" i="45"/>
  <c r="Q126" i="45"/>
  <c r="Q124" i="45"/>
  <c r="Q108" i="45"/>
  <c r="Q106" i="45"/>
  <c r="Q104" i="45"/>
  <c r="Q102" i="45"/>
  <c r="Q94" i="45"/>
  <c r="Q92" i="45"/>
  <c r="Q90" i="45"/>
  <c r="Q88" i="45"/>
  <c r="Q54" i="45"/>
  <c r="Q52" i="45"/>
  <c r="Q42" i="45"/>
  <c r="Q40" i="45"/>
  <c r="R10" i="45"/>
  <c r="R12" i="45"/>
  <c r="R30" i="45"/>
  <c r="R32" i="45"/>
  <c r="Q80" i="45"/>
  <c r="Q78" i="45"/>
  <c r="Q64" i="45"/>
  <c r="Q62" i="45"/>
  <c r="Q32" i="45"/>
  <c r="Q30" i="45"/>
  <c r="Q12" i="45"/>
  <c r="Q10" i="45"/>
  <c r="P130" i="45"/>
  <c r="P128" i="45"/>
  <c r="P126" i="45"/>
  <c r="P124" i="45"/>
  <c r="P108" i="45"/>
  <c r="P106" i="45"/>
  <c r="P104" i="45"/>
  <c r="P102" i="45"/>
  <c r="P94" i="45"/>
  <c r="P92" i="45"/>
  <c r="P90" i="45"/>
  <c r="P88" i="45"/>
  <c r="P54" i="45"/>
  <c r="P52" i="45"/>
  <c r="P42" i="45"/>
  <c r="P40" i="45"/>
  <c r="P80" i="45"/>
  <c r="P78" i="45"/>
  <c r="P64" i="45"/>
  <c r="P62" i="45"/>
  <c r="P32" i="45"/>
  <c r="P30" i="45"/>
  <c r="P12" i="45"/>
  <c r="P10" i="45"/>
  <c r="O130" i="45"/>
  <c r="O128" i="45"/>
  <c r="O126" i="45"/>
  <c r="O124" i="45"/>
  <c r="O108" i="45"/>
  <c r="O106" i="45"/>
  <c r="O104" i="45"/>
  <c r="O102" i="45"/>
  <c r="O94" i="45"/>
  <c r="O92" i="45"/>
  <c r="O90" i="45"/>
  <c r="O88" i="45"/>
  <c r="O54" i="45"/>
  <c r="O52" i="45"/>
  <c r="O42" i="45"/>
  <c r="O40" i="45"/>
  <c r="O80" i="45"/>
  <c r="O78" i="45"/>
  <c r="O64" i="45"/>
  <c r="O62" i="45"/>
  <c r="AA9" i="45"/>
  <c r="P5" i="45"/>
  <c r="P8" i="45" s="1"/>
  <c r="J41" i="35"/>
  <c r="J39" i="35"/>
  <c r="F25" i="31"/>
  <c r="F24" i="31"/>
  <c r="D24" i="31"/>
  <c r="J22" i="31"/>
  <c r="D32" i="31"/>
  <c r="D18" i="31"/>
  <c r="H26" i="40"/>
  <c r="H22" i="40"/>
  <c r="K28" i="40"/>
  <c r="J27" i="40"/>
  <c r="J26" i="40"/>
  <c r="J23" i="40"/>
  <c r="J22" i="40"/>
  <c r="F33" i="31"/>
  <c r="F32" i="31"/>
  <c r="F18" i="31"/>
  <c r="F19" i="31"/>
  <c r="J38" i="35"/>
  <c r="K7" i="37" s="1"/>
  <c r="J34" i="35"/>
  <c r="J33" i="35"/>
  <c r="J32" i="35"/>
  <c r="AB9" i="45"/>
  <c r="Q5" i="45"/>
  <c r="Q8" i="45" s="1"/>
  <c r="M11" i="42"/>
  <c r="R14" i="42"/>
  <c r="S14" i="42" s="1"/>
  <c r="M18" i="42"/>
  <c r="N18" i="42" s="1"/>
  <c r="M19" i="42"/>
  <c r="N19" i="42" s="1"/>
  <c r="J35" i="35"/>
  <c r="J37" i="35"/>
  <c r="J36" i="35"/>
  <c r="P16" i="42" s="1"/>
  <c r="O14" i="39"/>
  <c r="Q12" i="39"/>
  <c r="Q8" i="39"/>
  <c r="Q7" i="39"/>
  <c r="Z9" i="45"/>
  <c r="O5" i="45"/>
  <c r="O8" i="45" s="1"/>
  <c r="O32" i="45"/>
  <c r="O30" i="45"/>
  <c r="O12" i="45"/>
  <c r="O10" i="45"/>
  <c r="J10" i="40"/>
  <c r="D7" i="38"/>
  <c r="C7" i="38"/>
  <c r="X20" i="40"/>
  <c r="K20" i="40"/>
  <c r="S16" i="40"/>
  <c r="S14" i="40"/>
  <c r="S12" i="40"/>
  <c r="J39" i="31"/>
  <c r="J30" i="31"/>
  <c r="J16" i="31"/>
  <c r="J12" i="40"/>
  <c r="I19" i="35"/>
  <c r="C11" i="41"/>
  <c r="K11" i="41" s="1"/>
  <c r="C10" i="41"/>
  <c r="L10" i="41" s="1"/>
  <c r="A11" i="41"/>
  <c r="F11" i="41" s="1"/>
  <c r="C8" i="41"/>
  <c r="K8" i="41" s="1"/>
  <c r="C7" i="41"/>
  <c r="K7" i="41" s="1"/>
  <c r="I58" i="40"/>
  <c r="N96" i="31"/>
  <c r="J58" i="40"/>
  <c r="D6" i="38"/>
  <c r="AC9" i="45"/>
  <c r="R11" i="42"/>
  <c r="M14" i="42"/>
  <c r="R18" i="42"/>
  <c r="S18" i="42" s="1"/>
  <c r="J27" i="37"/>
  <c r="J6" i="37"/>
  <c r="R19" i="42"/>
  <c r="S19" i="42" s="1"/>
  <c r="P96" i="31"/>
  <c r="O96" i="31"/>
  <c r="J8" i="37"/>
  <c r="J29" i="37"/>
  <c r="K8" i="37"/>
  <c r="O16" i="42" l="1"/>
  <c r="T16" i="42"/>
  <c r="K10" i="37"/>
  <c r="K9" i="37"/>
  <c r="K6" i="37"/>
  <c r="K27" i="37"/>
  <c r="U9" i="42"/>
  <c r="U16" i="42"/>
  <c r="K32" i="37"/>
  <c r="J13" i="37"/>
  <c r="K14" i="37"/>
  <c r="J30" i="37"/>
  <c r="J9" i="37"/>
  <c r="J7" i="37"/>
  <c r="J15" i="37"/>
  <c r="K10" i="40" s="1"/>
  <c r="K22" i="40" s="1"/>
  <c r="P22" i="40" s="1"/>
  <c r="K13" i="37"/>
  <c r="K25" i="45" s="1"/>
  <c r="K29" i="37"/>
  <c r="Q16" i="42"/>
  <c r="V16" i="42"/>
  <c r="J31" i="37"/>
  <c r="J16" i="37"/>
  <c r="K11" i="40" s="1"/>
  <c r="K15" i="37"/>
  <c r="K12" i="40" s="1"/>
  <c r="Q19" i="42"/>
  <c r="N107" i="45" s="1"/>
  <c r="K28" i="37"/>
  <c r="K99" i="45" s="1"/>
  <c r="S11" i="42"/>
  <c r="U11" i="40"/>
  <c r="U17" i="40" s="1"/>
  <c r="N11" i="42"/>
  <c r="U10" i="40"/>
  <c r="J23" i="37"/>
  <c r="K71" i="45" s="1"/>
  <c r="J24" i="37"/>
  <c r="K23" i="37"/>
  <c r="K69" i="45" s="1"/>
  <c r="K24" i="37"/>
  <c r="T18" i="42"/>
  <c r="L91" i="45" s="1"/>
  <c r="P91" i="45" s="1"/>
  <c r="O23" i="37"/>
  <c r="M69" i="45" s="1"/>
  <c r="O24" i="37"/>
  <c r="L23" i="37"/>
  <c r="L71" i="45" s="1"/>
  <c r="L24" i="37"/>
  <c r="M23" i="37"/>
  <c r="L69" i="45" s="1"/>
  <c r="M24" i="37"/>
  <c r="N24" i="37"/>
  <c r="N23" i="37"/>
  <c r="M71" i="45" s="1"/>
  <c r="P23" i="37"/>
  <c r="N71" i="45" s="1"/>
  <c r="P24" i="37"/>
  <c r="Q23" i="37"/>
  <c r="N69" i="45" s="1"/>
  <c r="Q24" i="37"/>
  <c r="L8" i="41"/>
  <c r="I7" i="41"/>
  <c r="O12" i="42"/>
  <c r="O27" i="37"/>
  <c r="O11" i="37"/>
  <c r="M21" i="45" s="1"/>
  <c r="O12" i="37"/>
  <c r="T22" i="42"/>
  <c r="L131" i="45" s="1"/>
  <c r="N31" i="37"/>
  <c r="M125" i="45" s="1"/>
  <c r="Q125" i="45" s="1"/>
  <c r="N12" i="37"/>
  <c r="N11" i="37"/>
  <c r="M23" i="45" s="1"/>
  <c r="P15" i="37"/>
  <c r="Q12" i="37"/>
  <c r="Q11" i="37"/>
  <c r="N21" i="45" s="1"/>
  <c r="P12" i="37"/>
  <c r="P11" i="37"/>
  <c r="N23" i="45" s="1"/>
  <c r="J17" i="37"/>
  <c r="K45" i="45" s="1"/>
  <c r="J12" i="37"/>
  <c r="F11" i="31" s="1"/>
  <c r="H18" i="31" s="1"/>
  <c r="K18" i="31" s="1"/>
  <c r="J11" i="37"/>
  <c r="K23" i="45" s="1"/>
  <c r="K12" i="37"/>
  <c r="K11" i="37"/>
  <c r="K21" i="45" s="1"/>
  <c r="J28" i="37"/>
  <c r="O21" i="42"/>
  <c r="L129" i="45" s="1"/>
  <c r="P129" i="45" s="1"/>
  <c r="L10" i="37"/>
  <c r="L12" i="37"/>
  <c r="L11" i="37"/>
  <c r="L23" i="45" s="1"/>
  <c r="M12" i="37"/>
  <c r="M11" i="37"/>
  <c r="L21" i="45" s="1"/>
  <c r="P21" i="42"/>
  <c r="M129" i="45" s="1"/>
  <c r="Q129" i="45" s="1"/>
  <c r="P9" i="42"/>
  <c r="V9" i="42"/>
  <c r="Q9" i="42"/>
  <c r="T15" i="42"/>
  <c r="T9" i="42"/>
  <c r="O9" i="42"/>
  <c r="S6" i="42"/>
  <c r="R19" i="31" s="1"/>
  <c r="N4" i="45"/>
  <c r="R5" i="45"/>
  <c r="K37" i="45"/>
  <c r="K38" i="45"/>
  <c r="K125" i="45"/>
  <c r="O125" i="45" s="1"/>
  <c r="K103" i="45"/>
  <c r="O103" i="45" s="1"/>
  <c r="K89" i="45"/>
  <c r="O89" i="45" s="1"/>
  <c r="K19" i="45"/>
  <c r="K11" i="45"/>
  <c r="O11" i="45" s="1"/>
  <c r="K27" i="45"/>
  <c r="K13" i="45"/>
  <c r="K15" i="45"/>
  <c r="K101" i="45"/>
  <c r="O101" i="45" s="1"/>
  <c r="K39" i="45"/>
  <c r="O39" i="45" s="1"/>
  <c r="K9" i="45"/>
  <c r="O9" i="45" s="1"/>
  <c r="K87" i="45"/>
  <c r="O87" i="45" s="1"/>
  <c r="K17" i="45"/>
  <c r="N41" i="45"/>
  <c r="R41" i="45" s="1"/>
  <c r="K129" i="45"/>
  <c r="O129" i="45" s="1"/>
  <c r="K133" i="45"/>
  <c r="K137" i="45"/>
  <c r="K141" i="45"/>
  <c r="K107" i="45"/>
  <c r="O107" i="45" s="1"/>
  <c r="K111" i="45"/>
  <c r="K115" i="45"/>
  <c r="K119" i="45"/>
  <c r="K93" i="45"/>
  <c r="O93" i="45" s="1"/>
  <c r="K97" i="45"/>
  <c r="K83" i="45"/>
  <c r="K53" i="45"/>
  <c r="O53" i="45" s="1"/>
  <c r="K57" i="45"/>
  <c r="K33" i="45"/>
  <c r="K127" i="45"/>
  <c r="O127" i="45" s="1"/>
  <c r="K131" i="45"/>
  <c r="K135" i="45"/>
  <c r="K139" i="45"/>
  <c r="K105" i="45"/>
  <c r="O105" i="45" s="1"/>
  <c r="K113" i="45"/>
  <c r="K117" i="45"/>
  <c r="K91" i="45"/>
  <c r="K95" i="45"/>
  <c r="K77" i="45"/>
  <c r="K81" i="45"/>
  <c r="K55" i="45"/>
  <c r="K35" i="45"/>
  <c r="L35" i="45"/>
  <c r="L95" i="45"/>
  <c r="L81" i="45"/>
  <c r="L137" i="45"/>
  <c r="L141" i="45"/>
  <c r="L115" i="45"/>
  <c r="L119" i="45"/>
  <c r="L97" i="45"/>
  <c r="L83" i="45"/>
  <c r="L57" i="45"/>
  <c r="L55" i="45"/>
  <c r="L135" i="45"/>
  <c r="L139" i="45"/>
  <c r="L113" i="45"/>
  <c r="L117" i="45"/>
  <c r="L33" i="45"/>
  <c r="M33" i="45"/>
  <c r="M137" i="45"/>
  <c r="M141" i="45"/>
  <c r="M115" i="45"/>
  <c r="M119" i="45"/>
  <c r="M97" i="45"/>
  <c r="M83" i="45"/>
  <c r="M57" i="45"/>
  <c r="M35" i="45"/>
  <c r="M135" i="45"/>
  <c r="M139" i="45"/>
  <c r="M113" i="45"/>
  <c r="M117" i="45"/>
  <c r="M95" i="45"/>
  <c r="M81" i="45"/>
  <c r="M55" i="45"/>
  <c r="M87" i="45"/>
  <c r="Q87" i="45" s="1"/>
  <c r="K23" i="40"/>
  <c r="P23" i="40" s="1"/>
  <c r="I10" i="41"/>
  <c r="K10" i="41"/>
  <c r="L11" i="41"/>
  <c r="G11" i="41"/>
  <c r="U13" i="42"/>
  <c r="T13" i="42"/>
  <c r="Q11" i="42"/>
  <c r="N53" i="45" s="1"/>
  <c r="P11" i="42"/>
  <c r="O11" i="42"/>
  <c r="U19" i="42"/>
  <c r="M105" i="45" s="1"/>
  <c r="Q105" i="45" s="1"/>
  <c r="T19" i="42"/>
  <c r="L105" i="45" s="1"/>
  <c r="P105" i="45" s="1"/>
  <c r="L7" i="37"/>
  <c r="L38" i="45" s="1"/>
  <c r="Q13" i="37"/>
  <c r="N25" i="45" s="1"/>
  <c r="O10" i="37"/>
  <c r="P27" i="37"/>
  <c r="N89" i="45" s="1"/>
  <c r="R89" i="45" s="1"/>
  <c r="K16" i="37"/>
  <c r="K13" i="40" s="1"/>
  <c r="K31" i="37"/>
  <c r="K123" i="45" s="1"/>
  <c r="O123" i="45" s="1"/>
  <c r="J14" i="37"/>
  <c r="K30" i="37"/>
  <c r="K121" i="45" s="1"/>
  <c r="T10" i="42"/>
  <c r="K17" i="37"/>
  <c r="K43" i="45" s="1"/>
  <c r="V10" i="42"/>
  <c r="P20" i="42"/>
  <c r="M111" i="45" s="1"/>
  <c r="M27" i="37"/>
  <c r="L87" i="45" s="1"/>
  <c r="M19" i="37"/>
  <c r="L61" i="45" s="1"/>
  <c r="L21" i="37"/>
  <c r="L67" i="45" s="1"/>
  <c r="L26" i="37"/>
  <c r="M21" i="37"/>
  <c r="L65" i="45" s="1"/>
  <c r="M26" i="37"/>
  <c r="L25" i="37"/>
  <c r="L75" i="45" s="1"/>
  <c r="M20" i="37"/>
  <c r="L85" i="45" s="1"/>
  <c r="L19" i="37"/>
  <c r="L63" i="45" s="1"/>
  <c r="P63" i="45" s="1"/>
  <c r="L20" i="37"/>
  <c r="M22" i="37"/>
  <c r="M25" i="37"/>
  <c r="L73" i="45" s="1"/>
  <c r="L22" i="37"/>
  <c r="P32" i="37"/>
  <c r="N144" i="45" s="1"/>
  <c r="T12" i="42"/>
  <c r="M13" i="37"/>
  <c r="L25" i="45" s="1"/>
  <c r="M14" i="37"/>
  <c r="Q10" i="37"/>
  <c r="Q31" i="37"/>
  <c r="N123" i="45" s="1"/>
  <c r="R123" i="45" s="1"/>
  <c r="M9" i="37"/>
  <c r="L17" i="45" s="1"/>
  <c r="P13" i="37"/>
  <c r="N27" i="45" s="1"/>
  <c r="P31" i="37"/>
  <c r="N125" i="45" s="1"/>
  <c r="L31" i="37"/>
  <c r="L125" i="45" s="1"/>
  <c r="P125" i="45" s="1"/>
  <c r="L14" i="37"/>
  <c r="O8" i="42"/>
  <c r="P12" i="42"/>
  <c r="P17" i="42"/>
  <c r="V18" i="42"/>
  <c r="N91" i="45" s="1"/>
  <c r="R91" i="45" s="1"/>
  <c r="V15" i="42"/>
  <c r="Q17" i="42"/>
  <c r="O9" i="37"/>
  <c r="M17" i="45" s="1"/>
  <c r="O22" i="37"/>
  <c r="O19" i="37"/>
  <c r="M61" i="45" s="1"/>
  <c r="O26" i="37"/>
  <c r="O25" i="37"/>
  <c r="M73" i="45" s="1"/>
  <c r="O21" i="37"/>
  <c r="M65" i="45" s="1"/>
  <c r="O20" i="37"/>
  <c r="M85" i="45" s="1"/>
  <c r="O18" i="37"/>
  <c r="M47" i="45" s="1"/>
  <c r="Q12" i="42"/>
  <c r="Q15" i="42"/>
  <c r="N29" i="37"/>
  <c r="M103" i="45" s="1"/>
  <c r="N22" i="37"/>
  <c r="N19" i="37"/>
  <c r="M63" i="45" s="1"/>
  <c r="Q63" i="45" s="1"/>
  <c r="N26" i="37"/>
  <c r="N21" i="37"/>
  <c r="M67" i="45" s="1"/>
  <c r="N25" i="37"/>
  <c r="M75" i="45" s="1"/>
  <c r="N20" i="37"/>
  <c r="M86" i="45" s="1"/>
  <c r="N18" i="37"/>
  <c r="M49" i="45" s="1"/>
  <c r="P8" i="42"/>
  <c r="Q21" i="42"/>
  <c r="N129" i="45" s="1"/>
  <c r="R129" i="45" s="1"/>
  <c r="P15" i="42"/>
  <c r="P18" i="37"/>
  <c r="N49" i="45" s="1"/>
  <c r="P20" i="37"/>
  <c r="N86" i="45" s="1"/>
  <c r="Q25" i="37"/>
  <c r="N73" i="45" s="1"/>
  <c r="P22" i="37"/>
  <c r="P19" i="37"/>
  <c r="N63" i="45" s="1"/>
  <c r="Q22" i="37"/>
  <c r="Q19" i="37"/>
  <c r="N61" i="45" s="1"/>
  <c r="P21" i="37"/>
  <c r="N67" i="45" s="1"/>
  <c r="P26" i="37"/>
  <c r="Q21" i="37"/>
  <c r="N65" i="45" s="1"/>
  <c r="Q26" i="37"/>
  <c r="Q20" i="37"/>
  <c r="N85" i="45" s="1"/>
  <c r="P25" i="37"/>
  <c r="N75" i="45" s="1"/>
  <c r="M18" i="37"/>
  <c r="L47" i="45" s="1"/>
  <c r="O15" i="42"/>
  <c r="U12" i="42"/>
  <c r="U15" i="42"/>
  <c r="L28" i="37"/>
  <c r="L100" i="45" s="1"/>
  <c r="M29" i="37"/>
  <c r="L101" i="45" s="1"/>
  <c r="P101" i="45" s="1"/>
  <c r="Q32" i="37"/>
  <c r="N143" i="45" s="1"/>
  <c r="L18" i="37"/>
  <c r="L49" i="45" s="1"/>
  <c r="O17" i="42"/>
  <c r="N15" i="37"/>
  <c r="M41" i="45" s="1"/>
  <c r="N7" i="37"/>
  <c r="P14" i="37"/>
  <c r="L30" i="37"/>
  <c r="L122" i="45" s="1"/>
  <c r="O6" i="37"/>
  <c r="O28" i="37"/>
  <c r="M99" i="45" s="1"/>
  <c r="M32" i="37"/>
  <c r="Q16" i="37"/>
  <c r="N59" i="45" s="1"/>
  <c r="O7" i="37"/>
  <c r="N10" i="37"/>
  <c r="L27" i="37"/>
  <c r="L89" i="45" s="1"/>
  <c r="P9" i="37"/>
  <c r="N19" i="45" s="1"/>
  <c r="Q15" i="37"/>
  <c r="N39" i="45" s="1"/>
  <c r="R39" i="45" s="1"/>
  <c r="M16" i="37"/>
  <c r="L59" i="45" s="1"/>
  <c r="P28" i="37"/>
  <c r="Q14" i="37"/>
  <c r="M28" i="37"/>
  <c r="M7" i="37"/>
  <c r="O14" i="37"/>
  <c r="P29" i="37"/>
  <c r="N103" i="45" s="1"/>
  <c r="R103" i="45" s="1"/>
  <c r="Q6" i="37"/>
  <c r="N9" i="45" s="1"/>
  <c r="Q7" i="37"/>
  <c r="N37" i="45" s="1"/>
  <c r="J18" i="37"/>
  <c r="K49" i="45" s="1"/>
  <c r="J21" i="37"/>
  <c r="K67" i="45" s="1"/>
  <c r="J26" i="37"/>
  <c r="K21" i="37"/>
  <c r="K65" i="45" s="1"/>
  <c r="K26" i="37"/>
  <c r="K22" i="37"/>
  <c r="J25" i="37"/>
  <c r="K75" i="45" s="1"/>
  <c r="J20" i="37"/>
  <c r="K20" i="37"/>
  <c r="K85" i="45" s="1"/>
  <c r="K19" i="37"/>
  <c r="K61" i="45" s="1"/>
  <c r="K25" i="37"/>
  <c r="K73" i="45" s="1"/>
  <c r="J22" i="37"/>
  <c r="J19" i="37"/>
  <c r="K63" i="45" s="1"/>
  <c r="O63" i="45" s="1"/>
  <c r="J10" i="37"/>
  <c r="P6" i="37"/>
  <c r="N10" i="40" s="1"/>
  <c r="K30" i="40" s="1"/>
  <c r="N30" i="40" s="1"/>
  <c r="I62" i="40" s="1"/>
  <c r="L29" i="37"/>
  <c r="L103" i="45" s="1"/>
  <c r="O31" i="37"/>
  <c r="M123" i="45" s="1"/>
  <c r="L13" i="37"/>
  <c r="L27" i="45" s="1"/>
  <c r="K18" i="37"/>
  <c r="K47" i="45" s="1"/>
  <c r="U17" i="42"/>
  <c r="P19" i="42"/>
  <c r="M107" i="45" s="1"/>
  <c r="Q107" i="45" s="1"/>
  <c r="N14" i="37"/>
  <c r="Q9" i="37"/>
  <c r="N17" i="45" s="1"/>
  <c r="N28" i="37"/>
  <c r="M100" i="45" s="1"/>
  <c r="N6" i="37"/>
  <c r="Q29" i="37"/>
  <c r="N101" i="45" s="1"/>
  <c r="R101" i="45" s="1"/>
  <c r="P10" i="37"/>
  <c r="O13" i="37"/>
  <c r="M25" i="45" s="1"/>
  <c r="O15" i="37"/>
  <c r="M39" i="45" s="1"/>
  <c r="Q39" i="45" s="1"/>
  <c r="M31" i="37"/>
  <c r="L123" i="45" s="1"/>
  <c r="P123" i="45" s="1"/>
  <c r="T14" i="42"/>
  <c r="L77" i="45" s="1"/>
  <c r="P77" i="45" s="1"/>
  <c r="T8" i="42"/>
  <c r="Q17" i="37"/>
  <c r="N43" i="45" s="1"/>
  <c r="O13" i="42"/>
  <c r="T17" i="42"/>
  <c r="Q28" i="37"/>
  <c r="N99" i="45" s="1"/>
  <c r="O32" i="37"/>
  <c r="M143" i="45" s="1"/>
  <c r="Q30" i="37"/>
  <c r="Q27" i="37"/>
  <c r="N87" i="45" s="1"/>
  <c r="R87" i="45" s="1"/>
  <c r="M30" i="37"/>
  <c r="P7" i="37"/>
  <c r="I11" i="31" s="1"/>
  <c r="H41" i="31" s="1"/>
  <c r="K41" i="31" s="1"/>
  <c r="E97" i="31" s="1"/>
  <c r="L8" i="37"/>
  <c r="L15" i="45" s="1"/>
  <c r="L6" i="37"/>
  <c r="L11" i="45" s="1"/>
  <c r="O29" i="37"/>
  <c r="M101" i="45" s="1"/>
  <c r="O30" i="37"/>
  <c r="M121" i="45" s="1"/>
  <c r="P30" i="37"/>
  <c r="N122" i="45" s="1"/>
  <c r="P17" i="37"/>
  <c r="N45" i="45" s="1"/>
  <c r="V8" i="42"/>
  <c r="O20" i="42"/>
  <c r="L111" i="45" s="1"/>
  <c r="V17" i="42"/>
  <c r="B7" i="41"/>
  <c r="B8" i="41"/>
  <c r="H7" i="41"/>
  <c r="N7" i="41" s="1"/>
  <c r="H8" i="41"/>
  <c r="P18" i="42"/>
  <c r="M93" i="45" s="1"/>
  <c r="Q93" i="45" s="1"/>
  <c r="Q18" i="42"/>
  <c r="N93" i="45" s="1"/>
  <c r="O18" i="42"/>
  <c r="Q22" i="42"/>
  <c r="N133" i="45" s="1"/>
  <c r="O22" i="42"/>
  <c r="L133" i="45" s="1"/>
  <c r="P22" i="42"/>
  <c r="M133" i="45" s="1"/>
  <c r="T21" i="42"/>
  <c r="L127" i="45" s="1"/>
  <c r="P127" i="45" s="1"/>
  <c r="V21" i="42"/>
  <c r="N127" i="45" s="1"/>
  <c r="U21" i="42"/>
  <c r="M127" i="45" s="1"/>
  <c r="Q127" i="45" s="1"/>
  <c r="O10" i="42"/>
  <c r="Q10" i="42"/>
  <c r="P10" i="42"/>
  <c r="U7" i="42"/>
  <c r="T7" i="42"/>
  <c r="V7" i="42"/>
  <c r="O7" i="42"/>
  <c r="P7" i="42"/>
  <c r="Q7" i="42"/>
  <c r="S20" i="42"/>
  <c r="K109" i="45" s="1"/>
  <c r="R35" i="31"/>
  <c r="F10" i="41"/>
  <c r="O17" i="37"/>
  <c r="M43" i="45" s="1"/>
  <c r="U8" i="42"/>
  <c r="N6" i="42"/>
  <c r="K31" i="45" s="1"/>
  <c r="O31" i="45" s="1"/>
  <c r="F7" i="41"/>
  <c r="V14" i="42"/>
  <c r="N77" i="45" s="1"/>
  <c r="Q8" i="42"/>
  <c r="I11" i="41"/>
  <c r="V12" i="42"/>
  <c r="V22" i="42"/>
  <c r="N131" i="45" s="1"/>
  <c r="B11" i="41"/>
  <c r="H11" i="41"/>
  <c r="N17" i="37"/>
  <c r="M45" i="45" s="1"/>
  <c r="O19" i="42"/>
  <c r="Q13" i="42"/>
  <c r="F8" i="41"/>
  <c r="L15" i="37"/>
  <c r="L41" i="45" s="1"/>
  <c r="M15" i="37"/>
  <c r="L39" i="45" s="1"/>
  <c r="P39" i="45" s="1"/>
  <c r="N30" i="37"/>
  <c r="N27" i="37"/>
  <c r="M89" i="45" s="1"/>
  <c r="B10" i="41"/>
  <c r="M8" i="37"/>
  <c r="L13" i="45" s="1"/>
  <c r="P16" i="37"/>
  <c r="N60" i="45" s="1"/>
  <c r="Q18" i="37"/>
  <c r="N47" i="45" s="1"/>
  <c r="M17" i="37"/>
  <c r="L43" i="45" s="1"/>
  <c r="U18" i="42"/>
  <c r="M91" i="45" s="1"/>
  <c r="Q91" i="45" s="1"/>
  <c r="P13" i="42"/>
  <c r="U22" i="42"/>
  <c r="M131" i="45" s="1"/>
  <c r="Q20" i="42"/>
  <c r="N111" i="45" s="1"/>
  <c r="U14" i="42"/>
  <c r="M77" i="45" s="1"/>
  <c r="Q77" i="45" s="1"/>
  <c r="L9" i="37"/>
  <c r="L19" i="45" s="1"/>
  <c r="M6" i="37"/>
  <c r="L9" i="45" s="1"/>
  <c r="N14" i="42"/>
  <c r="K79" i="45" s="1"/>
  <c r="O79" i="45" s="1"/>
  <c r="G10" i="41"/>
  <c r="L17" i="37"/>
  <c r="L45" i="45" s="1"/>
  <c r="G8" i="41"/>
  <c r="L7" i="41"/>
  <c r="V19" i="42"/>
  <c r="N105" i="45" s="1"/>
  <c r="V13" i="42"/>
  <c r="U11" i="42"/>
  <c r="T11" i="42"/>
  <c r="N13" i="37"/>
  <c r="M27" i="45" s="1"/>
  <c r="N16" i="37"/>
  <c r="N9" i="37"/>
  <c r="M19" i="45" s="1"/>
  <c r="O16" i="37"/>
  <c r="M59" i="45" s="1"/>
  <c r="M10" i="37"/>
  <c r="V11" i="42"/>
  <c r="N51" i="45" s="1"/>
  <c r="M10" i="40"/>
  <c r="K26" i="40" s="1"/>
  <c r="L26" i="40" s="1"/>
  <c r="U10" i="42"/>
  <c r="K86" i="45"/>
  <c r="N121" i="45"/>
  <c r="M8" i="45"/>
  <c r="K143" i="45"/>
  <c r="K100" i="45"/>
  <c r="K8" i="45"/>
  <c r="K122" i="45"/>
  <c r="L86" i="45"/>
  <c r="L8" i="45"/>
  <c r="M122" i="45"/>
  <c r="N100" i="45"/>
  <c r="L99" i="45"/>
  <c r="K60" i="45"/>
  <c r="L143" i="45"/>
  <c r="L121" i="45"/>
  <c r="L16" i="37"/>
  <c r="L60" i="45" s="1"/>
  <c r="N32" i="37"/>
  <c r="M144" i="45" s="1"/>
  <c r="F13" i="31"/>
  <c r="H19" i="31" s="1"/>
  <c r="K19" i="31" s="1"/>
  <c r="J32" i="37"/>
  <c r="K144" i="45" s="1"/>
  <c r="L32" i="37"/>
  <c r="L144" i="45" s="1"/>
  <c r="R107" i="45" l="1"/>
  <c r="V10" i="40"/>
  <c r="V11" i="40"/>
  <c r="M11" i="40"/>
  <c r="K41" i="45"/>
  <c r="O41" i="45" s="1"/>
  <c r="G11" i="31"/>
  <c r="H24" i="31" s="1"/>
  <c r="K24" i="31" s="1"/>
  <c r="W11" i="40"/>
  <c r="W15" i="40" s="1"/>
  <c r="Z25" i="40" s="1"/>
  <c r="W10" i="40"/>
  <c r="U13" i="40"/>
  <c r="U15" i="40"/>
  <c r="K29" i="45"/>
  <c r="V6" i="42"/>
  <c r="N29" i="45" s="1"/>
  <c r="R29" i="45" s="1"/>
  <c r="K51" i="45"/>
  <c r="O51" i="45" s="1"/>
  <c r="T6" i="42"/>
  <c r="L29" i="45" s="1"/>
  <c r="P29" i="45" s="1"/>
  <c r="M53" i="45"/>
  <c r="Q53" i="45" s="1"/>
  <c r="M51" i="45"/>
  <c r="Q51" i="45" s="1"/>
  <c r="H10" i="31"/>
  <c r="G32" i="31" s="1"/>
  <c r="J32" i="31" s="1"/>
  <c r="F10" i="31"/>
  <c r="G18" i="31" s="1"/>
  <c r="J18" i="31" s="1"/>
  <c r="M22" i="40"/>
  <c r="N22" i="40"/>
  <c r="L22" i="40"/>
  <c r="L13" i="40"/>
  <c r="U6" i="42"/>
  <c r="M29" i="45" s="1"/>
  <c r="Q29" i="45" s="1"/>
  <c r="F12" i="31"/>
  <c r="G19" i="31" s="1"/>
  <c r="J19" i="31" s="1"/>
  <c r="H11" i="31"/>
  <c r="H32" i="31" s="1"/>
  <c r="K32" i="31" s="1"/>
  <c r="L107" i="45"/>
  <c r="P107" i="45" s="1"/>
  <c r="I10" i="31"/>
  <c r="G41" i="31" s="1"/>
  <c r="J41" i="31" s="1"/>
  <c r="E99" i="31" s="1"/>
  <c r="R53" i="45"/>
  <c r="R51" i="45"/>
  <c r="N8" i="41"/>
  <c r="O8" i="41" s="1"/>
  <c r="P8" i="41" s="1"/>
  <c r="L51" i="45"/>
  <c r="P51" i="45" s="1"/>
  <c r="R127" i="45"/>
  <c r="L53" i="45"/>
  <c r="P53" i="45" s="1"/>
  <c r="R27" i="31"/>
  <c r="R105" i="45"/>
  <c r="R93" i="45"/>
  <c r="L93" i="45"/>
  <c r="P93" i="45" s="1"/>
  <c r="M13" i="40"/>
  <c r="K59" i="45"/>
  <c r="M60" i="45"/>
  <c r="G13" i="31"/>
  <c r="H25" i="31" s="1"/>
  <c r="K25" i="31" s="1"/>
  <c r="N11" i="40"/>
  <c r="L37" i="45"/>
  <c r="M12" i="40"/>
  <c r="K27" i="40" s="1"/>
  <c r="N27" i="40" s="1"/>
  <c r="P103" i="45"/>
  <c r="G10" i="31"/>
  <c r="G24" i="31" s="1"/>
  <c r="J24" i="31" s="1"/>
  <c r="N11" i="45"/>
  <c r="R11" i="45" s="1"/>
  <c r="H12" i="31"/>
  <c r="G33" i="31" s="1"/>
  <c r="J33" i="31" s="1"/>
  <c r="M11" i="45"/>
  <c r="Q11" i="45" s="1"/>
  <c r="M9" i="45"/>
  <c r="Q9" i="45" s="1"/>
  <c r="D97" i="31"/>
  <c r="P89" i="45"/>
  <c r="O61" i="45"/>
  <c r="R61" i="45"/>
  <c r="N23" i="40"/>
  <c r="R125" i="45"/>
  <c r="M23" i="40"/>
  <c r="L23" i="40"/>
  <c r="O23" i="40"/>
  <c r="P87" i="45"/>
  <c r="Q123" i="45"/>
  <c r="O91" i="45"/>
  <c r="R63" i="45"/>
  <c r="P41" i="45"/>
  <c r="P61" i="45"/>
  <c r="Q101" i="45"/>
  <c r="Q41" i="45"/>
  <c r="Q89" i="45"/>
  <c r="Q61" i="45"/>
  <c r="Q103" i="45"/>
  <c r="N11" i="41"/>
  <c r="O11" i="41" s="1"/>
  <c r="P11" i="41" s="1"/>
  <c r="N10" i="41"/>
  <c r="O10" i="41" s="1"/>
  <c r="R10" i="41" s="1"/>
  <c r="O22" i="40"/>
  <c r="N26" i="40"/>
  <c r="O26" i="40"/>
  <c r="L30" i="40"/>
  <c r="I60" i="40" s="1"/>
  <c r="I59" i="40"/>
  <c r="P30" i="40"/>
  <c r="I64" i="40" s="1"/>
  <c r="M30" i="40"/>
  <c r="I61" i="40" s="1"/>
  <c r="M37" i="45"/>
  <c r="N12" i="40"/>
  <c r="K31" i="40" s="1"/>
  <c r="I12" i="31"/>
  <c r="G42" i="31" s="1"/>
  <c r="N38" i="45"/>
  <c r="R9" i="45"/>
  <c r="P11" i="45"/>
  <c r="L10" i="40"/>
  <c r="K24" i="40" s="1"/>
  <c r="M38" i="45"/>
  <c r="U12" i="40"/>
  <c r="U16" i="40"/>
  <c r="U14" i="40"/>
  <c r="N13" i="40"/>
  <c r="I13" i="31"/>
  <c r="H42" i="31" s="1"/>
  <c r="O30" i="40"/>
  <c r="I63" i="40" s="1"/>
  <c r="L11" i="40"/>
  <c r="R77" i="45"/>
  <c r="H13" i="31"/>
  <c r="H33" i="31" s="1"/>
  <c r="K33" i="31" s="1"/>
  <c r="O7" i="41"/>
  <c r="P14" i="42"/>
  <c r="M79" i="45" s="1"/>
  <c r="Q79" i="45" s="1"/>
  <c r="Q14" i="42"/>
  <c r="N79" i="45" s="1"/>
  <c r="O14" i="42"/>
  <c r="L79" i="45" s="1"/>
  <c r="P79" i="45" s="1"/>
  <c r="G12" i="31"/>
  <c r="G25" i="31" s="1"/>
  <c r="J25" i="31" s="1"/>
  <c r="L12" i="40"/>
  <c r="K25" i="40" s="1"/>
  <c r="Q6" i="42"/>
  <c r="P6" i="42"/>
  <c r="M31" i="45" s="1"/>
  <c r="Q31" i="45" s="1"/>
  <c r="O6" i="42"/>
  <c r="L31" i="45" s="1"/>
  <c r="P31" i="45" s="1"/>
  <c r="R18" i="31"/>
  <c r="M26" i="40"/>
  <c r="P26" i="40"/>
  <c r="P9" i="45"/>
  <c r="V20" i="42"/>
  <c r="N109" i="45" s="1"/>
  <c r="T20" i="42"/>
  <c r="L109" i="45" s="1"/>
  <c r="U20" i="42"/>
  <c r="M109" i="45" s="1"/>
  <c r="X10" i="40" l="1"/>
  <c r="X26" i="40" s="1"/>
  <c r="X11" i="40"/>
  <c r="X27" i="40" s="1"/>
  <c r="W13" i="40"/>
  <c r="Y25" i="40" s="1"/>
  <c r="R8" i="41"/>
  <c r="Q8" i="41"/>
  <c r="R33" i="31" s="1"/>
  <c r="W17" i="40"/>
  <c r="AA25" i="40" s="1"/>
  <c r="X25" i="40"/>
  <c r="D99" i="31"/>
  <c r="P27" i="40"/>
  <c r="O27" i="40"/>
  <c r="L27" i="40"/>
  <c r="M27" i="40"/>
  <c r="R25" i="31"/>
  <c r="O29" i="45"/>
  <c r="N31" i="45"/>
  <c r="R31" i="45" s="1"/>
  <c r="Q11" i="41"/>
  <c r="R11" i="41"/>
  <c r="P10" i="41"/>
  <c r="Q10" i="41"/>
  <c r="L24" i="40"/>
  <c r="N24" i="40"/>
  <c r="P24" i="40"/>
  <c r="M24" i="40"/>
  <c r="O24" i="40"/>
  <c r="O77" i="45"/>
  <c r="J59" i="40"/>
  <c r="L31" i="40"/>
  <c r="J60" i="40" s="1"/>
  <c r="N31" i="40"/>
  <c r="J62" i="40" s="1"/>
  <c r="P31" i="40"/>
  <c r="J64" i="40" s="1"/>
  <c r="O31" i="40"/>
  <c r="J63" i="40" s="1"/>
  <c r="M31" i="40"/>
  <c r="J61" i="40" s="1"/>
  <c r="R79" i="45"/>
  <c r="D98" i="31"/>
  <c r="J42" i="31"/>
  <c r="E98" i="31" s="1"/>
  <c r="D96" i="31"/>
  <c r="K42" i="31"/>
  <c r="E96" i="31" s="1"/>
  <c r="V14" i="40"/>
  <c r="Z22" i="40" s="1"/>
  <c r="V16" i="40"/>
  <c r="AA22" i="40" s="1"/>
  <c r="V12" i="40"/>
  <c r="Y22" i="40" s="1"/>
  <c r="X22" i="40"/>
  <c r="P7" i="41"/>
  <c r="Q7" i="41"/>
  <c r="R7" i="41"/>
  <c r="L25" i="40"/>
  <c r="M25" i="40"/>
  <c r="P25" i="40"/>
  <c r="N25" i="40"/>
  <c r="O25" i="40"/>
  <c r="V17" i="40"/>
  <c r="AA23" i="40" s="1"/>
  <c r="X23" i="40"/>
  <c r="V13" i="40"/>
  <c r="Y23" i="40" s="1"/>
  <c r="V15" i="40"/>
  <c r="Z23" i="40" s="1"/>
  <c r="X17" i="40" l="1"/>
  <c r="AA27" i="40" s="1"/>
  <c r="X13" i="40"/>
  <c r="Y27" i="40" s="1"/>
  <c r="X15" i="40"/>
  <c r="X14" i="40"/>
  <c r="X16" i="40"/>
  <c r="X12" i="40"/>
  <c r="R32" i="31"/>
  <c r="R34" i="31"/>
  <c r="R26" i="31"/>
  <c r="R24" i="31"/>
  <c r="X24" i="40"/>
  <c r="W12" i="40"/>
  <c r="Y24" i="40" s="1"/>
  <c r="W16" i="40"/>
  <c r="AA24" i="40" s="1"/>
  <c r="W14" i="40"/>
  <c r="Z24" i="40" s="1"/>
  <c r="Z27" i="40"/>
  <c r="AA26" i="40" l="1"/>
  <c r="Y26" i="40"/>
  <c r="Z26" i="40"/>
</calcChain>
</file>

<file path=xl/sharedStrings.xml><?xml version="1.0" encoding="utf-8"?>
<sst xmlns="http://schemas.openxmlformats.org/spreadsheetml/2006/main" count="1745" uniqueCount="450">
  <si>
    <t>Risk Evaluation for 1,1-Dichloroethane  -</t>
  </si>
  <si>
    <t>Supplemental Information File:</t>
  </si>
  <si>
    <t>Risk Calculator for Occupational Exposures</t>
  </si>
  <si>
    <t>CASRN: 75-34-3</t>
  </si>
  <si>
    <t>Supplemental Risk Evaluation for 1,1-Dichloroethane</t>
  </si>
  <si>
    <t>Supplemental File on 1,1-Dichloroethane Risk Calculations</t>
  </si>
  <si>
    <t>Description of this workbook:</t>
  </si>
  <si>
    <t xml:space="preserve">The risk calculator for 1,1-dichloroethane contains the following spreadsheets: 1) COU Summary, 2) Dashboard, 3) Bridge Table, 4) Risk Reduction, 5) Health Data, 6) Dermal Exposure, 7) Dermal Crosswalk, 8) Inhalation Exposure, 9) List Values, and 10) Exposure Factors. The workbook is designed so that the user need only use/change the input cells in three spreadsheets, the Dashboard, the Bridge Table, and the Risk Reduction, which have tabs colored green and contain the results of the risk calculator. The remaining spreadsheets contain data storage and calculation spreadsheets. </t>
  </si>
  <si>
    <t>Key Worksheets</t>
  </si>
  <si>
    <t>Description</t>
  </si>
  <si>
    <t>Dashboard</t>
  </si>
  <si>
    <r>
      <t>This Dashboard is an interactive spreadsheet that allows a user to view exposure results for a selected COU. The user can select a) the desired COU, and b) dermal exposures for the worker type (either an average adult or a woman of childbearing age) from a drop-down menu. The exposure estimates are shown in the “</t>
    </r>
    <r>
      <rPr>
        <i/>
        <sz val="11"/>
        <rFont val="Arial"/>
        <family val="2"/>
      </rPr>
      <t>Exposure Outputs</t>
    </r>
    <r>
      <rPr>
        <sz val="11"/>
        <rFont val="Arial"/>
        <family val="2"/>
      </rPr>
      <t>” section for both inhalation and dermal routes and for high-end and central tendency exposures. For inhalation exposures the columns show results for both worker and occupational non-user (ONU) exposures. The “Risk Estimation” sections are separated into acute, chronic non-cancer and cancer sections. For each section there is a brief description of the hazard endpoint and the hazard value i.e. human equivalent concentration (HEC) for non-cancer effects from inhalation exposure, human equivalent dose (HED) for non-cancer effects from dermal exposure or a slope factor for cancer and the benchmark margins of exposure (MOEs) or benchmark values for cancer risk are provided to the right of the hazard value. The risk estimations show one column for exposures without PPE. Note that health data (e.g., HEC, IUR) are on an 8-hr TWA basis.</t>
    </r>
  </si>
  <si>
    <t>Bridge Table</t>
  </si>
  <si>
    <t xml:space="preserve">The table provides summary of the risk estimates for inhalation and dermal exposures for all occupational exposure scenarios.  Risk estimates that exceed the benchmark (i.e., MOEs less than the benchmark MOE or cancer risks greater than the cancer risk benchmark) are highlighted by bolding the number and shading the cell. </t>
  </si>
  <si>
    <t>Risk Reduction</t>
  </si>
  <si>
    <t>The RR spreadsheet is an expanded version of the Dashboard. Similar to the Dashboard, the Risk Reduction allows the user to select a COU. In the Risk Reduction spreadsheet, the user can also elect to see results for a worker or ONU separately. Additionally, the Heat Map displays all the PPE options. The Risk Reduction spreadsheet includes results without PPE and for each of the PPE options (i.e. APF or PF). The Risk Reduction spreadsheet has a row for each toxicity endpoint, and each row shows the cancer risk or MOE values. Similar to the Dashboard, the RR spreadsheet shades results if the MOE is less than the benchmark MOE or the cancer risk is greater than the benchmark cancer risk.</t>
  </si>
  <si>
    <t>Health Data,  
Dermal Crosswalk, 
Inhalation Exposure, 
List Values and 
Exposure Factors</t>
  </si>
  <si>
    <t>As described above the remaining spreadsheets are data storage and calculation spreadsheets. These worksheets store the exposure estimates, health values and store some of the risk calculations. The user does not need to access these worksheets to use the Dashboard and Risk Reduction spreadsheets as described above; all results are automatically loaded into the Dashboard and Risk Reduction spreadsheets.</t>
  </si>
  <si>
    <t>Equations and Calculations Used for Risk Calculator</t>
  </si>
  <si>
    <t>Exposure Type</t>
  </si>
  <si>
    <t>Equation</t>
  </si>
  <si>
    <t>Equation Parameters</t>
  </si>
  <si>
    <r>
      <t>Inhalation Exposure Calculations</t>
    </r>
    <r>
      <rPr>
        <b/>
        <vertAlign val="superscript"/>
        <sz val="10"/>
        <color theme="1"/>
        <rFont val="Calibri"/>
        <family val="2"/>
        <scheme val="minor"/>
      </rPr>
      <t>a</t>
    </r>
  </si>
  <si>
    <t>Acute Concentration (AC) (ppm)</t>
  </si>
  <si>
    <t>8-hr TWA Concentration x ED / AT_AC</t>
  </si>
  <si>
    <t>- ED = 8 hr/day
- AT_AC = 24 hr/day</t>
  </si>
  <si>
    <t>Intermediate Average Daily Concentration (ADC)(ppm)</t>
  </si>
  <si>
    <t>8-hr TWA concentration x ED x EF_ST/AT_ADC_ST</t>
  </si>
  <si>
    <t>- ED = 8 hr/day
- EF_ST = The exposure days in the numerator will typically be 22 days/yr when the total exposure days/yr is &gt;22 days/yr or equal to the total exposure days/yr if the total is &lt;22 days/yr. This maximizes the number of exposure days in the intermediate timeframe, accounting for days off.  However, we may adjust this approach if we have specific information about the OES. For example, if we know that facilities operate using a single, week-long campaign, once per month (i.e., 7 days/month x 12 months). In this case, we would use 7 days for the intermediate exposure days.
- AT_ADC_ST= 720 hr (i.e. 30 days x 24 hr/day)</t>
  </si>
  <si>
    <t>Chronic Average Daily Concentration (ADC)(ppm)</t>
  </si>
  <si>
    <t>8-hr TWA concentration x ED x EF x WY/AT_ADC</t>
  </si>
  <si>
    <t>- ED = 8 hr/day
- EF = 125-350 days depending on OES
- WY = 31 (central tendency) to 40 yr (high-end)
- AT_ADC = 271,560 (central tendency) to 350,400 hr (high-end) (i.e. WY x 365 days/yr x 24 hr/day)</t>
  </si>
  <si>
    <t>Lifetime Average Daily Concentration (LADC)(ppm)</t>
  </si>
  <si>
    <t>8-hr TWA concentration x ED x EF x WY/AT_LADC</t>
  </si>
  <si>
    <t>- ED = 8 hr/day
- EF = 125-350 days depending on OES
- WY = 31 (central tendency) to 40 yr (high-end)
- AT_LADC = 683,280 hr (i.e. 78 yr x 365 days/yr x 24 hr/day)</t>
  </si>
  <si>
    <t>a - Inhalation metrics (AC, intermediate ADC, chronic ADC, LADC) will all be multiplied by a breathing rate ratio of 1.25/0.6125.</t>
  </si>
  <si>
    <t>Non-Cancer Inhalation Exposure Risk Calculations</t>
  </si>
  <si>
    <t>Human Equivalent Concentration (HEC) (ppm)</t>
  </si>
  <si>
    <t>see Health Data tab</t>
  </si>
  <si>
    <t>Benchmark Margin of Exposure (MOE) (unitless)</t>
  </si>
  <si>
    <t>Acute MOE (unitless)</t>
  </si>
  <si>
    <t>HEC / AC</t>
  </si>
  <si>
    <t>The calculated MOE is then compared with the Benchmark MOE; if the calculated MOE is less than the benchmark MOE then there is risk.</t>
  </si>
  <si>
    <t>Chronic, Non-Cancer MOE (unitless)</t>
  </si>
  <si>
    <t>HEC / ADC</t>
  </si>
  <si>
    <t>Cancer Inhalation Exposure Risk Calculations</t>
  </si>
  <si>
    <r>
      <t>Inhalation Unit Risk (ppm</t>
    </r>
    <r>
      <rPr>
        <vertAlign val="superscript"/>
        <sz val="10"/>
        <color theme="1"/>
        <rFont val="Calibri"/>
        <family val="2"/>
        <scheme val="minor"/>
      </rPr>
      <t>-1</t>
    </r>
    <r>
      <rPr>
        <sz val="10"/>
        <color theme="1"/>
        <rFont val="Calibri"/>
        <family val="2"/>
        <scheme val="minor"/>
      </rPr>
      <t>)</t>
    </r>
  </si>
  <si>
    <t>Cancer risk (unitless)</t>
  </si>
  <si>
    <t>IUR x LADC</t>
  </si>
  <si>
    <t xml:space="preserve">Cancer risk in a population (i.e., 1 in XXX). This value is then compared with the cancer risk benchmarks of 10-4 (1-in-1,000) </t>
  </si>
  <si>
    <t>Dermal Exposures</t>
  </si>
  <si>
    <t>Acute Potential Dose Rate (APDR) (mg/day)</t>
  </si>
  <si>
    <t>SA x Qu x Fabs x Yderm x FT</t>
  </si>
  <si>
    <r>
      <t>- SA = Surface area of dermal exposure (535 cm</t>
    </r>
    <r>
      <rPr>
        <vertAlign val="superscript"/>
        <sz val="10"/>
        <color theme="1"/>
        <rFont val="Calibri"/>
        <family val="2"/>
        <scheme val="minor"/>
      </rPr>
      <t xml:space="preserve">2 </t>
    </r>
    <r>
      <rPr>
        <sz val="10"/>
        <color theme="1"/>
        <rFont val="Calibri"/>
        <family val="2"/>
        <scheme val="minor"/>
      </rPr>
      <t>for 1-hand and 1,070 cm</t>
    </r>
    <r>
      <rPr>
        <vertAlign val="superscript"/>
        <sz val="10"/>
        <color theme="1"/>
        <rFont val="Calibri"/>
        <family val="2"/>
        <scheme val="minor"/>
      </rPr>
      <t>2</t>
    </r>
    <r>
      <rPr>
        <sz val="10"/>
        <color theme="1"/>
        <rFont val="Calibri"/>
        <family val="2"/>
        <scheme val="minor"/>
      </rPr>
      <t xml:space="preserve"> for 2-hand exposure)
- Qu = Quantity remaining on Skin: 1.4 (central tendency) to 2.1 (high end) mg/cm</t>
    </r>
    <r>
      <rPr>
        <vertAlign val="superscript"/>
        <sz val="10"/>
        <color theme="1"/>
        <rFont val="Calibri"/>
        <family val="2"/>
        <scheme val="minor"/>
      </rPr>
      <t>2</t>
    </r>
    <r>
      <rPr>
        <sz val="10"/>
        <color theme="1"/>
        <rFont val="Calibri"/>
        <family val="2"/>
        <scheme val="minor"/>
      </rPr>
      <t>-event
- Fabs = Fraction absorbed into skin: 0.0288 for neat solutions, 0.304 for dilute solutions
- Yderm = Concentration of chemical of interest
- FT = Exposure frequency : 1 event/day</t>
    </r>
  </si>
  <si>
    <t>Acute Retained Dose (ARD)(mg/kg-day)</t>
  </si>
  <si>
    <t>APDR / BW</t>
  </si>
  <si>
    <t>- BW = Body weight: 80 kg (average adult worker), 72.4 kg (woman of childbearing age)</t>
  </si>
  <si>
    <t xml:space="preserve">Intermediate Retained Dose (CRD), Non-Cancer (mg/kg-day) </t>
  </si>
  <si>
    <t>ARD x EF_ST x WY / AT</t>
  </si>
  <si>
    <t>- EF_ST = The exposure days in the numerator will typically be 22 days/yr when the total exposure days/yr is &gt;22 days/yr or equal to the total exposure days/yr if the total is &lt;22 days/yr. This maximizes the number of exposure days in the intermediate timeframe, accounting for days off.  
- WY = Working years for the intermediate period (yrs)—not used for intermediate	 				effects resulting from &lt;1 yr of exposures
- AT = 30 days</t>
  </si>
  <si>
    <t xml:space="preserve">Chronic Retained Dose (CRD), Non-Cancer (mg/kg-day) </t>
  </si>
  <si>
    <t>ARD x EF x WY / AT</t>
  </si>
  <si>
    <t>- EF = 125-350 days depending on OES
- WY = 31 (central tendency) to 40 yr (high-end)
- AT = 11,315 day (central tendency) to 14,600 day (high-end) (i.e. WY x 365 days/yr)</t>
  </si>
  <si>
    <t xml:space="preserve">Chronic Retained Dose (CRD), Cancer (mg/kg-day) </t>
  </si>
  <si>
    <t xml:space="preserve">- EF = 125-350 days depending on OES
- WY = 31 (central tendency) to 40 yr (high-end)
- AT = 28,470 day </t>
  </si>
  <si>
    <t>Non-Cancer Dermal Exposure Risk Calculations</t>
  </si>
  <si>
    <t>Human Equivalent Dose (HED) (ppm)</t>
  </si>
  <si>
    <t>HED / ARD</t>
  </si>
  <si>
    <t>HED / CRD</t>
  </si>
  <si>
    <r>
      <t>Dermal Cancer Slope Factor (CSF)(mg/kg-day</t>
    </r>
    <r>
      <rPr>
        <vertAlign val="superscript"/>
        <sz val="10"/>
        <color theme="1"/>
        <rFont val="Calibri"/>
        <family val="2"/>
        <scheme val="minor"/>
      </rPr>
      <t>-1</t>
    </r>
    <r>
      <rPr>
        <sz val="10"/>
        <color theme="1"/>
        <rFont val="Calibri"/>
        <family val="2"/>
        <scheme val="minor"/>
      </rPr>
      <t>)</t>
    </r>
  </si>
  <si>
    <t>CSF x CRD (Cancer)</t>
  </si>
  <si>
    <t>Condition of Use</t>
  </si>
  <si>
    <t>Dermal</t>
  </si>
  <si>
    <t>Select the Condition of Use (select)</t>
  </si>
  <si>
    <t>Estimation Method</t>
  </si>
  <si>
    <t>Processing – Repackaging Scenario 3 (loading)</t>
  </si>
  <si>
    <t>Probabilistic</t>
  </si>
  <si>
    <t>8-hr TWA Exposures</t>
  </si>
  <si>
    <t>Exposure Outputs</t>
  </si>
  <si>
    <t>Category</t>
  </si>
  <si>
    <t>Exposure Level</t>
  </si>
  <si>
    <t>Full-Shift (Eight-Hour) TWA Exposure</t>
  </si>
  <si>
    <t>Acute, Non-Cancer Exposures</t>
  </si>
  <si>
    <t>Intermediate, Non-Cancer Exposures</t>
  </si>
  <si>
    <t>Chronic, Non-Cancer Exposures</t>
  </si>
  <si>
    <t>Chronic, Cancer Exposures</t>
  </si>
  <si>
    <t>Acute Potential Dose Rate</t>
  </si>
  <si>
    <t>Acute Retained Dose</t>
  </si>
  <si>
    <t>Intermediate Retained Dose, Non-Cancer</t>
  </si>
  <si>
    <t>Chronic Retained Dose, Non-Cancer</t>
  </si>
  <si>
    <r>
      <t>C</t>
    </r>
    <r>
      <rPr>
        <b/>
        <vertAlign val="subscript"/>
        <sz val="10"/>
        <rFont val="Calibri"/>
        <family val="2"/>
        <scheme val="minor"/>
      </rPr>
      <t>1,1-Dichloroethane</t>
    </r>
    <r>
      <rPr>
        <b/>
        <sz val="10"/>
        <rFont val="Calibri"/>
        <family val="2"/>
        <scheme val="minor"/>
      </rPr>
      <t>, 8-hr TWA (ppm)</t>
    </r>
  </si>
  <si>
    <r>
      <t>AC</t>
    </r>
    <r>
      <rPr>
        <b/>
        <vertAlign val="subscript"/>
        <sz val="10"/>
        <rFont val="Calibri"/>
        <family val="2"/>
        <scheme val="minor"/>
      </rPr>
      <t>1,1-Dichloroethane</t>
    </r>
    <r>
      <rPr>
        <b/>
        <sz val="10"/>
        <rFont val="Calibri"/>
        <family val="2"/>
        <scheme val="minor"/>
      </rPr>
      <t>, 8-hr TWA (ppm)</t>
    </r>
  </si>
  <si>
    <r>
      <t>ADC</t>
    </r>
    <r>
      <rPr>
        <b/>
        <vertAlign val="subscript"/>
        <sz val="10"/>
        <rFont val="Calibri"/>
        <family val="2"/>
        <scheme val="minor"/>
      </rPr>
      <t>1,1-Dichloroethane</t>
    </r>
    <r>
      <rPr>
        <b/>
        <sz val="10"/>
        <rFont val="Calibri"/>
        <family val="2"/>
        <scheme val="minor"/>
      </rPr>
      <t>, 8-hr TWA (ppm)</t>
    </r>
  </si>
  <si>
    <r>
      <t>LADC</t>
    </r>
    <r>
      <rPr>
        <b/>
        <vertAlign val="subscript"/>
        <sz val="10"/>
        <rFont val="Calibri"/>
        <family val="2"/>
        <scheme val="minor"/>
      </rPr>
      <t>1,1-Dichloroethane</t>
    </r>
    <r>
      <rPr>
        <b/>
        <sz val="10"/>
        <rFont val="Calibri"/>
        <family val="2"/>
        <scheme val="minor"/>
      </rPr>
      <t>, 8-hr TWA (ppm)</t>
    </r>
  </si>
  <si>
    <r>
      <t>APDR</t>
    </r>
    <r>
      <rPr>
        <b/>
        <vertAlign val="subscript"/>
        <sz val="10"/>
        <color theme="1"/>
        <rFont val="Calibri"/>
        <family val="2"/>
        <scheme val="minor"/>
      </rPr>
      <t>exp</t>
    </r>
    <r>
      <rPr>
        <b/>
        <sz val="10"/>
        <color theme="1"/>
        <rFont val="Calibri"/>
        <family val="2"/>
        <scheme val="minor"/>
      </rPr>
      <t xml:space="preserve"> (mg/day)</t>
    </r>
  </si>
  <si>
    <r>
      <t>ARD</t>
    </r>
    <r>
      <rPr>
        <b/>
        <vertAlign val="subscript"/>
        <sz val="10"/>
        <rFont val="Calibri"/>
        <family val="2"/>
        <scheme val="minor"/>
      </rPr>
      <t>1,1-Dichloroethane</t>
    </r>
    <r>
      <rPr>
        <b/>
        <sz val="10"/>
        <rFont val="Calibri"/>
        <family val="2"/>
        <scheme val="minor"/>
      </rPr>
      <t xml:space="preserve"> (mg/kg-day)</t>
    </r>
  </si>
  <si>
    <r>
      <t>CRD</t>
    </r>
    <r>
      <rPr>
        <b/>
        <vertAlign val="subscript"/>
        <sz val="10"/>
        <rFont val="Calibri"/>
        <family val="2"/>
        <scheme val="minor"/>
      </rPr>
      <t>1,1-Dichloroethane</t>
    </r>
    <r>
      <rPr>
        <b/>
        <sz val="10"/>
        <rFont val="Calibri"/>
        <family val="2"/>
        <scheme val="minor"/>
      </rPr>
      <t xml:space="preserve"> (mg/kg-day)</t>
    </r>
  </si>
  <si>
    <t>Worker</t>
  </si>
  <si>
    <t>High End</t>
  </si>
  <si>
    <t>Worker, No Gloves</t>
  </si>
  <si>
    <t>ONU</t>
  </si>
  <si>
    <t>Central Tendency</t>
  </si>
  <si>
    <t>Risk Estimation for Acute Inhalation Exposures</t>
  </si>
  <si>
    <t>Risk Estimation for Acute, Non-Cancer Dermal Exposures</t>
  </si>
  <si>
    <t>Health Effect, Endpoint and Study</t>
  </si>
  <si>
    <t>HEC (ppm)</t>
  </si>
  <si>
    <t>Benchmark MOE 
(= Total UF)</t>
  </si>
  <si>
    <t>Acute Exposure Estimates</t>
  </si>
  <si>
    <t>HED (mg/kg)</t>
  </si>
  <si>
    <t>Chronic Exposure Estimates</t>
  </si>
  <si>
    <t>Worker MOE</t>
  </si>
  <si>
    <t>ONU MOE</t>
  </si>
  <si>
    <t>Worker MOE, No Gloves</t>
  </si>
  <si>
    <t>Tox1</t>
  </si>
  <si>
    <t>Tox5</t>
  </si>
  <si>
    <t>Risk Estimation for Intermediate, Non-Cancer Inhalation Exposures</t>
  </si>
  <si>
    <t>Risk Estimation for Intermediate, Non-Cancer Dermal Exposures</t>
  </si>
  <si>
    <t>Intermediate Exposure Estimates</t>
  </si>
  <si>
    <t>Tox2</t>
  </si>
  <si>
    <t>Tox6</t>
  </si>
  <si>
    <t>Database Uncertainty Factor</t>
  </si>
  <si>
    <t>Risk Estimation for Chronic, Non-Cancer Inhalation Exposures</t>
  </si>
  <si>
    <t>Risk Estimation for Chronic, Non-Cancer Dermal Exposures</t>
  </si>
  <si>
    <t>Tox3</t>
  </si>
  <si>
    <t>Tox7</t>
  </si>
  <si>
    <t>Cancer Risks</t>
  </si>
  <si>
    <t>Chronic Cancer Exposure Estimates</t>
  </si>
  <si>
    <t>Risk Estimate</t>
  </si>
  <si>
    <r>
      <t>IUR (ppm)</t>
    </r>
    <r>
      <rPr>
        <b/>
        <vertAlign val="superscript"/>
        <sz val="10"/>
        <color theme="1"/>
        <rFont val="Calibri"/>
        <family val="2"/>
        <scheme val="minor"/>
      </rPr>
      <t>-1</t>
    </r>
  </si>
  <si>
    <t>Benchmark</t>
  </si>
  <si>
    <t xml:space="preserve">Worker </t>
  </si>
  <si>
    <t xml:space="preserve">ONU </t>
  </si>
  <si>
    <t>Tox4</t>
  </si>
  <si>
    <r>
      <t>10</t>
    </r>
    <r>
      <rPr>
        <b/>
        <vertAlign val="superscript"/>
        <sz val="10"/>
        <color theme="1"/>
        <rFont val="Calibri"/>
        <family val="2"/>
        <scheme val="minor"/>
      </rPr>
      <t>-4</t>
    </r>
    <r>
      <rPr>
        <b/>
        <sz val="10"/>
        <color theme="1"/>
        <rFont val="Calibri"/>
        <family val="2"/>
        <scheme val="minor"/>
      </rPr>
      <t>, 10</t>
    </r>
    <r>
      <rPr>
        <b/>
        <vertAlign val="superscript"/>
        <sz val="10"/>
        <color theme="1"/>
        <rFont val="Calibri"/>
        <family val="2"/>
        <scheme val="minor"/>
      </rPr>
      <t>-5</t>
    </r>
    <r>
      <rPr>
        <b/>
        <sz val="10"/>
        <color theme="1"/>
        <rFont val="Calibri"/>
        <family val="2"/>
        <scheme val="minor"/>
      </rPr>
      <t>, 10</t>
    </r>
    <r>
      <rPr>
        <b/>
        <vertAlign val="superscript"/>
        <sz val="10"/>
        <color theme="1"/>
        <rFont val="Calibri"/>
        <family val="2"/>
        <scheme val="minor"/>
      </rPr>
      <t>-6</t>
    </r>
  </si>
  <si>
    <t>Inhalation Cancer Risk Estimates</t>
  </si>
  <si>
    <t>Cancer Risk</t>
  </si>
  <si>
    <t>Dermal Cancer Risk Estimates</t>
  </si>
  <si>
    <t>ONU: Central Tendency</t>
  </si>
  <si>
    <t>ONU: High End</t>
  </si>
  <si>
    <t>Worker: Central Tendency</t>
  </si>
  <si>
    <t>Worker: High End</t>
  </si>
  <si>
    <t>Summary of Risk Estimates for Inhalation and Dermal Exposures to Workers by Condition of Use</t>
  </si>
  <si>
    <t>Benchmarks</t>
  </si>
  <si>
    <t>Inhalation
8-hr TWA</t>
  </si>
  <si>
    <t>--</t>
  </si>
  <si>
    <t>Respirator APF =</t>
  </si>
  <si>
    <t>Glove PF =</t>
  </si>
  <si>
    <t>OES Group</t>
  </si>
  <si>
    <t>Population</t>
  </si>
  <si>
    <t>Exposure Route</t>
  </si>
  <si>
    <t>Life Cycle Stage/ Category</t>
  </si>
  <si>
    <t>Subcategory</t>
  </si>
  <si>
    <t>Occupational Exposure Scenario</t>
  </si>
  <si>
    <t>Exposure Route and Duration</t>
  </si>
  <si>
    <t>Risk Estimates for No PPE</t>
  </si>
  <si>
    <t>Risk Estimates with PPE</t>
  </si>
  <si>
    <t>Select the PPE APF or PF for Each OES, Receptor, and Endpoint</t>
  </si>
  <si>
    <r>
      <t>Cancer (bench­mark = 10</t>
    </r>
    <r>
      <rPr>
        <b/>
        <vertAlign val="superscript"/>
        <sz val="9.5"/>
        <color rgb="FF000000"/>
        <rFont val="Times New Roman"/>
        <family val="1"/>
      </rPr>
      <t>-4</t>
    </r>
    <r>
      <rPr>
        <b/>
        <sz val="9.5"/>
        <color rgb="FF000000"/>
        <rFont val="Times New Roman"/>
        <family val="1"/>
      </rPr>
      <t>)</t>
    </r>
  </si>
  <si>
    <t>Acute Non-cancer</t>
  </si>
  <si>
    <t>Intermediate Non-cancer</t>
  </si>
  <si>
    <t>Chronic Non-cancer</t>
  </si>
  <si>
    <t>Cancer</t>
  </si>
  <si>
    <r>
      <t>Acute Non-cancer HEC (mg/m</t>
    </r>
    <r>
      <rPr>
        <b/>
        <vertAlign val="superscript"/>
        <sz val="9.5"/>
        <color rgb="FF000000"/>
        <rFont val="Times New Roman"/>
        <family val="1"/>
      </rPr>
      <t>3</t>
    </r>
    <r>
      <rPr>
        <b/>
        <sz val="9.5"/>
        <color rgb="FF000000"/>
        <rFont val="Times New Roman"/>
        <family val="1"/>
      </rPr>
      <t>) and HED (mg/kg-d)</t>
    </r>
  </si>
  <si>
    <r>
      <t>Intermediate Non-cancer HEC (mg/m</t>
    </r>
    <r>
      <rPr>
        <b/>
        <vertAlign val="superscript"/>
        <sz val="9.5"/>
        <color rgb="FF000000"/>
        <rFont val="Times New Roman"/>
        <family val="1"/>
      </rPr>
      <t>3</t>
    </r>
    <r>
      <rPr>
        <b/>
        <sz val="9.5"/>
        <color rgb="FF000000"/>
        <rFont val="Times New Roman"/>
        <family val="1"/>
      </rPr>
      <t>) and HED (mg/kg-d)</t>
    </r>
  </si>
  <si>
    <r>
      <t>Chronic Non-cancer HEC (mg/m</t>
    </r>
    <r>
      <rPr>
        <b/>
        <vertAlign val="superscript"/>
        <sz val="9.5"/>
        <color rgb="FF000000"/>
        <rFont val="Times New Roman"/>
        <family val="1"/>
      </rPr>
      <t>3</t>
    </r>
    <r>
      <rPr>
        <b/>
        <sz val="9.5"/>
        <color rgb="FF000000"/>
        <rFont val="Times New Roman"/>
        <family val="1"/>
      </rPr>
      <t>) and HED (mg/kg-d)</t>
    </r>
  </si>
  <si>
    <r>
      <t>Cancer CSF (ppm)</t>
    </r>
    <r>
      <rPr>
        <b/>
        <vertAlign val="superscript"/>
        <sz val="9.5"/>
        <color rgb="FF000000"/>
        <rFont val="Times New Roman"/>
        <family val="1"/>
      </rPr>
      <t>-1</t>
    </r>
    <r>
      <rPr>
        <b/>
        <sz val="9.5"/>
        <color rgb="FF000000"/>
        <rFont val="Times New Roman"/>
        <family val="1"/>
      </rPr>
      <t xml:space="preserve"> and (mg/kg-d)</t>
    </r>
    <r>
      <rPr>
        <b/>
        <vertAlign val="superscript"/>
        <sz val="9.5"/>
        <color rgb="FF000000"/>
        <rFont val="Times New Roman"/>
        <family val="1"/>
      </rPr>
      <t>-1</t>
    </r>
  </si>
  <si>
    <t>1a</t>
  </si>
  <si>
    <t>Inhalation</t>
  </si>
  <si>
    <t>Manufacture/
Domestic Manufacturing</t>
  </si>
  <si>
    <t>Domestic manufacture</t>
  </si>
  <si>
    <t>Manufacturing</t>
  </si>
  <si>
    <t>Operator / Process Technician</t>
  </si>
  <si>
    <t>APF</t>
  </si>
  <si>
    <t>-</t>
  </si>
  <si>
    <t>High-End</t>
  </si>
  <si>
    <t>1b</t>
  </si>
  <si>
    <t>Operator / Process Technician - Responding to line leaks</t>
  </si>
  <si>
    <t>1c</t>
  </si>
  <si>
    <t>Maintenance Technician</t>
  </si>
  <si>
    <t>1d</t>
  </si>
  <si>
    <t>Logistics/Distribution Technician</t>
  </si>
  <si>
    <t>1e</t>
  </si>
  <si>
    <t>Laboratory Technician</t>
  </si>
  <si>
    <t>Worker - Deterministic</t>
  </si>
  <si>
    <t>PF</t>
  </si>
  <si>
    <t>1aa</t>
  </si>
  <si>
    <t>Worker - Probabilistic</t>
  </si>
  <si>
    <t>N/A</t>
  </si>
  <si>
    <t>2a</t>
  </si>
  <si>
    <t>Processing / Processing - Repackaging</t>
  </si>
  <si>
    <t>Processing - Repackaging</t>
  </si>
  <si>
    <t>Processing – Repackaging</t>
  </si>
  <si>
    <t>Worker Scenario 1 (all activities)</t>
  </si>
  <si>
    <t>2b</t>
  </si>
  <si>
    <t>Worker Scenario 2 (unloading and cleaning)</t>
  </si>
  <si>
    <t>2c</t>
  </si>
  <si>
    <t>Worker Scenario 3 (loading)</t>
  </si>
  <si>
    <t>2aa</t>
  </si>
  <si>
    <t>3a</t>
  </si>
  <si>
    <t>Processing/As a Reactant</t>
  </si>
  <si>
    <t>Intermediate in all other basic organic chemical manufacturing / Intermediate in all other chemical product and preparation manufacturing / Recycling</t>
  </si>
  <si>
    <t>Processing as a Reactive Intermediate</t>
  </si>
  <si>
    <t>3b</t>
  </si>
  <si>
    <t>3c</t>
  </si>
  <si>
    <t>3d</t>
  </si>
  <si>
    <t>3aa</t>
  </si>
  <si>
    <t>Commercial Use/ Laboratory Chemicals</t>
  </si>
  <si>
    <t>Laboratory Chemicals
Reference material</t>
  </si>
  <si>
    <t>Commercial Use as a Laboratory Chemical</t>
  </si>
  <si>
    <t>4a</t>
  </si>
  <si>
    <t>5a</t>
  </si>
  <si>
    <t>Disposal / Disposal</t>
  </si>
  <si>
    <t>Disposal</t>
  </si>
  <si>
    <t>General Waste Handling, Treatment, and Disposal</t>
  </si>
  <si>
    <t>5a1</t>
  </si>
  <si>
    <t>Worker - Deterministic Dilute Scenario</t>
  </si>
  <si>
    <t>5aa</t>
  </si>
  <si>
    <t>5aa1</t>
  </si>
  <si>
    <t>Worker - Probabilistic Dilute Scenario</t>
  </si>
  <si>
    <t>5b</t>
  </si>
  <si>
    <t>Waste Handling, Treatment, and Disposal (POTW)</t>
  </si>
  <si>
    <t>5b1</t>
  </si>
  <si>
    <t>5bb</t>
  </si>
  <si>
    <t>5bb1</t>
  </si>
  <si>
    <t>Inhalation Exposure</t>
  </si>
  <si>
    <t>Exposure Type 
(select)</t>
  </si>
  <si>
    <t>Estimation method</t>
  </si>
  <si>
    <t xml:space="preserve">General Waste Handling, Treatment, and Disposal </t>
  </si>
  <si>
    <t>Deterministic</t>
  </si>
  <si>
    <t>Potential Dose Rate</t>
  </si>
  <si>
    <r>
      <t>C</t>
    </r>
    <r>
      <rPr>
        <b/>
        <vertAlign val="subscript"/>
        <sz val="10"/>
        <rFont val="Calibri"/>
        <family val="2"/>
        <scheme val="minor"/>
      </rPr>
      <t>1,1-Dichloroethane, 8-hr TWA</t>
    </r>
    <r>
      <rPr>
        <b/>
        <sz val="10"/>
        <rFont val="Calibri"/>
        <family val="2"/>
        <scheme val="minor"/>
      </rPr>
      <t xml:space="preserve"> (ppm)</t>
    </r>
  </si>
  <si>
    <r>
      <t>AC</t>
    </r>
    <r>
      <rPr>
        <b/>
        <vertAlign val="subscript"/>
        <sz val="10"/>
        <rFont val="Calibri"/>
        <family val="2"/>
        <scheme val="minor"/>
      </rPr>
      <t>1,1-Dichloroethane, 8-hr TWA</t>
    </r>
    <r>
      <rPr>
        <b/>
        <sz val="10"/>
        <rFont val="Calibri"/>
        <family val="2"/>
        <scheme val="minor"/>
      </rPr>
      <t xml:space="preserve"> (ppm)</t>
    </r>
  </si>
  <si>
    <r>
      <t>ADC</t>
    </r>
    <r>
      <rPr>
        <b/>
        <vertAlign val="subscript"/>
        <sz val="10"/>
        <rFont val="Calibri"/>
        <family val="2"/>
        <scheme val="minor"/>
      </rPr>
      <t>1,1-Dichloroethane, 8-hr TWA</t>
    </r>
    <r>
      <rPr>
        <b/>
        <sz val="10"/>
        <rFont val="Calibri"/>
        <family val="2"/>
        <scheme val="minor"/>
      </rPr>
      <t xml:space="preserve"> (ppm)</t>
    </r>
  </si>
  <si>
    <r>
      <t>LADC</t>
    </r>
    <r>
      <rPr>
        <b/>
        <vertAlign val="subscript"/>
        <sz val="10"/>
        <rFont val="Calibri"/>
        <family val="2"/>
        <scheme val="minor"/>
      </rPr>
      <t>1,1-Dichloroethane, 8-hr TWA</t>
    </r>
    <r>
      <rPr>
        <b/>
        <sz val="10"/>
        <rFont val="Calibri"/>
        <family val="2"/>
        <scheme val="minor"/>
      </rPr>
      <t xml:space="preserve"> (ppm)</t>
    </r>
  </si>
  <si>
    <r>
      <t>ADD</t>
    </r>
    <r>
      <rPr>
        <b/>
        <vertAlign val="subscript"/>
        <sz val="10"/>
        <rFont val="Calibri"/>
        <family val="2"/>
        <scheme val="minor"/>
      </rPr>
      <t>1,1-Dichloroethane</t>
    </r>
    <r>
      <rPr>
        <b/>
        <sz val="10"/>
        <rFont val="Calibri"/>
        <family val="2"/>
        <scheme val="minor"/>
      </rPr>
      <t xml:space="preserve"> (mg/kg-day)</t>
    </r>
  </si>
  <si>
    <r>
      <t>ARD</t>
    </r>
    <r>
      <rPr>
        <b/>
        <vertAlign val="subscript"/>
        <sz val="10"/>
        <rFont val="Calibri"/>
        <family val="2"/>
        <scheme val="minor"/>
      </rPr>
      <t xml:space="preserve">1,1-Dichloroethane </t>
    </r>
    <r>
      <rPr>
        <b/>
        <sz val="10"/>
        <rFont val="Calibri"/>
        <family val="2"/>
        <scheme val="minor"/>
      </rPr>
      <t>(mg/kg-day)</t>
    </r>
  </si>
  <si>
    <r>
      <t>CRD</t>
    </r>
    <r>
      <rPr>
        <b/>
        <vertAlign val="subscript"/>
        <sz val="10"/>
        <rFont val="Calibri"/>
        <family val="2"/>
        <scheme val="minor"/>
      </rPr>
      <t xml:space="preserve">1,1-Dichloroethane </t>
    </r>
    <r>
      <rPr>
        <b/>
        <sz val="10"/>
        <rFont val="Calibri"/>
        <family val="2"/>
        <scheme val="minor"/>
      </rPr>
      <t>(mg/kg-day)</t>
    </r>
  </si>
  <si>
    <t>Risk Estimation for Inhalation Exposures</t>
  </si>
  <si>
    <t>Risk Estimation for Dermal Exposures</t>
  </si>
  <si>
    <t>Risk Type</t>
  </si>
  <si>
    <t>Toxicity Endpoint</t>
  </si>
  <si>
    <t>Study</t>
  </si>
  <si>
    <t>No Respirator</t>
  </si>
  <si>
    <t>APF = 10</t>
  </si>
  <si>
    <t>APF = 25</t>
  </si>
  <si>
    <t>APF = 50</t>
  </si>
  <si>
    <t>APF = 1,000</t>
  </si>
  <si>
    <t>APF = 10,000</t>
  </si>
  <si>
    <t>No Gloves</t>
  </si>
  <si>
    <t>PF = 5</t>
  </si>
  <si>
    <t>PF = 10</t>
  </si>
  <si>
    <t>PF = 20</t>
  </si>
  <si>
    <t>Acute, Non-Cancer</t>
  </si>
  <si>
    <t>Intermediate</t>
  </si>
  <si>
    <t>Chronic, Non-Cancer</t>
  </si>
  <si>
    <r>
      <t>IUR (ppm)</t>
    </r>
    <r>
      <rPr>
        <b/>
        <vertAlign val="superscript"/>
        <sz val="10"/>
        <rFont val="Calibri"/>
        <family val="2"/>
        <scheme val="minor"/>
      </rPr>
      <t>-1</t>
    </r>
  </si>
  <si>
    <t>Chronic, Cancer</t>
  </si>
  <si>
    <t>=</t>
  </si>
  <si>
    <t>Look-up Values and Risk Parameter Values</t>
  </si>
  <si>
    <t>Acute and Chronic, Non-Cancer Parameters</t>
  </si>
  <si>
    <t>Cancer Parameter</t>
  </si>
  <si>
    <t>Look-up Table Values</t>
  </si>
  <si>
    <t>Code</t>
  </si>
  <si>
    <t>Uncertainty Factors (UFs) for Benchmark MOE</t>
  </si>
  <si>
    <r>
      <t>IUR (ppm)</t>
    </r>
    <r>
      <rPr>
        <b/>
        <vertAlign val="superscript"/>
        <sz val="11"/>
        <color theme="1"/>
        <rFont val="Calibri"/>
        <family val="2"/>
        <scheme val="minor"/>
      </rPr>
      <t>-1</t>
    </r>
  </si>
  <si>
    <t>Exposure Percentiles</t>
  </si>
  <si>
    <t>Target Cancer Risk Level</t>
  </si>
  <si>
    <t>Degeneration with necrosis of the olfactory mucosa</t>
  </si>
  <si>
    <t>Dow Chemical, 2006</t>
  </si>
  <si>
    <t>Decrease in sperm concentration</t>
  </si>
  <si>
    <t>Zhang et al. 2017</t>
  </si>
  <si>
    <t>Result of combined cancer modeling</t>
  </si>
  <si>
    <t>Nagano, 2006</t>
  </si>
  <si>
    <t>HEC conversion factor</t>
  </si>
  <si>
    <t>HED (mg/kg-d)</t>
  </si>
  <si>
    <r>
      <t>CSF (mg/kg-d)</t>
    </r>
    <r>
      <rPr>
        <b/>
        <vertAlign val="superscript"/>
        <sz val="11"/>
        <color theme="1"/>
        <rFont val="Calibri"/>
        <family val="2"/>
        <scheme val="minor"/>
      </rPr>
      <t>-1</t>
    </r>
  </si>
  <si>
    <t>ppm per mg/m3</t>
  </si>
  <si>
    <t>Increased kidney weight; Renal system</t>
  </si>
  <si>
    <t>Storer et al. 1984</t>
  </si>
  <si>
    <t>1,1-Dichloroethane MW</t>
  </si>
  <si>
    <t>g/mol</t>
  </si>
  <si>
    <t xml:space="preserve">Increased relative kidney weight </t>
  </si>
  <si>
    <t>NTP, 1991</t>
  </si>
  <si>
    <t>Molar Volume</t>
  </si>
  <si>
    <t>L/mol</t>
  </si>
  <si>
    <t>Increased relative kidney weight</t>
  </si>
  <si>
    <t>Data for Risk Graph on Dashboard</t>
  </si>
  <si>
    <t>Tox8</t>
  </si>
  <si>
    <t>Occupational Non-user</t>
  </si>
  <si>
    <t>8-hr TWA Exposures Worker Type
(select) Exposure Estimates</t>
  </si>
  <si>
    <t>For Dashboard</t>
  </si>
  <si>
    <t>Dermal Calculation Numbers</t>
  </si>
  <si>
    <t>Calculated Doses</t>
  </si>
  <si>
    <t>Exposure Category</t>
  </si>
  <si>
    <r>
      <t>Max Y</t>
    </r>
    <r>
      <rPr>
        <b/>
        <vertAlign val="subscript"/>
        <sz val="11"/>
        <color rgb="FF000000"/>
        <rFont val="Calibri"/>
        <family val="2"/>
        <scheme val="minor"/>
      </rPr>
      <t>derm</t>
    </r>
  </si>
  <si>
    <r>
      <t>Calculated Fraction Absorbed, F</t>
    </r>
    <r>
      <rPr>
        <vertAlign val="subscript"/>
        <sz val="11"/>
        <color theme="1"/>
        <rFont val="Calibri"/>
        <family val="2"/>
        <scheme val="minor"/>
      </rPr>
      <t>abs</t>
    </r>
  </si>
  <si>
    <t>Exposure Frequency (EF)
(days/yr)</t>
  </si>
  <si>
    <t>Exposure Frequency (FT)
(event/day)</t>
  </si>
  <si>
    <r>
      <t>2-Hand Surface Area (cm</t>
    </r>
    <r>
      <rPr>
        <b/>
        <vertAlign val="superscript"/>
        <sz val="11"/>
        <color theme="1"/>
        <rFont val="Calibri"/>
        <family val="2"/>
        <scheme val="minor"/>
      </rPr>
      <t>2</t>
    </r>
    <r>
      <rPr>
        <b/>
        <sz val="11"/>
        <color theme="1"/>
        <rFont val="Calibri"/>
        <family val="2"/>
        <scheme val="minor"/>
      </rPr>
      <t>)</t>
    </r>
  </si>
  <si>
    <t>Body Weight (kg)</t>
  </si>
  <si>
    <r>
      <t>Quantity Remaining on Skin (Qu) 
(mg/cm</t>
    </r>
    <r>
      <rPr>
        <b/>
        <vertAlign val="superscript"/>
        <sz val="11"/>
        <color theme="1"/>
        <rFont val="Calibri"/>
        <family val="2"/>
        <scheme val="minor"/>
      </rPr>
      <t>2</t>
    </r>
    <r>
      <rPr>
        <b/>
        <sz val="11"/>
        <color theme="1"/>
        <rFont val="Calibri"/>
        <family val="2"/>
        <scheme val="minor"/>
      </rPr>
      <t>-event)</t>
    </r>
  </si>
  <si>
    <t>Chronic Retained Dose, Cancer</t>
  </si>
  <si>
    <t>Notes</t>
  </si>
  <si>
    <t>Look-up Name</t>
  </si>
  <si>
    <t>Condition of Use </t>
  </si>
  <si>
    <t>Bin</t>
  </si>
  <si>
    <r>
      <t>APDR</t>
    </r>
    <r>
      <rPr>
        <b/>
        <vertAlign val="subscript"/>
        <sz val="11"/>
        <color theme="1"/>
        <rFont val="Calibri"/>
        <family val="2"/>
        <scheme val="minor"/>
      </rPr>
      <t>exp</t>
    </r>
    <r>
      <rPr>
        <b/>
        <sz val="11"/>
        <color theme="1"/>
        <rFont val="Calibri"/>
        <family val="2"/>
        <scheme val="minor"/>
      </rPr>
      <t xml:space="preserve"> (mg/day)</t>
    </r>
  </si>
  <si>
    <r>
      <t>ARD</t>
    </r>
    <r>
      <rPr>
        <b/>
        <vertAlign val="subscript"/>
        <sz val="11"/>
        <rFont val="Calibri"/>
        <family val="2"/>
        <scheme val="minor"/>
      </rPr>
      <t>1,1-Dichloroethane</t>
    </r>
    <r>
      <rPr>
        <b/>
        <sz val="11"/>
        <rFont val="Calibri"/>
        <family val="2"/>
        <scheme val="minor"/>
      </rPr>
      <t xml:space="preserve"> (mg/kg-day)</t>
    </r>
  </si>
  <si>
    <r>
      <t>CRD</t>
    </r>
    <r>
      <rPr>
        <b/>
        <vertAlign val="subscript"/>
        <sz val="11"/>
        <rFont val="Calibri"/>
        <family val="2"/>
        <scheme val="minor"/>
      </rPr>
      <t>1,1-Dichloroethane</t>
    </r>
    <r>
      <rPr>
        <b/>
        <sz val="11"/>
        <rFont val="Calibri"/>
        <family val="2"/>
        <scheme val="minor"/>
      </rPr>
      <t xml:space="preserve"> (mg/kg-day)</t>
    </r>
  </si>
  <si>
    <t>For Risk Reduction (RR) Heat Map</t>
  </si>
  <si>
    <t>Calculated High-End Doses</t>
  </si>
  <si>
    <t>Calculated Central Tendency Doses</t>
  </si>
  <si>
    <t>Dermal Lookup</t>
  </si>
  <si>
    <t>Max Yderm</t>
  </si>
  <si>
    <r>
      <t>Qu (mg/cm</t>
    </r>
    <r>
      <rPr>
        <b/>
        <vertAlign val="superscript"/>
        <sz val="11"/>
        <color theme="1"/>
        <rFont val="Calibri"/>
        <family val="2"/>
        <scheme val="minor"/>
      </rPr>
      <t>2</t>
    </r>
    <r>
      <rPr>
        <b/>
        <sz val="11"/>
        <color theme="1"/>
        <rFont val="Calibri"/>
        <family val="2"/>
        <scheme val="minor"/>
      </rPr>
      <t>-event)</t>
    </r>
  </si>
  <si>
    <r>
      <t>Surface Area (cm</t>
    </r>
    <r>
      <rPr>
        <b/>
        <vertAlign val="superscript"/>
        <sz val="11"/>
        <color theme="1"/>
        <rFont val="Calibri"/>
        <family val="2"/>
        <scheme val="minor"/>
      </rPr>
      <t>2</t>
    </r>
    <r>
      <rPr>
        <b/>
        <sz val="11"/>
        <color theme="1"/>
        <rFont val="Calibri"/>
        <family val="2"/>
        <scheme val="minor"/>
      </rPr>
      <t>)</t>
    </r>
  </si>
  <si>
    <r>
      <t>Fraction Absorbed, f</t>
    </r>
    <r>
      <rPr>
        <b/>
        <vertAlign val="subscript"/>
        <sz val="11"/>
        <color theme="1"/>
        <rFont val="Calibri"/>
        <family val="2"/>
        <scheme val="minor"/>
      </rPr>
      <t>abs</t>
    </r>
  </si>
  <si>
    <t>Exposure Frequency (High-End)</t>
  </si>
  <si>
    <t>Exposure Frequency (Central Tendency)</t>
  </si>
  <si>
    <r>
      <t>SCRD</t>
    </r>
    <r>
      <rPr>
        <b/>
        <vertAlign val="subscript"/>
        <sz val="11"/>
        <rFont val="Calibri"/>
        <family val="2"/>
        <scheme val="minor"/>
      </rPr>
      <t>1,1-Dichloroethane</t>
    </r>
    <r>
      <rPr>
        <b/>
        <sz val="11"/>
        <rFont val="Calibri"/>
        <family val="2"/>
        <scheme val="minor"/>
      </rPr>
      <t xml:space="preserve"> (mg/kg-day)</t>
    </r>
  </si>
  <si>
    <r>
      <t>LCRD</t>
    </r>
    <r>
      <rPr>
        <b/>
        <vertAlign val="subscript"/>
        <sz val="11"/>
        <rFont val="Calibri"/>
        <family val="2"/>
        <scheme val="minor"/>
      </rPr>
      <t>1,1-Dichloroethane</t>
    </r>
    <r>
      <rPr>
        <b/>
        <sz val="11"/>
        <rFont val="Calibri"/>
        <family val="2"/>
        <scheme val="minor"/>
      </rPr>
      <t xml:space="preserve"> (mg/kg-day)</t>
    </r>
  </si>
  <si>
    <t>Manufacturing of 1,1-DCA as an Isolated Intermediate (Operator/Process Technician)</t>
  </si>
  <si>
    <t>Manufacturing of 1,1-DCA as an Isolated Intermediate (Operator/Process Technician - Responding to line leaks)</t>
  </si>
  <si>
    <t>Manufacturing of 1,1-DCA as an Isolated Intermediate (Maintenance Technician)</t>
  </si>
  <si>
    <t>Manufacturing of 1,1-DCA as an Isolated Intermediate (Logistics/Distribution Technician)</t>
  </si>
  <si>
    <t>1ee</t>
  </si>
  <si>
    <t>Manufacturing of 1,1-DCA as an Isolated Intermediate (Laboratory Technician)</t>
  </si>
  <si>
    <t>Processing – Repackaging Scenario 1 (all activities)</t>
  </si>
  <si>
    <t>Processing – Repackaging Scenario 2 (unloading and cleaning)</t>
  </si>
  <si>
    <t>Processing as a Reactive Intermediate (Operator/Process Technician)</t>
  </si>
  <si>
    <t>Processing as a Reactive Intermediate (Maintenance Technician)</t>
  </si>
  <si>
    <t>Processing as a Reactive Intermediate (Logistics/Distribution Technician)</t>
  </si>
  <si>
    <t>Processing as a Reactive Intermediate (Laboratory Technician)</t>
  </si>
  <si>
    <t xml:space="preserve">Waste Handling, Treatment, and Disposal </t>
  </si>
  <si>
    <t>General Waste Handling, Treatment, and Disposal (Dilute Scenario)</t>
  </si>
  <si>
    <t>Waste Handling, Treatment, and Disposal (POTW) (Dilute Scenario)</t>
  </si>
  <si>
    <t>1bb</t>
  </si>
  <si>
    <t>1cc</t>
  </si>
  <si>
    <t>1dd</t>
  </si>
  <si>
    <t>2bb</t>
  </si>
  <si>
    <t>2cc</t>
  </si>
  <si>
    <t>3bb</t>
  </si>
  <si>
    <t>3cc</t>
  </si>
  <si>
    <t>3dd</t>
  </si>
  <si>
    <t>Exposure Frequency</t>
  </si>
  <si>
    <t>Eight Hour TWA Exposures</t>
  </si>
  <si>
    <t>(day/yr)</t>
  </si>
  <si>
    <r>
      <t>C</t>
    </r>
    <r>
      <rPr>
        <b/>
        <vertAlign val="subscript"/>
        <sz val="10"/>
        <rFont val="Calibri"/>
        <family val="2"/>
        <scheme val="minor"/>
      </rPr>
      <t>8-hr TWA</t>
    </r>
    <r>
      <rPr>
        <b/>
        <sz val="10"/>
        <rFont val="Calibri"/>
        <family val="2"/>
        <scheme val="minor"/>
      </rPr>
      <t xml:space="preserve"> (ppm)</t>
    </r>
  </si>
  <si>
    <r>
      <t>AC</t>
    </r>
    <r>
      <rPr>
        <b/>
        <vertAlign val="subscript"/>
        <sz val="10"/>
        <rFont val="Calibri"/>
        <family val="2"/>
        <scheme val="minor"/>
      </rPr>
      <t>8-hr TWA</t>
    </r>
    <r>
      <rPr>
        <b/>
        <sz val="10"/>
        <rFont val="Calibri"/>
        <family val="2"/>
        <scheme val="minor"/>
      </rPr>
      <t xml:space="preserve"> (ppm)</t>
    </r>
  </si>
  <si>
    <r>
      <t>ADC</t>
    </r>
    <r>
      <rPr>
        <b/>
        <vertAlign val="subscript"/>
        <sz val="10"/>
        <rFont val="Calibri"/>
        <family val="2"/>
        <scheme val="minor"/>
      </rPr>
      <t>8-hr TWA</t>
    </r>
    <r>
      <rPr>
        <b/>
        <sz val="10"/>
        <rFont val="Calibri"/>
        <family val="2"/>
        <scheme val="minor"/>
      </rPr>
      <t xml:space="preserve"> (ppm)</t>
    </r>
  </si>
  <si>
    <r>
      <t>LADC</t>
    </r>
    <r>
      <rPr>
        <b/>
        <vertAlign val="subscript"/>
        <sz val="10"/>
        <rFont val="Calibri"/>
        <family val="2"/>
        <scheme val="minor"/>
      </rPr>
      <t>8-hr TWA</t>
    </r>
    <r>
      <rPr>
        <b/>
        <sz val="10"/>
        <rFont val="Calibri"/>
        <family val="2"/>
        <scheme val="minor"/>
      </rPr>
      <t xml:space="preserve"> (ppm)</t>
    </r>
  </si>
  <si>
    <t>Inhalation Lookup</t>
  </si>
  <si>
    <t>Exposure Scenario</t>
  </si>
  <si>
    <t>8 hr Data Points</t>
  </si>
  <si>
    <t>Total Datapoints</t>
  </si>
  <si>
    <t>Sources &amp; Notes</t>
  </si>
  <si>
    <t>Data Type</t>
  </si>
  <si>
    <t>8-hr TWA</t>
  </si>
  <si>
    <t>Test Order Data</t>
  </si>
  <si>
    <t>PBZ Monitoring Data</t>
  </si>
  <si>
    <t>NE</t>
  </si>
  <si>
    <t>n/a</t>
  </si>
  <si>
    <t>July 2022 Repackaging GS,  25,000 lb/yr throughput</t>
  </si>
  <si>
    <t>Modeled</t>
  </si>
  <si>
    <t>Assumed similar to Manufacturing</t>
  </si>
  <si>
    <t>PBZ Monitoring Data for Analogous OES</t>
  </si>
  <si>
    <t>Test Order Data - Laboratory Technicians</t>
  </si>
  <si>
    <t>Data from 1st 10 Chems</t>
  </si>
  <si>
    <t>PBZ Monitoring Data (MeCl as surrogate - VP correction applied)</t>
  </si>
  <si>
    <t>Lehtinen and Veijanen, 2011</t>
  </si>
  <si>
    <t>PBZ Monitoring Data (using 1,2-Dichloroethane as surrogate - VP correction applied)</t>
  </si>
  <si>
    <t>NE = Not Estimated</t>
  </si>
  <si>
    <t>Conditions of Use</t>
  </si>
  <si>
    <t>Exposure Data Types</t>
  </si>
  <si>
    <t>Dermal Exposure Scenario</t>
  </si>
  <si>
    <t>Monitoring Data</t>
  </si>
  <si>
    <t>Modeled Data</t>
  </si>
  <si>
    <t>BMDL Percentile</t>
  </si>
  <si>
    <t>1,1-Dichloroethane</t>
  </si>
  <si>
    <t>MW</t>
  </si>
  <si>
    <t>Assigned Protection Factor</t>
  </si>
  <si>
    <t>OSHA PEL</t>
  </si>
  <si>
    <t>ppm</t>
  </si>
  <si>
    <r>
      <t>mg/m</t>
    </r>
    <r>
      <rPr>
        <vertAlign val="superscript"/>
        <sz val="10"/>
        <rFont val="Calibri"/>
        <family val="2"/>
      </rPr>
      <t>3</t>
    </r>
  </si>
  <si>
    <t>Unit Conversions</t>
  </si>
  <si>
    <t>Micrograms to milligrams</t>
  </si>
  <si>
    <r>
      <rPr>
        <sz val="10"/>
        <rFont val="Calibri"/>
        <family val="2"/>
      </rPr>
      <t>μ</t>
    </r>
    <r>
      <rPr>
        <sz val="10"/>
        <rFont val="Arial"/>
        <family val="2"/>
      </rPr>
      <t>g/mg</t>
    </r>
  </si>
  <si>
    <t>Parameter Name</t>
  </si>
  <si>
    <t>Symbol</t>
  </si>
  <si>
    <t>Value</t>
  </si>
  <si>
    <t>Unit</t>
  </si>
  <si>
    <t>Occupational Exposure Duration (8-hr)</t>
  </si>
  <si>
    <t>ED_8</t>
  </si>
  <si>
    <t xml:space="preserve">hr/day </t>
  </si>
  <si>
    <t>Continuous Exposure Duration (24-hr)</t>
  </si>
  <si>
    <t>ED_24</t>
  </si>
  <si>
    <t xml:space="preserve">Occupational Exposure Frequency </t>
  </si>
  <si>
    <t>EF</t>
  </si>
  <si>
    <t xml:space="preserve">day/yr </t>
  </si>
  <si>
    <t>Continuous Exposure Frequency</t>
  </si>
  <si>
    <t>EF_C</t>
  </si>
  <si>
    <t>Working Years Per Lifetime (Mid)</t>
  </si>
  <si>
    <t>WY_mid</t>
  </si>
  <si>
    <t xml:space="preserve">yr </t>
  </si>
  <si>
    <t>Working Years Per Lifetime (High)</t>
  </si>
  <si>
    <t>WY_high</t>
  </si>
  <si>
    <t>Lifetime Years for LADC</t>
  </si>
  <si>
    <t>LT</t>
  </si>
  <si>
    <t>Averaging time For ADC (Mid), non-cancer occupational</t>
  </si>
  <si>
    <t>AT_ADC_mid</t>
  </si>
  <si>
    <t xml:space="preserve">hr </t>
  </si>
  <si>
    <t>Averaging time For ADC (High), non-cancer occupational</t>
  </si>
  <si>
    <t>AT_ADC_high</t>
  </si>
  <si>
    <t>Averaging time For LADC, cancer occupational</t>
  </si>
  <si>
    <t>AT_LADC</t>
  </si>
  <si>
    <t>Averaging time for CRD (Mid), non-cancer continuous</t>
  </si>
  <si>
    <t>AT_CRD_mid</t>
  </si>
  <si>
    <t>day</t>
  </si>
  <si>
    <t>Averaging time for CRD (High), non-cancer continuous</t>
  </si>
  <si>
    <t>AT_CRD_high</t>
  </si>
  <si>
    <t>Averaging time for LCRD, cancer continuous</t>
  </si>
  <si>
    <t>AT_LCRD</t>
  </si>
  <si>
    <t>Breathing Ratio</t>
  </si>
  <si>
    <t>Breathing_Ratio</t>
  </si>
  <si>
    <t>Averaging time For ADC Short-term, Subchronic, non-cancer occupational</t>
  </si>
  <si>
    <t>AT_ADC_ST</t>
  </si>
  <si>
    <t>Exposure Days - Intermediate</t>
  </si>
  <si>
    <t>EF_ST</t>
  </si>
  <si>
    <t>Averaging time for CRD (Intermediate), non-cancer continuous</t>
  </si>
  <si>
    <t>AT_CRD_ST</t>
  </si>
  <si>
    <t>Acute Averaging Time</t>
  </si>
  <si>
    <t>AT_AC</t>
  </si>
  <si>
    <t>Exposure Factors</t>
  </si>
  <si>
    <t>Average Adult Worker</t>
  </si>
  <si>
    <t>Woman of Childbearing Age</t>
  </si>
  <si>
    <t>Characterization of Value</t>
  </si>
  <si>
    <t>Body Weight, BW (kg)</t>
  </si>
  <si>
    <r>
      <t>1 Hand Surface Area (cm</t>
    </r>
    <r>
      <rPr>
        <b/>
        <vertAlign val="superscript"/>
        <sz val="11"/>
        <color theme="1"/>
        <rFont val="Calibri"/>
        <family val="2"/>
        <scheme val="minor"/>
      </rPr>
      <t>2</t>
    </r>
    <r>
      <rPr>
        <b/>
        <sz val="11"/>
        <color theme="1"/>
        <rFont val="Calibri"/>
        <family val="2"/>
        <scheme val="minor"/>
      </rPr>
      <t>)</t>
    </r>
  </si>
  <si>
    <r>
      <t>2 Hand Surface Area (cm</t>
    </r>
    <r>
      <rPr>
        <b/>
        <vertAlign val="superscript"/>
        <sz val="11"/>
        <color theme="1"/>
        <rFont val="Calibri"/>
        <family val="2"/>
        <scheme val="minor"/>
      </rPr>
      <t>2</t>
    </r>
    <r>
      <rPr>
        <b/>
        <sz val="11"/>
        <color theme="1"/>
        <rFont val="Calibri"/>
        <family val="2"/>
        <scheme val="minor"/>
      </rPr>
      <t>)</t>
    </r>
  </si>
  <si>
    <t>Working Years - High-End (yr)</t>
  </si>
  <si>
    <t>Working Years - Central Tendency (yr)</t>
  </si>
  <si>
    <t>Lifetime</t>
  </si>
  <si>
    <t>Woman of Childbearing Age Exposure Factors:</t>
  </si>
  <si>
    <t>Body Weight:</t>
  </si>
  <si>
    <t>From the Exposure Factors Handbook Table 8-5: Mean and Percentile Body Weights (kg) for Females Derived from NHANES (1990-2006) (1)</t>
  </si>
  <si>
    <t>Age 16 to &lt;21 years: 65.9 kg (mean)</t>
  </si>
  <si>
    <t>Age 21 to &lt;30 years: 71.9 kg (mean)</t>
  </si>
  <si>
    <t>Age 30 to &lt;40 years: 74.8 kg (mean)</t>
  </si>
  <si>
    <t>Age 40 to &lt;50 years: 77.1 kg (mean)</t>
  </si>
  <si>
    <t>(1) U.S. Environmental Protection Agency (EPA). (2011) Exposure Factors Handbook: 2011 Edition. National Center for Environmental Assessment, Washington, DC; EPA/600/R-09/052F. Available from the National Technical Information Service, Springfield, VA, and online at https://www.epa.gov/expobox/exposure-factors-handbook-2011-edition.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</si>
</sst>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E+00"/>
    <numFmt numFmtId="167" formatCode="0.0000"/>
    <numFmt numFmtId="168" formatCode="0.0%"/>
  </numFmts>
  <fonts count="6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b/>
      <vertAlign val="superscript"/>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vertAlign val="subscript"/>
      <sz val="10"/>
      <name val="Calibri"/>
      <family val="2"/>
      <scheme val="minor"/>
    </font>
    <font>
      <b/>
      <sz val="16"/>
      <name val="Calibri"/>
      <family val="2"/>
      <scheme val="minor"/>
    </font>
    <font>
      <sz val="10"/>
      <name val="Calibri"/>
      <family val="2"/>
      <scheme val="minor"/>
    </font>
    <font>
      <b/>
      <vertAlign val="superscript"/>
      <sz val="10"/>
      <color theme="1"/>
      <name val="Calibri"/>
      <family val="2"/>
      <scheme val="minor"/>
    </font>
    <font>
      <sz val="11"/>
      <color theme="0" tint="-4.9989318521683403E-2"/>
      <name val="Calibri"/>
      <family val="2"/>
      <scheme val="minor"/>
    </font>
    <font>
      <b/>
      <vertAlign val="subscript"/>
      <sz val="10"/>
      <color theme="1"/>
      <name val="Calibri"/>
      <family val="2"/>
      <scheme val="minor"/>
    </font>
    <font>
      <sz val="11"/>
      <color rgb="FFFF0000"/>
      <name val="Calibri"/>
      <family val="2"/>
      <scheme val="minor"/>
    </font>
    <font>
      <u/>
      <sz val="11"/>
      <color theme="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
      <sz val="10"/>
      <color rgb="FF000000"/>
      <name val="Calibri"/>
      <family val="2"/>
    </font>
    <font>
      <b/>
      <sz val="10"/>
      <color rgb="FF000000"/>
      <name val="Calibri"/>
      <family val="2"/>
      <scheme val="minor"/>
    </font>
    <font>
      <vertAlign val="subscript"/>
      <sz val="11"/>
      <color theme="1"/>
      <name val="Calibri"/>
      <family val="2"/>
      <scheme val="minor"/>
    </font>
    <font>
      <b/>
      <i/>
      <sz val="16"/>
      <name val="Calibri"/>
      <family val="2"/>
      <scheme val="minor"/>
    </font>
    <font>
      <sz val="14"/>
      <name val="Calibri"/>
      <family val="2"/>
      <scheme val="minor"/>
    </font>
    <font>
      <b/>
      <i/>
      <sz val="14"/>
      <name val="Calibri"/>
      <family val="2"/>
      <scheme val="minor"/>
    </font>
    <font>
      <b/>
      <sz val="14"/>
      <name val="Calibri"/>
      <family val="2"/>
      <scheme val="minor"/>
    </font>
    <font>
      <b/>
      <sz val="11"/>
      <color theme="9" tint="0.79998168889431442"/>
      <name val="Calibri"/>
      <family val="2"/>
      <scheme val="minor"/>
    </font>
    <font>
      <b/>
      <i/>
      <sz val="10"/>
      <name val="Calibri"/>
      <family val="2"/>
      <scheme val="minor"/>
    </font>
    <font>
      <b/>
      <sz val="10"/>
      <color theme="8" tint="0.79998168889431442"/>
      <name val="Calibri"/>
      <family val="2"/>
      <scheme val="minor"/>
    </font>
    <font>
      <u/>
      <sz val="10"/>
      <color theme="1"/>
      <name val="Calibri"/>
      <family val="2"/>
      <scheme val="minor"/>
    </font>
    <font>
      <sz val="10"/>
      <color rgb="FFFF0000"/>
      <name val="Calibri"/>
      <family val="2"/>
      <scheme val="minor"/>
    </font>
    <font>
      <sz val="10"/>
      <color theme="0" tint="-4.9989318521683403E-2"/>
      <name val="Calibri"/>
      <family val="2"/>
      <scheme val="minor"/>
    </font>
    <font>
      <sz val="10"/>
      <name val="Arial"/>
      <family val="2"/>
    </font>
    <font>
      <sz val="10"/>
      <name val="Calibri"/>
      <family val="2"/>
    </font>
    <font>
      <vertAlign val="superscript"/>
      <sz val="10"/>
      <name val="Calibri"/>
      <family val="2"/>
    </font>
    <font>
      <b/>
      <sz val="12"/>
      <name val="Calibri"/>
      <family val="2"/>
    </font>
    <font>
      <b/>
      <sz val="11"/>
      <color rgb="FF000000"/>
      <name val="Calibri"/>
      <family val="2"/>
      <scheme val="minor"/>
    </font>
    <font>
      <b/>
      <vertAlign val="subscript"/>
      <sz val="11"/>
      <color theme="1"/>
      <name val="Calibri"/>
      <family val="2"/>
      <scheme val="minor"/>
    </font>
    <font>
      <b/>
      <vertAlign val="subscript"/>
      <sz val="11"/>
      <color rgb="FF000000"/>
      <name val="Calibri"/>
      <family val="2"/>
      <scheme val="minor"/>
    </font>
    <font>
      <b/>
      <vertAlign val="subscript"/>
      <sz val="11"/>
      <name val="Calibri"/>
      <family val="2"/>
      <scheme val="minor"/>
    </font>
    <font>
      <b/>
      <sz val="10"/>
      <name val="Calibri"/>
      <family val="2"/>
    </font>
    <font>
      <sz val="8"/>
      <name val="Calibri"/>
      <family val="2"/>
      <scheme val="minor"/>
    </font>
    <font>
      <b/>
      <sz val="16"/>
      <color theme="1"/>
      <name val="Times New Roman"/>
      <family val="1"/>
    </font>
    <font>
      <b/>
      <sz val="11"/>
      <color theme="1"/>
      <name val="Arial"/>
      <family val="2"/>
    </font>
    <font>
      <sz val="11"/>
      <color theme="1"/>
      <name val="Arial"/>
      <family val="2"/>
    </font>
    <font>
      <sz val="11"/>
      <name val="Arial"/>
      <family val="2"/>
    </font>
    <font>
      <b/>
      <sz val="11"/>
      <color rgb="FFFF0000"/>
      <name val="Arial"/>
      <family val="2"/>
    </font>
    <font>
      <b/>
      <sz val="11"/>
      <color theme="1"/>
      <name val="Times New Roman"/>
      <family val="1"/>
    </font>
    <font>
      <sz val="11"/>
      <color theme="1"/>
      <name val="Times New Roman"/>
      <family val="1"/>
    </font>
    <font>
      <b/>
      <sz val="12"/>
      <color theme="1"/>
      <name val="Times New Roman"/>
      <family val="1"/>
    </font>
    <font>
      <b/>
      <sz val="9.5"/>
      <color theme="1"/>
      <name val="Times New Roman"/>
      <family val="1"/>
    </font>
    <font>
      <b/>
      <sz val="9.5"/>
      <color rgb="FF000000"/>
      <name val="Times New Roman"/>
      <family val="1"/>
    </font>
    <font>
      <b/>
      <vertAlign val="superscript"/>
      <sz val="9.5"/>
      <color rgb="FF000000"/>
      <name val="Times New Roman"/>
      <family val="1"/>
    </font>
    <font>
      <sz val="9.5"/>
      <color theme="1"/>
      <name val="Times New Roman"/>
      <family val="1"/>
    </font>
    <font>
      <sz val="9.5"/>
      <color rgb="FF000000"/>
      <name val="Times New Roman"/>
      <family val="1"/>
    </font>
    <font>
      <sz val="10"/>
      <color theme="1"/>
      <name val="Times New Roman"/>
      <family val="1"/>
    </font>
    <font>
      <sz val="8"/>
      <color theme="1"/>
      <name val="Times New Roman"/>
      <family val="1"/>
    </font>
    <font>
      <sz val="9.5"/>
      <name val="Times New Roman"/>
      <family val="1"/>
    </font>
    <font>
      <b/>
      <vertAlign val="superscript"/>
      <sz val="10"/>
      <name val="Calibri"/>
      <family val="2"/>
      <scheme val="minor"/>
    </font>
    <font>
      <i/>
      <sz val="11"/>
      <name val="Arial"/>
      <family val="2"/>
    </font>
    <font>
      <vertAlign val="superscript"/>
      <sz val="10"/>
      <color theme="1"/>
      <name val="Calibri"/>
      <family val="2"/>
      <scheme val="minor"/>
    </font>
    <font>
      <sz val="12"/>
      <color theme="1"/>
      <name val="Times New Roman"/>
      <family val="1"/>
    </font>
    <font>
      <b/>
      <sz val="18"/>
      <color theme="1"/>
      <name val="Times New Roman"/>
      <family val="1"/>
    </font>
    <font>
      <b/>
      <sz val="16"/>
      <color rgb="FF000000"/>
      <name val="Times New Roman"/>
      <family val="1"/>
    </font>
    <font>
      <sz val="14"/>
      <color rgb="FFFF0000"/>
      <name val="Times New Roman"/>
      <family val="1"/>
    </font>
    <font>
      <sz val="10"/>
      <color rgb="FF000000"/>
      <name val="Times New Roman"/>
      <family val="1"/>
    </font>
    <font>
      <sz val="10"/>
      <color rgb="FF000000"/>
      <name val="Calibri"/>
    </font>
  </fonts>
  <fills count="2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0"/>
        <bgColor theme="4" tint="0.79998168889431442"/>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D9D9D9"/>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2" tint="-0.24994659260841701"/>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rgb="FFFFFF00"/>
        <bgColor indexed="64"/>
      </patternFill>
    </fill>
    <fill>
      <patternFill patternType="solid">
        <fgColor theme="6" tint="0.79998168889431442"/>
        <bgColor indexed="64"/>
      </patternFill>
    </fill>
  </fills>
  <borders count="1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medium">
        <color auto="1"/>
      </bottom>
      <diagonal/>
    </border>
    <border>
      <left style="thin">
        <color auto="1"/>
      </left>
      <right style="thin">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bottom style="medium">
        <color auto="1"/>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indexed="64"/>
      </right>
      <top/>
      <bottom/>
      <diagonal/>
    </border>
    <border>
      <left style="thin">
        <color indexed="64"/>
      </left>
      <right style="medium">
        <color indexed="64"/>
      </right>
      <top/>
      <bottom style="medium">
        <color indexed="64"/>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medium">
        <color auto="1"/>
      </right>
      <top style="thin">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style="thin">
        <color theme="0" tint="-0.14996795556505021"/>
      </left>
      <right style="thin">
        <color theme="0" tint="-0.14996795556505021"/>
      </right>
      <top/>
      <bottom style="thin">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auto="1"/>
      </top>
      <bottom/>
      <diagonal/>
    </border>
    <border>
      <left/>
      <right style="thin">
        <color indexed="64"/>
      </right>
      <top style="medium">
        <color auto="1"/>
      </top>
      <bottom style="thin">
        <color auto="1"/>
      </bottom>
      <diagonal/>
    </border>
    <border>
      <left/>
      <right style="thin">
        <color indexed="64"/>
      </right>
      <top style="medium">
        <color indexed="64"/>
      </top>
      <bottom style="medium">
        <color indexed="64"/>
      </bottom>
      <diagonal/>
    </border>
    <border>
      <left/>
      <right style="thin">
        <color auto="1"/>
      </right>
      <top style="thin">
        <color auto="1"/>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auto="1"/>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auto="1"/>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style="medium">
        <color auto="1"/>
      </right>
      <top style="thin">
        <color auto="1"/>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auto="1"/>
      </left>
      <right style="medium">
        <color indexed="64"/>
      </right>
      <top style="medium">
        <color auto="1"/>
      </top>
      <bottom style="medium">
        <color auto="1"/>
      </bottom>
      <diagonal/>
    </border>
    <border>
      <left style="medium">
        <color auto="1"/>
      </left>
      <right/>
      <top/>
      <bottom style="thin">
        <color auto="1"/>
      </bottom>
      <diagonal/>
    </border>
    <border>
      <left style="medium">
        <color indexed="64"/>
      </left>
      <right/>
      <top/>
      <bottom style="medium">
        <color indexed="64"/>
      </bottom>
      <diagonal/>
    </border>
    <border>
      <left style="thin">
        <color auto="1"/>
      </left>
      <right/>
      <top style="medium">
        <color auto="1"/>
      </top>
      <bottom/>
      <diagonal/>
    </border>
    <border>
      <left style="thin">
        <color auto="1"/>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style="medium">
        <color auto="1"/>
      </bottom>
      <diagonal/>
    </border>
    <border>
      <left/>
      <right style="medium">
        <color indexed="64"/>
      </right>
      <top style="thin">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right style="medium">
        <color auto="1"/>
      </right>
      <top style="double">
        <color indexed="64"/>
      </top>
      <bottom style="medium">
        <color indexed="64"/>
      </bottom>
      <diagonal/>
    </border>
    <border>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style="hair">
        <color indexed="64"/>
      </left>
      <right style="medium">
        <color indexed="64"/>
      </right>
      <top/>
      <bottom/>
      <diagonal/>
    </border>
    <border>
      <left style="medium">
        <color indexed="64"/>
      </left>
      <right/>
      <top style="double">
        <color indexed="64"/>
      </top>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style="medium">
        <color indexed="64"/>
      </bottom>
      <diagonal/>
    </border>
  </borders>
  <cellStyleXfs count="5">
    <xf numFmtId="0" fontId="0" fillId="0" borderId="0"/>
    <xf numFmtId="9" fontId="18" fillId="0" borderId="0" applyFont="0" applyFill="0" applyBorder="0" applyAlignment="0" applyProtection="0"/>
    <xf numFmtId="0" fontId="34" fillId="0" borderId="0"/>
    <xf numFmtId="43" fontId="18" fillId="0" borderId="0" applyFont="0" applyFill="0" applyBorder="0" applyAlignment="0" applyProtection="0"/>
    <xf numFmtId="0" fontId="67" fillId="0" borderId="0"/>
  </cellStyleXfs>
  <cellXfs count="896">
    <xf numFmtId="0" fontId="0" fillId="0" borderId="0" xfId="0"/>
    <xf numFmtId="0" fontId="4" fillId="3" borderId="0" xfId="0" applyFont="1" applyFill="1"/>
    <xf numFmtId="0" fontId="0" fillId="3" borderId="0" xfId="0" applyFill="1"/>
    <xf numFmtId="0" fontId="0" fillId="3" borderId="5" xfId="0" applyFill="1" applyBorder="1"/>
    <xf numFmtId="166" fontId="0" fillId="3" borderId="7" xfId="0" applyNumberFormat="1" applyFill="1" applyBorder="1"/>
    <xf numFmtId="0" fontId="0" fillId="3" borderId="6" xfId="0" applyFill="1" applyBorder="1"/>
    <xf numFmtId="0" fontId="0" fillId="3" borderId="8" xfId="0" applyFill="1" applyBorder="1"/>
    <xf numFmtId="0" fontId="1" fillId="3" borderId="13" xfId="0" applyFont="1" applyFill="1" applyBorder="1" applyAlignment="1">
      <alignment horizontal="center" wrapText="1"/>
    </xf>
    <xf numFmtId="0" fontId="1" fillId="3" borderId="11" xfId="0" applyFont="1" applyFill="1" applyBorder="1" applyAlignment="1">
      <alignment horizontal="center" wrapText="1"/>
    </xf>
    <xf numFmtId="0" fontId="1" fillId="3" borderId="12" xfId="0" applyFont="1" applyFill="1" applyBorder="1" applyAlignment="1">
      <alignment horizontal="center" wrapText="1"/>
    </xf>
    <xf numFmtId="0" fontId="3" fillId="3" borderId="0" xfId="0" applyFont="1" applyFill="1" applyAlignment="1">
      <alignment vertical="center" wrapText="1"/>
    </xf>
    <xf numFmtId="0" fontId="0" fillId="3" borderId="0" xfId="0" applyFill="1" applyAlignment="1">
      <alignment horizontal="center" vertical="center"/>
    </xf>
    <xf numFmtId="0" fontId="0" fillId="3" borderId="0" xfId="0" applyFill="1" applyAlignment="1">
      <alignment vertical="center"/>
    </xf>
    <xf numFmtId="0" fontId="6" fillId="3" borderId="0" xfId="0" applyFont="1" applyFill="1" applyAlignment="1">
      <alignment vertical="center"/>
    </xf>
    <xf numFmtId="0" fontId="2" fillId="3" borderId="0" xfId="0" applyFont="1" applyFill="1" applyAlignment="1">
      <alignment vertical="center"/>
    </xf>
    <xf numFmtId="0" fontId="7" fillId="0" borderId="0" xfId="0" applyFont="1" applyAlignment="1">
      <alignment horizontal="center"/>
    </xf>
    <xf numFmtId="0" fontId="7" fillId="0" borderId="0" xfId="0" applyFont="1" applyAlignment="1">
      <alignment wrapText="1"/>
    </xf>
    <xf numFmtId="0" fontId="7" fillId="0" borderId="0" xfId="0" applyFont="1"/>
    <xf numFmtId="0" fontId="3" fillId="3" borderId="0" xfId="0" applyFont="1" applyFill="1" applyAlignment="1">
      <alignment horizontal="center" vertical="center" wrapText="1"/>
    </xf>
    <xf numFmtId="0" fontId="2" fillId="3" borderId="0" xfId="0" applyFont="1" applyFill="1" applyAlignment="1">
      <alignment horizontal="center" vertical="center"/>
    </xf>
    <xf numFmtId="0" fontId="11" fillId="3" borderId="0" xfId="0" applyFont="1" applyFill="1" applyAlignment="1">
      <alignment vertical="center"/>
    </xf>
    <xf numFmtId="0" fontId="2" fillId="3" borderId="0" xfId="0" applyFont="1" applyFill="1" applyAlignment="1">
      <alignment vertical="center" wrapText="1"/>
    </xf>
    <xf numFmtId="0" fontId="12" fillId="3" borderId="0" xfId="0" applyFont="1" applyFill="1" applyAlignment="1">
      <alignment vertical="center"/>
    </xf>
    <xf numFmtId="0" fontId="12" fillId="3" borderId="0" xfId="0" applyFont="1" applyFill="1" applyAlignment="1">
      <alignment horizontal="center" vertical="center"/>
    </xf>
    <xf numFmtId="0" fontId="14" fillId="3" borderId="0" xfId="0" applyFont="1" applyFill="1" applyAlignment="1">
      <alignment vertical="center"/>
    </xf>
    <xf numFmtId="0" fontId="14" fillId="3" borderId="0" xfId="0" applyFont="1" applyFill="1" applyAlignment="1">
      <alignment vertical="center" wrapText="1"/>
    </xf>
    <xf numFmtId="0" fontId="0" fillId="3" borderId="23" xfId="0" applyFill="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left" vertical="center" wrapText="1"/>
    </xf>
    <xf numFmtId="0" fontId="9" fillId="0" borderId="0" xfId="0" applyFont="1" applyAlignment="1">
      <alignment vertical="center" wrapText="1"/>
    </xf>
    <xf numFmtId="0" fontId="8" fillId="0" borderId="0" xfId="0" applyFont="1" applyAlignment="1">
      <alignment vertical="center" wrapText="1"/>
    </xf>
    <xf numFmtId="1" fontId="7" fillId="0" borderId="1" xfId="0" applyNumberFormat="1" applyFont="1" applyBorder="1" applyAlignment="1">
      <alignment horizontal="center" vertical="center"/>
    </xf>
    <xf numFmtId="0" fontId="16" fillId="3" borderId="0" xfId="0" applyFont="1" applyFill="1" applyAlignment="1">
      <alignment vertical="center"/>
    </xf>
    <xf numFmtId="0" fontId="16" fillId="3" borderId="0" xfId="0" applyFont="1" applyFill="1" applyAlignment="1">
      <alignment horizontal="center" vertical="center"/>
    </xf>
    <xf numFmtId="0" fontId="16" fillId="3" borderId="0" xfId="0" applyFont="1" applyFill="1" applyAlignment="1">
      <alignment vertical="center" wrapText="1"/>
    </xf>
    <xf numFmtId="0" fontId="2" fillId="3" borderId="1" xfId="0" applyFont="1" applyFill="1" applyBorder="1" applyAlignment="1">
      <alignment vertical="center"/>
    </xf>
    <xf numFmtId="167" fontId="2" fillId="3" borderId="1" xfId="0" applyNumberFormat="1" applyFont="1" applyFill="1" applyBorder="1" applyAlignment="1">
      <alignment horizontal="center" vertical="center"/>
    </xf>
    <xf numFmtId="0" fontId="2" fillId="3" borderId="1" xfId="0" applyFont="1" applyFill="1" applyBorder="1" applyAlignment="1">
      <alignment vertical="center" wrapText="1"/>
    </xf>
    <xf numFmtId="165" fontId="2" fillId="3" borderId="1" xfId="0" applyNumberFormat="1" applyFont="1" applyFill="1" applyBorder="1" applyAlignment="1">
      <alignment horizontal="center" vertical="center" wrapText="1"/>
    </xf>
    <xf numFmtId="2" fontId="12" fillId="3" borderId="0" xfId="0" applyNumberFormat="1" applyFont="1" applyFill="1" applyAlignment="1">
      <alignment horizontal="center" vertical="center" wrapText="1"/>
    </xf>
    <xf numFmtId="1" fontId="9" fillId="3" borderId="0" xfId="0" applyNumberFormat="1" applyFont="1" applyFill="1" applyAlignment="1">
      <alignment horizontal="center" vertical="center" wrapText="1"/>
    </xf>
    <xf numFmtId="0" fontId="0" fillId="3" borderId="0" xfId="0" applyFill="1" applyAlignment="1">
      <alignment wrapText="1"/>
    </xf>
    <xf numFmtId="0" fontId="0" fillId="3" borderId="0" xfId="0" applyFill="1" applyAlignment="1">
      <alignment horizontal="center"/>
    </xf>
    <xf numFmtId="0" fontId="1" fillId="3" borderId="0" xfId="0" applyFont="1" applyFill="1"/>
    <xf numFmtId="0" fontId="19" fillId="3" borderId="0" xfId="0" applyFont="1" applyFill="1"/>
    <xf numFmtId="0" fontId="8" fillId="0" borderId="0" xfId="0" applyFont="1"/>
    <xf numFmtId="0" fontId="8" fillId="0" borderId="0" xfId="0" applyFont="1" applyAlignment="1">
      <alignment vertical="center"/>
    </xf>
    <xf numFmtId="1" fontId="7" fillId="0" borderId="0" xfId="0" applyNumberFormat="1" applyFont="1" applyAlignment="1">
      <alignment horizontal="center" vertical="center" wrapText="1"/>
    </xf>
    <xf numFmtId="0" fontId="20" fillId="0" borderId="0" xfId="0" applyFont="1"/>
    <xf numFmtId="0" fontId="21" fillId="7" borderId="1" xfId="0" applyFont="1" applyFill="1" applyBorder="1" applyAlignment="1">
      <alignment horizontal="center" vertical="center" wrapText="1"/>
    </xf>
    <xf numFmtId="0" fontId="3" fillId="3" borderId="0" xfId="0" applyFont="1" applyFill="1" applyAlignment="1">
      <alignment horizontal="left" vertical="center"/>
    </xf>
    <xf numFmtId="0" fontId="24" fillId="3" borderId="0" xfId="0" applyFont="1" applyFill="1" applyAlignment="1">
      <alignment vertical="center"/>
    </xf>
    <xf numFmtId="0" fontId="0" fillId="3" borderId="0" xfId="0" applyFill="1" applyAlignment="1">
      <alignment horizontal="left" vertical="top"/>
    </xf>
    <xf numFmtId="0" fontId="0" fillId="3" borderId="1" xfId="0" applyFill="1" applyBorder="1" applyAlignment="1">
      <alignment horizontal="left" vertical="top"/>
    </xf>
    <xf numFmtId="0" fontId="0" fillId="3" borderId="8" xfId="0" applyFill="1" applyBorder="1" applyAlignment="1">
      <alignment vertical="top"/>
    </xf>
    <xf numFmtId="2" fontId="12" fillId="3" borderId="0" xfId="0" applyNumberFormat="1" applyFont="1" applyFill="1" applyAlignment="1">
      <alignment horizontal="center" vertical="center"/>
    </xf>
    <xf numFmtId="0" fontId="11" fillId="3" borderId="31" xfId="0" applyFont="1" applyFill="1" applyBorder="1" applyAlignment="1">
      <alignment vertical="center"/>
    </xf>
    <xf numFmtId="0" fontId="2" fillId="3" borderId="31" xfId="0" applyFont="1" applyFill="1" applyBorder="1" applyAlignment="1">
      <alignment horizontal="center" vertical="center" wrapText="1"/>
    </xf>
    <xf numFmtId="0" fontId="3" fillId="3" borderId="31" xfId="0" applyFont="1" applyFill="1" applyBorder="1" applyAlignment="1">
      <alignment vertical="center" wrapText="1"/>
    </xf>
    <xf numFmtId="2" fontId="12" fillId="0" borderId="14" xfId="0" applyNumberFormat="1" applyFont="1" applyBorder="1" applyAlignment="1">
      <alignment horizontal="center" vertical="center"/>
    </xf>
    <xf numFmtId="0" fontId="7" fillId="3" borderId="15" xfId="0" applyFont="1" applyFill="1" applyBorder="1" applyAlignment="1">
      <alignment horizontal="center" vertical="center"/>
    </xf>
    <xf numFmtId="0" fontId="9" fillId="5" borderId="36" xfId="0" applyFont="1" applyFill="1" applyBorder="1" applyAlignment="1">
      <alignment horizontal="center" vertical="center" wrapText="1"/>
    </xf>
    <xf numFmtId="0" fontId="12" fillId="3" borderId="0" xfId="0" applyFont="1" applyFill="1" applyAlignment="1">
      <alignment vertical="center" wrapText="1"/>
    </xf>
    <xf numFmtId="2" fontId="12" fillId="3" borderId="0" xfId="0" applyNumberFormat="1" applyFont="1" applyFill="1" applyAlignment="1">
      <alignment horizontal="left" vertical="center"/>
    </xf>
    <xf numFmtId="0" fontId="9" fillId="3" borderId="0" xfId="0" applyFont="1" applyFill="1" applyAlignment="1">
      <alignment vertical="center" wrapText="1"/>
    </xf>
    <xf numFmtId="0" fontId="7" fillId="3" borderId="0" xfId="0" applyFont="1" applyFill="1" applyAlignment="1">
      <alignment vertical="center" wrapText="1"/>
    </xf>
    <xf numFmtId="2" fontId="0" fillId="3" borderId="0" xfId="0" applyNumberFormat="1" applyFill="1" applyAlignment="1">
      <alignment horizontal="center" vertical="center"/>
    </xf>
    <xf numFmtId="0" fontId="1" fillId="0" borderId="48" xfId="0" applyFont="1" applyBorder="1"/>
    <xf numFmtId="0" fontId="0" fillId="3" borderId="50" xfId="0" applyFill="1" applyBorder="1" applyAlignment="1">
      <alignment vertical="center"/>
    </xf>
    <xf numFmtId="0" fontId="1" fillId="0" borderId="45" xfId="0" applyFont="1" applyBorder="1"/>
    <xf numFmtId="9" fontId="0" fillId="0" borderId="47" xfId="0" applyNumberFormat="1" applyBorder="1"/>
    <xf numFmtId="9" fontId="0" fillId="0" borderId="46" xfId="0" applyNumberFormat="1" applyBorder="1"/>
    <xf numFmtId="0" fontId="0" fillId="0" borderId="47" xfId="0" applyBorder="1"/>
    <xf numFmtId="0" fontId="0" fillId="0" borderId="46" xfId="0" applyBorder="1"/>
    <xf numFmtId="0" fontId="7" fillId="2" borderId="35" xfId="0" applyFont="1" applyFill="1" applyBorder="1" applyAlignment="1">
      <alignment horizontal="center" vertical="center"/>
    </xf>
    <xf numFmtId="165" fontId="12" fillId="3" borderId="24" xfId="0" applyNumberFormat="1" applyFont="1" applyFill="1" applyBorder="1" applyAlignment="1">
      <alignment horizontal="center" vertical="center"/>
    </xf>
    <xf numFmtId="2" fontId="12" fillId="0" borderId="24" xfId="0" applyNumberFormat="1" applyFont="1" applyBorder="1" applyAlignment="1">
      <alignment horizontal="center" vertical="center"/>
    </xf>
    <xf numFmtId="0" fontId="8" fillId="2" borderId="25" xfId="0" applyFont="1" applyFill="1" applyBorder="1" applyAlignment="1">
      <alignment vertical="center" wrapText="1"/>
    </xf>
    <xf numFmtId="0" fontId="8" fillId="2" borderId="27" xfId="0" applyFont="1" applyFill="1" applyBorder="1" applyAlignment="1">
      <alignment vertical="center" wrapText="1"/>
    </xf>
    <xf numFmtId="0" fontId="8" fillId="2" borderId="26" xfId="0" applyFont="1" applyFill="1" applyBorder="1" applyAlignment="1">
      <alignment vertical="center" wrapText="1"/>
    </xf>
    <xf numFmtId="0" fontId="8" fillId="2" borderId="28" xfId="0" applyFont="1" applyFill="1" applyBorder="1" applyAlignment="1">
      <alignment vertical="center" wrapText="1"/>
    </xf>
    <xf numFmtId="0" fontId="8" fillId="2" borderId="34" xfId="0" applyFont="1" applyFill="1" applyBorder="1" applyAlignment="1">
      <alignment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5" borderId="40" xfId="0" applyFont="1" applyFill="1" applyBorder="1" applyAlignment="1">
      <alignment horizontal="center" wrapText="1"/>
    </xf>
    <xf numFmtId="0" fontId="8" fillId="5" borderId="41" xfId="0" applyFont="1" applyFill="1" applyBorder="1" applyAlignment="1">
      <alignment horizontal="center" vertical="center"/>
    </xf>
    <xf numFmtId="2" fontId="12" fillId="0" borderId="18" xfId="0" applyNumberFormat="1" applyFont="1" applyBorder="1" applyAlignment="1">
      <alignment horizontal="center" vertical="center"/>
    </xf>
    <xf numFmtId="11" fontId="0" fillId="3" borderId="1" xfId="0" applyNumberFormat="1" applyFill="1" applyBorder="1" applyAlignment="1">
      <alignment horizontal="center" vertical="center"/>
    </xf>
    <xf numFmtId="0" fontId="0" fillId="13" borderId="1" xfId="0" applyFill="1" applyBorder="1" applyAlignment="1">
      <alignment horizontal="center" vertical="center"/>
    </xf>
    <xf numFmtId="0" fontId="0" fillId="5" borderId="1" xfId="0" applyFill="1" applyBorder="1" applyAlignment="1">
      <alignment vertical="center"/>
    </xf>
    <xf numFmtId="2" fontId="12" fillId="0" borderId="37" xfId="0" applyNumberFormat="1" applyFont="1" applyBorder="1" applyAlignment="1">
      <alignment horizontal="center" vertical="center"/>
    </xf>
    <xf numFmtId="0" fontId="9" fillId="5" borderId="1" xfId="0" applyFont="1" applyFill="1" applyBorder="1" applyAlignment="1">
      <alignment horizontal="center" vertical="center" wrapText="1"/>
    </xf>
    <xf numFmtId="3" fontId="12" fillId="3" borderId="15" xfId="0" applyNumberFormat="1" applyFont="1" applyFill="1" applyBorder="1" applyAlignment="1">
      <alignment horizontal="center" vertical="center" wrapText="1"/>
    </xf>
    <xf numFmtId="3" fontId="12" fillId="3" borderId="14" xfId="0" applyNumberFormat="1" applyFont="1" applyFill="1" applyBorder="1" applyAlignment="1">
      <alignment horizontal="center" vertical="center" wrapText="1"/>
    </xf>
    <xf numFmtId="1" fontId="9" fillId="3" borderId="43" xfId="0" applyNumberFormat="1" applyFont="1" applyFill="1" applyBorder="1" applyAlignment="1">
      <alignment horizontal="center" vertical="center" wrapText="1"/>
    </xf>
    <xf numFmtId="165" fontId="12" fillId="3" borderId="14" xfId="0" applyNumberFormat="1" applyFont="1" applyFill="1" applyBorder="1" applyAlignment="1">
      <alignment horizontal="center" vertical="center"/>
    </xf>
    <xf numFmtId="165" fontId="12" fillId="3" borderId="18" xfId="0" applyNumberFormat="1" applyFont="1" applyFill="1" applyBorder="1" applyAlignment="1">
      <alignment horizontal="center" vertical="center"/>
    </xf>
    <xf numFmtId="165" fontId="12" fillId="3" borderId="29" xfId="0" applyNumberFormat="1" applyFont="1" applyFill="1" applyBorder="1" applyAlignment="1">
      <alignment horizontal="center" vertical="center"/>
    </xf>
    <xf numFmtId="165" fontId="12" fillId="3" borderId="37" xfId="0" applyNumberFormat="1" applyFont="1" applyFill="1" applyBorder="1" applyAlignment="1">
      <alignment horizontal="center" vertical="center"/>
    </xf>
    <xf numFmtId="165" fontId="12" fillId="3" borderId="43" xfId="0" applyNumberFormat="1" applyFont="1" applyFill="1" applyBorder="1" applyAlignment="1">
      <alignment horizontal="center" vertical="center"/>
    </xf>
    <xf numFmtId="0" fontId="28" fillId="3" borderId="0" xfId="0" applyFont="1" applyFill="1" applyAlignment="1">
      <alignment horizontal="center" vertical="center"/>
    </xf>
    <xf numFmtId="165" fontId="12" fillId="3" borderId="0" xfId="0" applyNumberFormat="1" applyFont="1" applyFill="1" applyAlignment="1">
      <alignment horizontal="center" vertical="center"/>
    </xf>
    <xf numFmtId="2" fontId="12" fillId="0" borderId="35" xfId="0" applyNumberFormat="1" applyFont="1" applyBorder="1" applyAlignment="1">
      <alignment horizontal="center" vertical="center"/>
    </xf>
    <xf numFmtId="0" fontId="8" fillId="15" borderId="48" xfId="0" applyFont="1" applyFill="1" applyBorder="1" applyAlignment="1">
      <alignment horizontal="center" vertical="center"/>
    </xf>
    <xf numFmtId="0" fontId="8" fillId="15" borderId="58" xfId="0" applyFont="1" applyFill="1" applyBorder="1" applyAlignment="1">
      <alignment horizontal="center" vertical="center"/>
    </xf>
    <xf numFmtId="0" fontId="1" fillId="11" borderId="48" xfId="0" applyFont="1" applyFill="1" applyBorder="1" applyAlignment="1">
      <alignment vertical="center" wrapText="1"/>
    </xf>
    <xf numFmtId="0" fontId="1" fillId="6" borderId="54" xfId="0" applyFont="1" applyFill="1" applyBorder="1" applyAlignment="1">
      <alignment horizontal="left" wrapText="1"/>
    </xf>
    <xf numFmtId="0" fontId="1" fillId="6" borderId="74" xfId="0" applyFont="1" applyFill="1" applyBorder="1" applyAlignment="1">
      <alignment horizontal="left"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29" fillId="4" borderId="36" xfId="0" applyFont="1" applyFill="1" applyBorder="1" applyAlignment="1">
      <alignment horizontal="center" vertical="center" wrapText="1"/>
    </xf>
    <xf numFmtId="0" fontId="29" fillId="3" borderId="0" xfId="0" applyFont="1" applyFill="1" applyAlignment="1">
      <alignment horizontal="center" vertical="center" wrapText="1"/>
    </xf>
    <xf numFmtId="0" fontId="9" fillId="4" borderId="35" xfId="0" applyFont="1" applyFill="1" applyBorder="1" applyAlignment="1">
      <alignment horizontal="center" vertical="center" wrapText="1"/>
    </xf>
    <xf numFmtId="0" fontId="9" fillId="3" borderId="0" xfId="0" applyFont="1" applyFill="1" applyAlignment="1">
      <alignment horizontal="left" vertical="center"/>
    </xf>
    <xf numFmtId="0" fontId="12" fillId="3" borderId="0" xfId="0" applyFont="1" applyFill="1" applyAlignment="1">
      <alignment horizontal="left" vertical="center" wrapText="1"/>
    </xf>
    <xf numFmtId="0" fontId="29" fillId="3" borderId="0" xfId="0" applyFont="1" applyFill="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9" fillId="3" borderId="31" xfId="0" applyFont="1" applyFill="1" applyBorder="1" applyAlignment="1">
      <alignment vertical="center"/>
    </xf>
    <xf numFmtId="0" fontId="7" fillId="15" borderId="58" xfId="0" applyFont="1" applyFill="1" applyBorder="1" applyAlignment="1">
      <alignment horizontal="left" vertical="center" wrapText="1"/>
    </xf>
    <xf numFmtId="0" fontId="7" fillId="3" borderId="24" xfId="0" applyFont="1" applyFill="1" applyBorder="1" applyAlignment="1">
      <alignment vertical="center"/>
    </xf>
    <xf numFmtId="0" fontId="7" fillId="3" borderId="18" xfId="0" applyFont="1" applyFill="1" applyBorder="1" applyAlignment="1">
      <alignment horizontal="center" vertical="center"/>
    </xf>
    <xf numFmtId="0" fontId="7" fillId="3" borderId="15" xfId="0" applyFont="1" applyFill="1" applyBorder="1" applyAlignment="1">
      <alignment vertical="center"/>
    </xf>
    <xf numFmtId="0" fontId="7" fillId="3" borderId="22" xfId="0" applyFont="1" applyFill="1" applyBorder="1" applyAlignment="1">
      <alignment horizontal="center" vertical="center"/>
    </xf>
    <xf numFmtId="0" fontId="7" fillId="3" borderId="14" xfId="0" applyFont="1" applyFill="1" applyBorder="1" applyAlignment="1">
      <alignment vertical="center"/>
    </xf>
    <xf numFmtId="0" fontId="7" fillId="15" borderId="58" xfId="0" applyFont="1" applyFill="1" applyBorder="1" applyAlignment="1">
      <alignment horizontal="left" vertical="center"/>
    </xf>
    <xf numFmtId="0" fontId="7" fillId="3" borderId="30" xfId="0" applyFont="1" applyFill="1" applyBorder="1" applyAlignment="1">
      <alignment vertical="center"/>
    </xf>
    <xf numFmtId="0" fontId="7" fillId="15" borderId="53" xfId="0" applyFont="1" applyFill="1" applyBorder="1" applyAlignment="1">
      <alignment horizontal="left" vertical="center"/>
    </xf>
    <xf numFmtId="0" fontId="32" fillId="3" borderId="0" xfId="0" applyFont="1" applyFill="1" applyAlignment="1">
      <alignment horizontal="center" vertical="center"/>
    </xf>
    <xf numFmtId="0" fontId="33" fillId="3" borderId="0" xfId="0" applyFont="1" applyFill="1" applyAlignment="1">
      <alignment vertical="center" wrapText="1"/>
    </xf>
    <xf numFmtId="0" fontId="33" fillId="3" borderId="0" xfId="0" applyFont="1" applyFill="1" applyAlignment="1">
      <alignment vertical="center"/>
    </xf>
    <xf numFmtId="0" fontId="32" fillId="3" borderId="0" xfId="0" applyFont="1" applyFill="1" applyAlignment="1">
      <alignment vertical="center" wrapText="1"/>
    </xf>
    <xf numFmtId="0" fontId="32" fillId="3" borderId="0" xfId="0" applyFont="1" applyFill="1" applyAlignment="1">
      <alignment horizontal="center" vertical="center" wrapText="1"/>
    </xf>
    <xf numFmtId="0" fontId="8" fillId="13" borderId="1" xfId="0" applyFont="1" applyFill="1" applyBorder="1" applyAlignment="1">
      <alignment vertical="center"/>
    </xf>
    <xf numFmtId="0" fontId="8" fillId="13" borderId="1" xfId="0" applyFont="1" applyFill="1" applyBorder="1" applyAlignment="1">
      <alignment horizontal="center" vertical="center"/>
    </xf>
    <xf numFmtId="11" fontId="7" fillId="3" borderId="1" xfId="0" applyNumberFormat="1" applyFont="1" applyFill="1" applyBorder="1" applyAlignment="1">
      <alignment horizontal="center" vertical="center"/>
    </xf>
    <xf numFmtId="0" fontId="1" fillId="11" borderId="58" xfId="0" applyFont="1" applyFill="1" applyBorder="1" applyAlignment="1">
      <alignment vertical="center" wrapText="1"/>
    </xf>
    <xf numFmtId="0" fontId="1" fillId="11" borderId="58" xfId="0" applyFont="1" applyFill="1" applyBorder="1" applyAlignment="1">
      <alignment horizontal="center" vertical="center" wrapText="1"/>
    </xf>
    <xf numFmtId="0" fontId="7" fillId="3" borderId="1" xfId="0" applyFont="1" applyFill="1" applyBorder="1" applyAlignment="1">
      <alignment vertical="center"/>
    </xf>
    <xf numFmtId="3" fontId="12" fillId="3" borderId="18" xfId="0" applyNumberFormat="1" applyFont="1" applyFill="1" applyBorder="1" applyAlignment="1">
      <alignment horizontal="center" vertical="center" wrapText="1"/>
    </xf>
    <xf numFmtId="3" fontId="12" fillId="3" borderId="22" xfId="0" applyNumberFormat="1"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22" xfId="0" applyFont="1" applyFill="1" applyBorder="1" applyAlignment="1">
      <alignment horizontal="center" vertical="center"/>
    </xf>
    <xf numFmtId="2" fontId="12" fillId="0" borderId="60" xfId="0" applyNumberFormat="1" applyFont="1" applyBorder="1" applyAlignment="1">
      <alignment horizontal="center" vertical="center"/>
    </xf>
    <xf numFmtId="0" fontId="22" fillId="0" borderId="0" xfId="0" applyFont="1" applyAlignment="1">
      <alignment horizontal="left" vertical="center" wrapText="1"/>
    </xf>
    <xf numFmtId="0" fontId="22" fillId="0" borderId="3" xfId="0" applyFont="1" applyBorder="1" applyAlignment="1">
      <alignment horizontal="left" vertical="center" wrapText="1"/>
    </xf>
    <xf numFmtId="0" fontId="34" fillId="0" borderId="0" xfId="2"/>
    <xf numFmtId="0" fontId="35" fillId="0" borderId="53" xfId="2" applyFont="1" applyBorder="1" applyAlignment="1">
      <alignment vertical="center" wrapText="1"/>
    </xf>
    <xf numFmtId="0" fontId="35" fillId="0" borderId="81" xfId="2" applyFont="1" applyBorder="1" applyAlignment="1">
      <alignment horizontal="center" vertical="center" wrapText="1"/>
    </xf>
    <xf numFmtId="1" fontId="35" fillId="0" borderId="81" xfId="2" applyNumberFormat="1" applyFont="1" applyBorder="1" applyAlignment="1">
      <alignment horizontal="center" vertical="center" wrapText="1"/>
    </xf>
    <xf numFmtId="0" fontId="37" fillId="16" borderId="82" xfId="2" applyFont="1" applyFill="1" applyBorder="1" applyAlignment="1">
      <alignment horizontal="center" vertical="center" wrapText="1"/>
    </xf>
    <xf numFmtId="0" fontId="37" fillId="16" borderId="83" xfId="2" applyFont="1" applyFill="1" applyBorder="1" applyAlignment="1">
      <alignment horizontal="center" vertical="center" wrapText="1"/>
    </xf>
    <xf numFmtId="0" fontId="35" fillId="0" borderId="81" xfId="2" applyFont="1" applyBorder="1" applyAlignment="1">
      <alignment vertical="center" wrapText="1"/>
    </xf>
    <xf numFmtId="0" fontId="35" fillId="0" borderId="46" xfId="2" applyFont="1" applyBorder="1" applyAlignment="1">
      <alignment vertical="center" wrapText="1"/>
    </xf>
    <xf numFmtId="0" fontId="35" fillId="0" borderId="84" xfId="2" applyFont="1" applyBorder="1" applyAlignment="1">
      <alignment horizontal="center" vertical="center" wrapText="1"/>
    </xf>
    <xf numFmtId="0" fontId="38" fillId="14" borderId="42" xfId="0" applyFont="1" applyFill="1" applyBorder="1" applyAlignment="1">
      <alignment horizontal="center" vertical="center" wrapText="1"/>
    </xf>
    <xf numFmtId="0" fontId="0" fillId="10" borderId="16" xfId="0" applyFill="1" applyBorder="1" applyAlignment="1">
      <alignment vertical="center" wrapText="1"/>
    </xf>
    <xf numFmtId="0" fontId="0" fillId="3" borderId="14" xfId="0" applyFill="1" applyBorder="1" applyAlignment="1">
      <alignment vertical="center" wrapText="1"/>
    </xf>
    <xf numFmtId="2" fontId="12" fillId="0" borderId="21" xfId="0" applyNumberFormat="1" applyFont="1" applyBorder="1" applyAlignment="1">
      <alignment horizontal="center" vertical="center"/>
    </xf>
    <xf numFmtId="2" fontId="12" fillId="0" borderId="22" xfId="0" applyNumberFormat="1" applyFont="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wrapText="1"/>
    </xf>
    <xf numFmtId="0" fontId="8" fillId="13" borderId="1" xfId="0" applyFont="1" applyFill="1" applyBorder="1" applyAlignment="1">
      <alignment vertical="center" wrapText="1"/>
    </xf>
    <xf numFmtId="0" fontId="0" fillId="0" borderId="0" xfId="0" applyAlignment="1">
      <alignment wrapText="1"/>
    </xf>
    <xf numFmtId="0" fontId="1" fillId="3" borderId="0" xfId="0" applyFont="1" applyFill="1" applyAlignment="1">
      <alignment vertical="center" wrapText="1"/>
    </xf>
    <xf numFmtId="0" fontId="38" fillId="14" borderId="34" xfId="0" applyFont="1" applyFill="1" applyBorder="1" applyAlignment="1">
      <alignment vertical="center" wrapText="1"/>
    </xf>
    <xf numFmtId="0" fontId="38" fillId="14" borderId="66" xfId="0" applyFont="1" applyFill="1" applyBorder="1" applyAlignment="1">
      <alignment vertical="center" wrapText="1"/>
    </xf>
    <xf numFmtId="0" fontId="38" fillId="14" borderId="25" xfId="0" applyFont="1" applyFill="1" applyBorder="1" applyAlignment="1">
      <alignment vertical="center" wrapText="1"/>
    </xf>
    <xf numFmtId="0" fontId="38" fillId="14" borderId="42" xfId="0" applyFont="1" applyFill="1" applyBorder="1" applyAlignment="1">
      <alignment vertical="center" wrapText="1"/>
    </xf>
    <xf numFmtId="0" fontId="38" fillId="14" borderId="7" xfId="0" applyFont="1" applyFill="1" applyBorder="1" applyAlignment="1">
      <alignment vertical="center" wrapText="1"/>
    </xf>
    <xf numFmtId="0" fontId="38" fillId="14" borderId="26" xfId="0" applyFont="1" applyFill="1" applyBorder="1" applyAlignment="1">
      <alignment vertical="center" wrapText="1"/>
    </xf>
    <xf numFmtId="0" fontId="38" fillId="14" borderId="7" xfId="0" applyFont="1" applyFill="1" applyBorder="1" applyAlignment="1">
      <alignment horizontal="center" vertical="center" wrapText="1"/>
    </xf>
    <xf numFmtId="0" fontId="3" fillId="12" borderId="21"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22" xfId="0" applyFont="1" applyFill="1" applyBorder="1" applyAlignment="1">
      <alignment horizontal="center" vertical="center" wrapText="1"/>
    </xf>
    <xf numFmtId="0" fontId="0" fillId="3" borderId="14" xfId="0" applyFill="1" applyBorder="1" applyAlignment="1">
      <alignment vertical="center"/>
    </xf>
    <xf numFmtId="1" fontId="0" fillId="3" borderId="14" xfId="0" applyNumberFormat="1" applyFill="1" applyBorder="1" applyAlignment="1">
      <alignment horizontal="center" vertical="center"/>
    </xf>
    <xf numFmtId="3" fontId="0" fillId="3" borderId="14" xfId="0" applyNumberFormat="1" applyFill="1" applyBorder="1" applyAlignment="1">
      <alignment horizontal="center" vertical="center"/>
    </xf>
    <xf numFmtId="0" fontId="0" fillId="3" borderId="14" xfId="0" applyFill="1" applyBorder="1" applyAlignment="1">
      <alignment horizontal="center" vertical="center"/>
    </xf>
    <xf numFmtId="0" fontId="0" fillId="10" borderId="80" xfId="0" applyFill="1" applyBorder="1" applyAlignment="1">
      <alignment vertical="center"/>
    </xf>
    <xf numFmtId="0" fontId="0" fillId="10" borderId="19" xfId="0"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vertical="center"/>
    </xf>
    <xf numFmtId="167" fontId="12" fillId="3" borderId="0" xfId="0" applyNumberFormat="1" applyFont="1" applyFill="1" applyAlignment="1">
      <alignment horizontal="center" vertical="center"/>
    </xf>
    <xf numFmtId="9" fontId="25" fillId="0" borderId="0" xfId="1" applyFont="1" applyFill="1" applyBorder="1" applyAlignment="1">
      <alignment horizontal="center" vertical="center"/>
    </xf>
    <xf numFmtId="0" fontId="26" fillId="3" borderId="0" xfId="0" applyFont="1" applyFill="1" applyAlignment="1">
      <alignment vertical="center" wrapText="1"/>
    </xf>
    <xf numFmtId="0" fontId="27" fillId="3" borderId="0" xfId="0" applyFont="1" applyFill="1" applyAlignment="1">
      <alignment horizontal="center" vertical="center" wrapText="1"/>
    </xf>
    <xf numFmtId="0" fontId="38" fillId="14" borderId="37" xfId="0" applyFont="1" applyFill="1" applyBorder="1" applyAlignment="1">
      <alignment horizontal="center" vertical="center" wrapText="1"/>
    </xf>
    <xf numFmtId="0" fontId="28" fillId="3" borderId="0" xfId="0" applyFont="1" applyFill="1" applyAlignment="1">
      <alignment vertical="center"/>
    </xf>
    <xf numFmtId="2" fontId="12" fillId="0" borderId="65" xfId="0" applyNumberFormat="1" applyFont="1" applyBorder="1" applyAlignment="1">
      <alignment horizontal="center" vertical="center"/>
    </xf>
    <xf numFmtId="1" fontId="9" fillId="3" borderId="24"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1" fontId="9" fillId="3" borderId="18" xfId="0" applyNumberFormat="1" applyFont="1" applyFill="1" applyBorder="1" applyAlignment="1">
      <alignment horizontal="center" vertical="center" wrapText="1"/>
    </xf>
    <xf numFmtId="0" fontId="29" fillId="4" borderId="63" xfId="0" applyFont="1" applyFill="1" applyBorder="1" applyAlignment="1">
      <alignment vertical="center" wrapText="1"/>
    </xf>
    <xf numFmtId="0" fontId="29" fillId="4" borderId="52" xfId="0" applyFont="1" applyFill="1" applyBorder="1" applyAlignment="1">
      <alignment vertical="center" wrapText="1"/>
    </xf>
    <xf numFmtId="166" fontId="0" fillId="3" borderId="9" xfId="0" applyNumberFormat="1" applyFill="1" applyBorder="1"/>
    <xf numFmtId="0" fontId="0" fillId="3" borderId="19" xfId="0" applyFill="1" applyBorder="1" applyAlignment="1">
      <alignment horizontal="center"/>
    </xf>
    <xf numFmtId="0" fontId="0" fillId="3" borderId="20" xfId="0" applyFill="1" applyBorder="1"/>
    <xf numFmtId="1" fontId="0" fillId="3" borderId="1" xfId="0" applyNumberFormat="1" applyFill="1" applyBorder="1" applyAlignment="1">
      <alignment horizontal="center"/>
    </xf>
    <xf numFmtId="0" fontId="0" fillId="3" borderId="1" xfId="0" applyFill="1" applyBorder="1" applyAlignment="1">
      <alignment horizontal="center"/>
    </xf>
    <xf numFmtId="0" fontId="0" fillId="3" borderId="21" xfId="0" applyFill="1" applyBorder="1" applyAlignment="1">
      <alignment horizontal="center"/>
    </xf>
    <xf numFmtId="0" fontId="0" fillId="3" borderId="15" xfId="0" applyFill="1" applyBorder="1" applyAlignment="1">
      <alignment horizontal="center"/>
    </xf>
    <xf numFmtId="0" fontId="0" fillId="3" borderId="22" xfId="0" applyFill="1" applyBorder="1"/>
    <xf numFmtId="3" fontId="0" fillId="0" borderId="19" xfId="0" applyNumberFormat="1" applyBorder="1" applyAlignment="1">
      <alignment horizontal="center" vertical="center"/>
    </xf>
    <xf numFmtId="0" fontId="7" fillId="0" borderId="19" xfId="0" applyFont="1" applyBorder="1" applyAlignment="1">
      <alignment horizontal="center" vertical="center"/>
    </xf>
    <xf numFmtId="0" fontId="1" fillId="0" borderId="0" xfId="0" applyFont="1"/>
    <xf numFmtId="0" fontId="35" fillId="0" borderId="0" xfId="2" applyFont="1" applyAlignment="1">
      <alignment vertical="center" wrapText="1"/>
    </xf>
    <xf numFmtId="1" fontId="35" fillId="0" borderId="0" xfId="2" applyNumberFormat="1" applyFont="1" applyAlignment="1">
      <alignment horizontal="center" vertical="center" wrapText="1"/>
    </xf>
    <xf numFmtId="0" fontId="34" fillId="0" borderId="21" xfId="2" applyBorder="1"/>
    <xf numFmtId="0" fontId="34" fillId="0" borderId="22" xfId="2" applyBorder="1"/>
    <xf numFmtId="0" fontId="42" fillId="0" borderId="10" xfId="2" applyFont="1" applyBorder="1" applyAlignment="1">
      <alignment vertical="center" wrapText="1"/>
    </xf>
    <xf numFmtId="1" fontId="35" fillId="0" borderId="49" xfId="2" applyNumberFormat="1" applyFont="1" applyBorder="1" applyAlignment="1">
      <alignment horizontal="center" vertical="center" wrapText="1"/>
    </xf>
    <xf numFmtId="0" fontId="35" fillId="0" borderId="44" xfId="2" applyFont="1" applyBorder="1" applyAlignment="1">
      <alignment vertical="center" wrapText="1"/>
    </xf>
    <xf numFmtId="3" fontId="34" fillId="0" borderId="15" xfId="2" applyNumberFormat="1" applyBorder="1"/>
    <xf numFmtId="1" fontId="3" fillId="3" borderId="0" xfId="0" applyNumberFormat="1" applyFont="1" applyFill="1" applyAlignment="1">
      <alignment horizontal="center" vertical="center" wrapText="1"/>
    </xf>
    <xf numFmtId="0" fontId="7" fillId="8" borderId="1" xfId="0" applyFont="1" applyFill="1" applyBorder="1" applyAlignment="1">
      <alignment horizontal="center" vertical="center"/>
    </xf>
    <xf numFmtId="0" fontId="7" fillId="3" borderId="6" xfId="0" applyFont="1" applyFill="1" applyBorder="1" applyAlignment="1">
      <alignment vertical="center"/>
    </xf>
    <xf numFmtId="3" fontId="9" fillId="0" borderId="27" xfId="0" applyNumberFormat="1" applyFont="1" applyBorder="1" applyAlignment="1">
      <alignment horizontal="center" vertical="center"/>
    </xf>
    <xf numFmtId="3" fontId="9" fillId="0" borderId="22" xfId="0" applyNumberFormat="1" applyFont="1" applyBorder="1" applyAlignment="1">
      <alignment horizontal="center" vertical="center"/>
    </xf>
    <xf numFmtId="0" fontId="7" fillId="3" borderId="17" xfId="0" applyFont="1" applyFill="1" applyBorder="1" applyAlignment="1">
      <alignment vertical="center"/>
    </xf>
    <xf numFmtId="0" fontId="27" fillId="4" borderId="86" xfId="0" applyFont="1" applyFill="1" applyBorder="1" applyAlignment="1">
      <alignment horizontal="center" vertical="center" wrapText="1"/>
    </xf>
    <xf numFmtId="0" fontId="26" fillId="3" borderId="75" xfId="0" applyFont="1" applyFill="1" applyBorder="1" applyAlignment="1">
      <alignment horizontal="center" vertical="center" wrapText="1"/>
    </xf>
    <xf numFmtId="0" fontId="27" fillId="3" borderId="75" xfId="0" applyFont="1" applyFill="1" applyBorder="1" applyAlignment="1">
      <alignment horizontal="center" vertical="center" wrapText="1"/>
    </xf>
    <xf numFmtId="0" fontId="25" fillId="3" borderId="75" xfId="0" applyFont="1" applyFill="1" applyBorder="1" applyAlignment="1">
      <alignment vertical="center" wrapText="1"/>
    </xf>
    <xf numFmtId="11" fontId="12" fillId="0" borderId="16" xfId="0" applyNumberFormat="1" applyFont="1" applyBorder="1" applyAlignment="1">
      <alignment horizontal="center" vertical="center"/>
    </xf>
    <xf numFmtId="11" fontId="12" fillId="0" borderId="14" xfId="0" applyNumberFormat="1" applyFont="1" applyBorder="1" applyAlignment="1">
      <alignment horizontal="center" vertical="center"/>
    </xf>
    <xf numFmtId="11" fontId="12" fillId="0" borderId="36" xfId="0" applyNumberFormat="1" applyFont="1" applyBorder="1" applyAlignment="1">
      <alignment horizontal="center" vertical="center"/>
    </xf>
    <xf numFmtId="11" fontId="12" fillId="0" borderId="40" xfId="0" applyNumberFormat="1" applyFont="1" applyBorder="1" applyAlignment="1">
      <alignment horizontal="center" vertical="center"/>
    </xf>
    <xf numFmtId="1" fontId="22" fillId="0" borderId="47" xfId="0" applyNumberFormat="1" applyFont="1" applyBorder="1" applyAlignment="1">
      <alignment horizontal="left" vertical="center" wrapText="1"/>
    </xf>
    <xf numFmtId="1" fontId="22" fillId="0" borderId="78" xfId="0" applyNumberFormat="1" applyFont="1" applyBorder="1" applyAlignment="1">
      <alignment horizontal="left" vertical="center" wrapText="1"/>
    </xf>
    <xf numFmtId="0" fontId="9" fillId="5" borderId="41" xfId="0" applyFont="1" applyFill="1" applyBorder="1" applyAlignment="1">
      <alignment horizontal="center" vertical="center" wrapText="1"/>
    </xf>
    <xf numFmtId="2" fontId="12" fillId="3" borderId="35" xfId="0" applyNumberFormat="1" applyFont="1" applyFill="1" applyBorder="1" applyAlignment="1">
      <alignment horizontal="center" vertical="center"/>
    </xf>
    <xf numFmtId="0" fontId="12" fillId="0" borderId="29" xfId="0" applyFont="1" applyBorder="1" applyAlignment="1">
      <alignment horizontal="center" vertical="center" wrapText="1"/>
    </xf>
    <xf numFmtId="167" fontId="12" fillId="3" borderId="21" xfId="0" applyNumberFormat="1" applyFont="1" applyFill="1" applyBorder="1" applyAlignment="1">
      <alignment horizontal="center" vertical="center"/>
    </xf>
    <xf numFmtId="0" fontId="12" fillId="0" borderId="22" xfId="0" applyFont="1" applyBorder="1" applyAlignment="1">
      <alignment horizontal="center" vertical="center" wrapText="1"/>
    </xf>
    <xf numFmtId="167" fontId="12" fillId="3" borderId="14" xfId="0" applyNumberFormat="1" applyFont="1" applyFill="1" applyBorder="1" applyAlignment="1">
      <alignment horizontal="center" vertical="center"/>
    </xf>
    <xf numFmtId="1" fontId="12" fillId="3" borderId="37" xfId="0" applyNumberFormat="1" applyFont="1" applyFill="1" applyBorder="1" applyAlignment="1">
      <alignment horizontal="center" vertical="center"/>
    </xf>
    <xf numFmtId="0" fontId="29" fillId="4" borderId="85" xfId="0" applyFont="1" applyFill="1" applyBorder="1" applyAlignment="1">
      <alignment vertical="center" wrapText="1"/>
    </xf>
    <xf numFmtId="0" fontId="9" fillId="4" borderId="90"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22" fillId="5" borderId="37" xfId="0" applyFont="1" applyFill="1" applyBorder="1" applyAlignment="1">
      <alignment horizontal="center" vertical="center" wrapText="1"/>
    </xf>
    <xf numFmtId="0" fontId="22" fillId="5" borderId="43" xfId="0" applyFont="1" applyFill="1" applyBorder="1" applyAlignment="1">
      <alignment horizontal="center" vertical="center" wrapText="1"/>
    </xf>
    <xf numFmtId="0" fontId="0" fillId="3" borderId="54" xfId="0" applyFill="1" applyBorder="1" applyAlignment="1">
      <alignment horizontal="center"/>
    </xf>
    <xf numFmtId="0" fontId="0" fillId="3" borderId="35" xfId="0" applyFill="1" applyBorder="1" applyAlignment="1">
      <alignment horizontal="center"/>
    </xf>
    <xf numFmtId="164" fontId="0" fillId="3" borderId="24" xfId="0" applyNumberFormat="1" applyFill="1" applyBorder="1" applyAlignment="1">
      <alignment horizontal="center"/>
    </xf>
    <xf numFmtId="0" fontId="0" fillId="3" borderId="29" xfId="0" applyFill="1" applyBorder="1"/>
    <xf numFmtId="0" fontId="1" fillId="6" borderId="85"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45" fillId="18" borderId="32" xfId="0" applyFont="1" applyFill="1" applyBorder="1" applyAlignment="1">
      <alignment vertical="center"/>
    </xf>
    <xf numFmtId="0" fontId="46" fillId="18" borderId="32" xfId="0" applyFont="1" applyFill="1" applyBorder="1" applyAlignment="1">
      <alignment vertical="center"/>
    </xf>
    <xf numFmtId="0" fontId="0" fillId="0" borderId="0" xfId="0" applyAlignment="1">
      <alignment horizontal="center" vertical="center"/>
    </xf>
    <xf numFmtId="0" fontId="45" fillId="19" borderId="98" xfId="0" applyFont="1" applyFill="1" applyBorder="1" applyAlignment="1">
      <alignment horizontal="center" vertical="center"/>
    </xf>
    <xf numFmtId="0" fontId="45" fillId="19" borderId="99" xfId="0" applyFont="1" applyFill="1" applyBorder="1" applyAlignment="1">
      <alignment horizontal="center" vertical="center"/>
    </xf>
    <xf numFmtId="0" fontId="45" fillId="20" borderId="98" xfId="0" applyFont="1" applyFill="1" applyBorder="1" applyAlignment="1">
      <alignment vertical="center"/>
    </xf>
    <xf numFmtId="0" fontId="45" fillId="20" borderId="98" xfId="0" applyFont="1" applyFill="1" applyBorder="1" applyAlignment="1">
      <alignment horizontal="left" vertical="center"/>
    </xf>
    <xf numFmtId="0" fontId="45" fillId="20" borderId="100" xfId="0" applyFont="1" applyFill="1" applyBorder="1" applyAlignment="1">
      <alignment horizontal="left" vertical="center" wrapText="1"/>
    </xf>
    <xf numFmtId="0" fontId="45" fillId="0" borderId="0" xfId="0" applyFont="1" applyAlignment="1">
      <alignment horizontal="left" vertical="center" wrapText="1"/>
    </xf>
    <xf numFmtId="0" fontId="46" fillId="0" borderId="0" xfId="0" applyFont="1" applyAlignment="1">
      <alignment vertical="top" wrapText="1"/>
    </xf>
    <xf numFmtId="0" fontId="48" fillId="0" borderId="0" xfId="0" quotePrefix="1" applyFont="1" applyAlignment="1" applyProtection="1">
      <alignment vertical="center"/>
      <protection hidden="1"/>
    </xf>
    <xf numFmtId="0" fontId="49" fillId="3" borderId="0" xfId="0" applyFont="1" applyFill="1"/>
    <xf numFmtId="0" fontId="50" fillId="3" borderId="0" xfId="0" applyFont="1" applyFill="1"/>
    <xf numFmtId="0" fontId="50" fillId="12" borderId="85" xfId="0" applyFont="1" applyFill="1" applyBorder="1" applyAlignment="1">
      <alignment horizontal="center"/>
    </xf>
    <xf numFmtId="11" fontId="50" fillId="12" borderId="85" xfId="0" applyNumberFormat="1" applyFont="1" applyFill="1" applyBorder="1" applyAlignment="1">
      <alignment horizontal="center"/>
    </xf>
    <xf numFmtId="0" fontId="1" fillId="3" borderId="51" xfId="0" applyFont="1" applyFill="1" applyBorder="1" applyAlignment="1">
      <alignment horizontal="right"/>
    </xf>
    <xf numFmtId="0" fontId="51" fillId="3" borderId="0" xfId="0" applyFont="1" applyFill="1" applyAlignment="1">
      <alignment vertical="center"/>
    </xf>
    <xf numFmtId="0" fontId="1" fillId="3" borderId="56" xfId="0" applyFont="1" applyFill="1" applyBorder="1" applyAlignment="1">
      <alignment horizontal="right"/>
    </xf>
    <xf numFmtId="0" fontId="1" fillId="3" borderId="0" xfId="0" applyFont="1" applyFill="1" applyAlignment="1">
      <alignment wrapText="1"/>
    </xf>
    <xf numFmtId="0" fontId="53" fillId="22" borderId="81" xfId="0" applyFont="1" applyFill="1" applyBorder="1" applyAlignment="1">
      <alignment horizontal="center" vertical="center" wrapText="1"/>
    </xf>
    <xf numFmtId="0" fontId="53" fillId="22" borderId="34" xfId="0" applyFont="1" applyFill="1" applyBorder="1" applyAlignment="1">
      <alignment horizontal="center" vertical="center" wrapText="1"/>
    </xf>
    <xf numFmtId="0" fontId="53" fillId="22" borderId="25" xfId="0" applyFont="1" applyFill="1" applyBorder="1" applyAlignment="1">
      <alignment horizontal="center" vertical="center" wrapText="1"/>
    </xf>
    <xf numFmtId="0" fontId="53" fillId="22" borderId="27" xfId="0" applyFont="1" applyFill="1" applyBorder="1" applyAlignment="1">
      <alignment horizontal="center" vertical="center" wrapText="1"/>
    </xf>
    <xf numFmtId="0" fontId="50" fillId="23" borderId="85" xfId="0" applyFont="1" applyFill="1" applyBorder="1" applyAlignment="1">
      <alignment horizontal="center"/>
    </xf>
    <xf numFmtId="0" fontId="50" fillId="3" borderId="85" xfId="0" applyFont="1" applyFill="1" applyBorder="1" applyAlignment="1">
      <alignment horizontal="center"/>
    </xf>
    <xf numFmtId="2" fontId="55" fillId="3" borderId="38" xfId="0" applyNumberFormat="1" applyFont="1" applyFill="1" applyBorder="1" applyAlignment="1">
      <alignment horizontal="center" vertical="center" wrapText="1"/>
    </xf>
    <xf numFmtId="11" fontId="55" fillId="3" borderId="38" xfId="0" applyNumberFormat="1" applyFont="1" applyFill="1" applyBorder="1" applyAlignment="1">
      <alignment horizontal="center" vertical="center" wrapText="1"/>
    </xf>
    <xf numFmtId="0" fontId="0" fillId="3" borderId="3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85" xfId="0" applyFill="1" applyBorder="1"/>
    <xf numFmtId="0" fontId="0" fillId="3" borderId="85" xfId="0" applyFill="1" applyBorder="1" applyAlignment="1">
      <alignment horizontal="center"/>
    </xf>
    <xf numFmtId="11" fontId="0" fillId="3" borderId="85" xfId="0" applyNumberFormat="1" applyFill="1" applyBorder="1" applyAlignment="1">
      <alignment horizontal="center"/>
    </xf>
    <xf numFmtId="0" fontId="0" fillId="3" borderId="75"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91" xfId="0" applyFill="1" applyBorder="1" applyAlignment="1" applyProtection="1">
      <alignment horizontal="center" vertical="center"/>
      <protection locked="0"/>
    </xf>
    <xf numFmtId="0" fontId="0" fillId="3" borderId="0" xfId="0" quotePrefix="1" applyFill="1"/>
    <xf numFmtId="0" fontId="56" fillId="3" borderId="103" xfId="0" applyFont="1" applyFill="1" applyBorder="1" applyAlignment="1">
      <alignment horizontal="center" vertical="center" wrapText="1"/>
    </xf>
    <xf numFmtId="0" fontId="0" fillId="3" borderId="8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79" xfId="0" applyFill="1" applyBorder="1" applyAlignment="1" applyProtection="1">
      <alignment horizontal="center" vertical="center"/>
      <protection locked="0"/>
    </xf>
    <xf numFmtId="11" fontId="56" fillId="3" borderId="38" xfId="0" applyNumberFormat="1" applyFont="1" applyFill="1" applyBorder="1" applyAlignment="1">
      <alignment horizontal="center" vertical="center" wrapText="1"/>
    </xf>
    <xf numFmtId="0" fontId="56" fillId="3" borderId="57" xfId="0" applyFont="1" applyFill="1" applyBorder="1" applyAlignment="1">
      <alignment horizontal="center" vertical="center" wrapText="1"/>
    </xf>
    <xf numFmtId="0" fontId="56" fillId="3" borderId="81" xfId="0" applyFont="1" applyFill="1" applyBorder="1" applyAlignment="1">
      <alignment horizontal="center" vertical="center" wrapText="1"/>
    </xf>
    <xf numFmtId="0" fontId="56" fillId="3" borderId="81" xfId="0" quotePrefix="1" applyFont="1" applyFill="1" applyBorder="1" applyAlignment="1">
      <alignment horizontal="center" vertical="center" wrapText="1"/>
    </xf>
    <xf numFmtId="0" fontId="55" fillId="3" borderId="85" xfId="0" applyFont="1" applyFill="1" applyBorder="1" applyAlignment="1">
      <alignment horizontal="center" vertical="center" wrapText="1"/>
    </xf>
    <xf numFmtId="0" fontId="0" fillId="3" borderId="87"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81" xfId="0" applyFill="1" applyBorder="1" applyAlignment="1" applyProtection="1">
      <alignment horizontal="center" vertical="center"/>
      <protection locked="0"/>
    </xf>
    <xf numFmtId="0" fontId="55" fillId="3" borderId="106" xfId="0" applyFont="1" applyFill="1" applyBorder="1" applyAlignment="1">
      <alignment horizontal="center" vertical="center" wrapText="1"/>
    </xf>
    <xf numFmtId="0" fontId="50" fillId="3" borderId="0" xfId="0" applyFont="1" applyFill="1" applyAlignment="1">
      <alignment horizontal="center"/>
    </xf>
    <xf numFmtId="0" fontId="55" fillId="3" borderId="0" xfId="0" applyFont="1" applyFill="1" applyAlignment="1">
      <alignment vertical="center"/>
    </xf>
    <xf numFmtId="0" fontId="58" fillId="3" borderId="0" xfId="0" applyFont="1" applyFill="1" applyAlignment="1">
      <alignment vertical="center"/>
    </xf>
    <xf numFmtId="0" fontId="57" fillId="3" borderId="0" xfId="0" applyFont="1" applyFill="1" applyAlignment="1">
      <alignment vertical="center"/>
    </xf>
    <xf numFmtId="11" fontId="0" fillId="3" borderId="14" xfId="0" applyNumberFormat="1" applyFill="1" applyBorder="1" applyAlignment="1">
      <alignment horizontal="center" vertical="center"/>
    </xf>
    <xf numFmtId="3" fontId="0" fillId="3" borderId="24" xfId="0" applyNumberFormat="1" applyFill="1" applyBorder="1" applyAlignment="1">
      <alignment horizontal="center" vertical="center"/>
    </xf>
    <xf numFmtId="0" fontId="0" fillId="10" borderId="33" xfId="0" applyFill="1" applyBorder="1" applyAlignment="1">
      <alignment vertical="center" wrapText="1"/>
    </xf>
    <xf numFmtId="0" fontId="0" fillId="3" borderId="32" xfId="0" applyFill="1" applyBorder="1" applyAlignment="1">
      <alignment vertical="center" wrapText="1"/>
    </xf>
    <xf numFmtId="0" fontId="0" fillId="3" borderId="32" xfId="0" applyFill="1" applyBorder="1" applyAlignment="1">
      <alignment vertical="center"/>
    </xf>
    <xf numFmtId="1" fontId="0" fillId="3" borderId="32" xfId="0" applyNumberFormat="1" applyFill="1" applyBorder="1" applyAlignment="1">
      <alignment horizontal="center" vertical="center"/>
    </xf>
    <xf numFmtId="11" fontId="0" fillId="3" borderId="32" xfId="0" applyNumberFormat="1" applyFill="1" applyBorder="1" applyAlignment="1">
      <alignment horizontal="center" vertical="center"/>
    </xf>
    <xf numFmtId="0" fontId="0" fillId="3" borderId="32" xfId="0" applyFill="1" applyBorder="1" applyAlignment="1">
      <alignment horizontal="center" vertical="center"/>
    </xf>
    <xf numFmtId="0" fontId="0" fillId="10" borderId="3" xfId="0" applyFill="1" applyBorder="1" applyAlignment="1">
      <alignment vertical="center"/>
    </xf>
    <xf numFmtId="0" fontId="0" fillId="10" borderId="35" xfId="0" applyFill="1" applyBorder="1" applyAlignment="1">
      <alignment vertical="center" wrapText="1"/>
    </xf>
    <xf numFmtId="0" fontId="0" fillId="3" borderId="24" xfId="0" applyFill="1" applyBorder="1" applyAlignment="1">
      <alignment vertical="center" wrapText="1"/>
    </xf>
    <xf numFmtId="0" fontId="0" fillId="3" borderId="24" xfId="0" applyFill="1" applyBorder="1" applyAlignment="1">
      <alignment vertical="center"/>
    </xf>
    <xf numFmtId="11" fontId="0" fillId="3" borderId="24" xfId="0" applyNumberFormat="1" applyFill="1" applyBorder="1" applyAlignment="1">
      <alignment horizontal="center" vertical="center"/>
    </xf>
    <xf numFmtId="0" fontId="0" fillId="3" borderId="24" xfId="0" applyFill="1" applyBorder="1" applyAlignment="1">
      <alignment horizontal="center" vertical="center"/>
    </xf>
    <xf numFmtId="0" fontId="0" fillId="10" borderId="8" xfId="0" applyFill="1" applyBorder="1" applyAlignment="1">
      <alignment vertical="center"/>
    </xf>
    <xf numFmtId="0" fontId="0" fillId="0" borderId="64" xfId="0" applyBorder="1"/>
    <xf numFmtId="0" fontId="0" fillId="0" borderId="64" xfId="0" applyBorder="1" applyAlignment="1">
      <alignment wrapText="1"/>
    </xf>
    <xf numFmtId="0" fontId="0" fillId="0" borderId="52" xfId="0" applyBorder="1"/>
    <xf numFmtId="11" fontId="0" fillId="12" borderId="14" xfId="0" applyNumberFormat="1" applyFill="1" applyBorder="1" applyAlignment="1">
      <alignment horizontal="center" vertical="center" wrapText="1"/>
    </xf>
    <xf numFmtId="11" fontId="0" fillId="12" borderId="32" xfId="0" applyNumberFormat="1" applyFill="1" applyBorder="1" applyAlignment="1">
      <alignment horizontal="center" vertical="center" wrapText="1"/>
    </xf>
    <xf numFmtId="11" fontId="0" fillId="12" borderId="14" xfId="0" applyNumberFormat="1" applyFill="1" applyBorder="1" applyAlignment="1">
      <alignment horizontal="center" vertical="center"/>
    </xf>
    <xf numFmtId="11" fontId="0" fillId="12" borderId="32" xfId="0" applyNumberFormat="1" applyFill="1" applyBorder="1" applyAlignment="1">
      <alignment horizontal="center" vertical="center"/>
    </xf>
    <xf numFmtId="11" fontId="0" fillId="12" borderId="24" xfId="0" applyNumberFormat="1" applyFill="1" applyBorder="1" applyAlignment="1">
      <alignment horizontal="center" vertical="center"/>
    </xf>
    <xf numFmtId="11" fontId="0" fillId="12" borderId="24" xfId="0" applyNumberFormat="1" applyFill="1" applyBorder="1" applyAlignment="1">
      <alignment horizontal="center" vertical="center" wrapText="1"/>
    </xf>
    <xf numFmtId="11" fontId="0" fillId="12" borderId="1" xfId="0" applyNumberFormat="1" applyFill="1" applyBorder="1" applyAlignment="1">
      <alignment horizontal="center" vertical="center"/>
    </xf>
    <xf numFmtId="11" fontId="0" fillId="12" borderId="1" xfId="0" applyNumberFormat="1" applyFill="1" applyBorder="1" applyAlignment="1">
      <alignment horizontal="center" vertical="center" wrapText="1"/>
    </xf>
    <xf numFmtId="4" fontId="2" fillId="12" borderId="14" xfId="0" applyNumberFormat="1" applyFont="1" applyFill="1" applyBorder="1" applyAlignment="1">
      <alignment horizontal="center" vertical="center" wrapText="1"/>
    </xf>
    <xf numFmtId="4" fontId="2" fillId="12" borderId="26" xfId="0" applyNumberFormat="1" applyFont="1" applyFill="1" applyBorder="1" applyAlignment="1">
      <alignment horizontal="center" vertical="center" wrapText="1"/>
    </xf>
    <xf numFmtId="4" fontId="2" fillId="12" borderId="32" xfId="0" applyNumberFormat="1" applyFont="1" applyFill="1" applyBorder="1" applyAlignment="1">
      <alignment horizontal="center" vertical="center" wrapText="1"/>
    </xf>
    <xf numFmtId="4" fontId="2" fillId="12" borderId="24" xfId="0" applyNumberFormat="1" applyFont="1" applyFill="1" applyBorder="1" applyAlignment="1">
      <alignment horizontal="center" vertical="center" wrapText="1"/>
    </xf>
    <xf numFmtId="4" fontId="2" fillId="12" borderId="1" xfId="0" applyNumberFormat="1" applyFont="1" applyFill="1" applyBorder="1" applyAlignment="1">
      <alignment horizontal="center" vertical="center" wrapText="1"/>
    </xf>
    <xf numFmtId="0" fontId="7" fillId="0" borderId="85" xfId="0" applyFont="1" applyBorder="1" applyAlignment="1">
      <alignment horizontal="center"/>
    </xf>
    <xf numFmtId="3" fontId="35" fillId="0" borderId="81" xfId="2" applyNumberFormat="1" applyFont="1" applyBorder="1" applyAlignment="1">
      <alignment horizontal="center" vertical="center" wrapText="1"/>
    </xf>
    <xf numFmtId="37" fontId="7" fillId="0" borderId="85" xfId="3" applyNumberFormat="1" applyFont="1" applyFill="1" applyBorder="1" applyAlignment="1">
      <alignment horizontal="center" vertical="center"/>
    </xf>
    <xf numFmtId="37" fontId="7" fillId="0" borderId="53" xfId="3" applyNumberFormat="1" applyFont="1" applyFill="1" applyBorder="1" applyAlignment="1">
      <alignment horizontal="center" vertical="center"/>
    </xf>
    <xf numFmtId="0" fontId="8" fillId="2" borderId="39"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35" fillId="0" borderId="85" xfId="2" applyFont="1" applyBorder="1" applyAlignment="1">
      <alignment vertical="center" wrapText="1"/>
    </xf>
    <xf numFmtId="0" fontId="35" fillId="0" borderId="52" xfId="2" applyFont="1" applyBorder="1" applyAlignment="1">
      <alignment horizontal="center" vertical="center" wrapText="1"/>
    </xf>
    <xf numFmtId="165" fontId="0" fillId="0" borderId="1" xfId="0" applyNumberFormat="1" applyBorder="1" applyAlignment="1">
      <alignment horizontal="left" vertical="top"/>
    </xf>
    <xf numFmtId="0" fontId="0" fillId="0" borderId="1" xfId="0" applyBorder="1" applyAlignment="1">
      <alignment horizontal="left" vertical="top"/>
    </xf>
    <xf numFmtId="11" fontId="2" fillId="24" borderId="1" xfId="0" applyNumberFormat="1" applyFont="1" applyFill="1" applyBorder="1" applyAlignment="1">
      <alignment horizontal="center" vertical="center"/>
    </xf>
    <xf numFmtId="1" fontId="12" fillId="0" borderId="60" xfId="0" applyNumberFormat="1" applyFont="1" applyBorder="1" applyAlignment="1">
      <alignment horizontal="center" vertical="center"/>
    </xf>
    <xf numFmtId="0" fontId="7" fillId="0" borderId="16" xfId="0" applyFont="1" applyBorder="1" applyAlignment="1">
      <alignment horizontal="center" vertical="center"/>
    </xf>
    <xf numFmtId="1" fontId="7" fillId="0" borderId="14" xfId="0" applyNumberFormat="1" applyFont="1" applyBorder="1" applyAlignment="1">
      <alignment horizontal="center" vertical="center"/>
    </xf>
    <xf numFmtId="0" fontId="7" fillId="0" borderId="21" xfId="0" applyFont="1" applyBorder="1" applyAlignment="1">
      <alignment horizontal="center" vertical="center"/>
    </xf>
    <xf numFmtId="0" fontId="21" fillId="7" borderId="15" xfId="0" applyFont="1" applyFill="1" applyBorder="1" applyAlignment="1">
      <alignment horizontal="center" vertical="center" wrapText="1"/>
    </xf>
    <xf numFmtId="0" fontId="7" fillId="8" borderId="15" xfId="0" applyFont="1" applyFill="1" applyBorder="1" applyAlignment="1">
      <alignment horizontal="center" vertical="center"/>
    </xf>
    <xf numFmtId="0" fontId="7" fillId="0" borderId="15" xfId="0" applyFont="1" applyBorder="1" applyAlignment="1">
      <alignment horizontal="center" vertical="center"/>
    </xf>
    <xf numFmtId="1" fontId="8" fillId="2" borderId="66" xfId="0" applyNumberFormat="1" applyFont="1" applyFill="1" applyBorder="1" applyAlignment="1">
      <alignment vertical="center" wrapText="1"/>
    </xf>
    <xf numFmtId="1" fontId="8" fillId="2" borderId="7" xfId="0" applyNumberFormat="1" applyFont="1" applyFill="1" applyBorder="1" applyAlignment="1">
      <alignment vertical="center" wrapText="1"/>
    </xf>
    <xf numFmtId="1" fontId="8" fillId="2" borderId="65" xfId="0" applyNumberFormat="1" applyFont="1" applyFill="1" applyBorder="1" applyAlignment="1">
      <alignment horizontal="center" vertical="center" wrapText="1"/>
    </xf>
    <xf numFmtId="1" fontId="7" fillId="0" borderId="60" xfId="0" applyNumberFormat="1" applyFont="1" applyBorder="1" applyAlignment="1">
      <alignment horizontal="center" vertical="center"/>
    </xf>
    <xf numFmtId="1" fontId="7" fillId="0" borderId="107" xfId="0" applyNumberFormat="1" applyFont="1" applyBorder="1" applyAlignment="1">
      <alignment horizontal="center" vertical="center"/>
    </xf>
    <xf numFmtId="0" fontId="7" fillId="0" borderId="62" xfId="0" applyFont="1" applyBorder="1" applyAlignment="1">
      <alignment horizontal="center" vertical="center"/>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164" fontId="12" fillId="0" borderId="22" xfId="0" applyNumberFormat="1" applyFont="1" applyBorder="1" applyAlignment="1">
      <alignment horizontal="center" vertical="center"/>
    </xf>
    <xf numFmtId="0" fontId="47" fillId="0" borderId="99" xfId="0" applyFont="1" applyBorder="1" applyAlignment="1">
      <alignment vertical="center" wrapText="1"/>
    </xf>
    <xf numFmtId="0" fontId="47" fillId="0" borderId="101" xfId="0" applyFont="1" applyBorder="1" applyAlignment="1">
      <alignment vertical="center" wrapText="1"/>
    </xf>
    <xf numFmtId="1" fontId="0" fillId="3" borderId="85" xfId="0" applyNumberFormat="1" applyFill="1" applyBorder="1" applyAlignment="1">
      <alignment horizontal="center"/>
    </xf>
    <xf numFmtId="0" fontId="9" fillId="5" borderId="61" xfId="0" applyFont="1" applyFill="1" applyBorder="1" applyAlignment="1">
      <alignment horizontal="center" vertical="center" wrapText="1"/>
    </xf>
    <xf numFmtId="2" fontId="12" fillId="0" borderId="17" xfId="0" applyNumberFormat="1" applyFont="1" applyBorder="1" applyAlignment="1">
      <alignment horizontal="center" vertical="center"/>
    </xf>
    <xf numFmtId="2" fontId="12" fillId="0" borderId="30" xfId="0" applyNumberFormat="1" applyFont="1" applyBorder="1" applyAlignment="1">
      <alignment horizontal="center" vertical="center"/>
    </xf>
    <xf numFmtId="164" fontId="12" fillId="0" borderId="6" xfId="0" applyNumberFormat="1" applyFont="1" applyBorder="1" applyAlignment="1">
      <alignment horizontal="center" vertical="center"/>
    </xf>
    <xf numFmtId="164" fontId="12" fillId="0" borderId="30" xfId="0" applyNumberFormat="1" applyFont="1" applyBorder="1" applyAlignment="1">
      <alignment horizontal="center" vertical="center"/>
    </xf>
    <xf numFmtId="2" fontId="12" fillId="0" borderId="6" xfId="0" applyNumberFormat="1" applyFont="1" applyBorder="1" applyAlignment="1">
      <alignment horizontal="center" vertical="center"/>
    </xf>
    <xf numFmtId="0" fontId="9" fillId="5" borderId="63"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30" xfId="0" applyFont="1" applyBorder="1" applyAlignment="1">
      <alignment horizontal="center" vertical="center" wrapText="1"/>
    </xf>
    <xf numFmtId="2" fontId="12" fillId="0" borderId="62" xfId="0" applyNumberFormat="1" applyFont="1" applyBorder="1" applyAlignment="1">
      <alignment horizontal="center" vertical="center"/>
    </xf>
    <xf numFmtId="164" fontId="12" fillId="0" borderId="60" xfId="0" applyNumberFormat="1" applyFont="1" applyBorder="1" applyAlignment="1">
      <alignment horizontal="center" vertical="center"/>
    </xf>
    <xf numFmtId="164" fontId="12" fillId="0" borderId="62" xfId="0" applyNumberFormat="1" applyFont="1" applyBorder="1" applyAlignment="1">
      <alignment horizontal="center" vertical="center"/>
    </xf>
    <xf numFmtId="2" fontId="12" fillId="3" borderId="9" xfId="0" applyNumberFormat="1" applyFont="1" applyFill="1" applyBorder="1" applyAlignment="1">
      <alignment horizontal="center" vertical="center"/>
    </xf>
    <xf numFmtId="167" fontId="12" fillId="3" borderId="62" xfId="0" applyNumberFormat="1" applyFont="1" applyFill="1" applyBorder="1" applyAlignment="1">
      <alignment horizontal="center" vertical="center"/>
    </xf>
    <xf numFmtId="164" fontId="12" fillId="3" borderId="0" xfId="0" applyNumberFormat="1" applyFont="1" applyFill="1" applyAlignment="1">
      <alignment horizontal="center" vertical="center"/>
    </xf>
    <xf numFmtId="0" fontId="8" fillId="3" borderId="17" xfId="0" applyFont="1" applyFill="1" applyBorder="1" applyAlignment="1">
      <alignment horizontal="center" vertical="center"/>
    </xf>
    <xf numFmtId="0" fontId="8" fillId="3" borderId="30" xfId="0" applyFont="1" applyFill="1" applyBorder="1" applyAlignment="1">
      <alignment horizontal="center" vertical="center"/>
    </xf>
    <xf numFmtId="1" fontId="12" fillId="0" borderId="16" xfId="0" applyNumberFormat="1" applyFont="1" applyBorder="1" applyAlignment="1">
      <alignment horizontal="center" vertical="center"/>
    </xf>
    <xf numFmtId="1" fontId="12" fillId="0" borderId="21" xfId="0" applyNumberFormat="1" applyFont="1" applyBorder="1" applyAlignment="1">
      <alignment horizontal="center" vertical="center"/>
    </xf>
    <xf numFmtId="3" fontId="9" fillId="0" borderId="88" xfId="0" applyNumberFormat="1" applyFont="1" applyBorder="1" applyAlignment="1">
      <alignment horizontal="center" vertical="center"/>
    </xf>
    <xf numFmtId="3" fontId="9" fillId="0" borderId="30" xfId="0" applyNumberFormat="1" applyFont="1" applyBorder="1" applyAlignment="1">
      <alignment horizontal="center" vertical="center"/>
    </xf>
    <xf numFmtId="0" fontId="9" fillId="5" borderId="91" xfId="0" applyFont="1" applyFill="1" applyBorder="1" applyAlignment="1">
      <alignment horizontal="center" vertical="center" wrapText="1"/>
    </xf>
    <xf numFmtId="164" fontId="12" fillId="0" borderId="16" xfId="0" applyNumberFormat="1" applyFont="1" applyBorder="1" applyAlignment="1">
      <alignment horizontal="center" vertical="center"/>
    </xf>
    <xf numFmtId="164" fontId="12" fillId="0" borderId="18" xfId="0" applyNumberFormat="1" applyFont="1" applyBorder="1" applyAlignment="1">
      <alignment horizontal="center" vertical="center"/>
    </xf>
    <xf numFmtId="164" fontId="12" fillId="0" borderId="21" xfId="0" applyNumberFormat="1" applyFont="1" applyBorder="1" applyAlignment="1">
      <alignment horizontal="center" vertical="center"/>
    </xf>
    <xf numFmtId="2" fontId="12" fillId="0" borderId="16" xfId="0" applyNumberFormat="1" applyFont="1" applyBorder="1" applyAlignment="1">
      <alignment horizontal="center" vertical="center"/>
    </xf>
    <xf numFmtId="0" fontId="9" fillId="5" borderId="45" xfId="0" applyFont="1" applyFill="1" applyBorder="1" applyAlignment="1">
      <alignment horizontal="center" vertical="center" wrapText="1"/>
    </xf>
    <xf numFmtId="0" fontId="9" fillId="5" borderId="46" xfId="0" applyFont="1" applyFill="1" applyBorder="1" applyAlignment="1">
      <alignment horizontal="center" vertical="center" wrapText="1"/>
    </xf>
    <xf numFmtId="2" fontId="12" fillId="0" borderId="58" xfId="0" applyNumberFormat="1" applyFont="1" applyBorder="1" applyAlignment="1">
      <alignment horizontal="center" vertical="center"/>
    </xf>
    <xf numFmtId="2" fontId="12" fillId="0" borderId="46" xfId="0" applyNumberFormat="1" applyFont="1" applyBorder="1" applyAlignment="1">
      <alignment horizontal="center" vertical="center"/>
    </xf>
    <xf numFmtId="0" fontId="8" fillId="0" borderId="22" xfId="0" applyFont="1" applyBorder="1" applyAlignment="1">
      <alignment horizontal="center" vertical="center" wrapText="1"/>
    </xf>
    <xf numFmtId="2" fontId="55" fillId="3" borderId="85" xfId="0" applyNumberFormat="1" applyFont="1" applyFill="1" applyBorder="1" applyAlignment="1">
      <alignment horizontal="center" vertical="center" wrapText="1"/>
    </xf>
    <xf numFmtId="0" fontId="0" fillId="21" borderId="64" xfId="0" applyFill="1" applyBorder="1" applyAlignment="1">
      <alignment horizontal="center"/>
    </xf>
    <xf numFmtId="1" fontId="50" fillId="12" borderId="85" xfId="0" applyNumberFormat="1" applyFont="1" applyFill="1" applyBorder="1" applyAlignment="1">
      <alignment horizontal="center"/>
    </xf>
    <xf numFmtId="0" fontId="16" fillId="3" borderId="0" xfId="0" applyFont="1" applyFill="1"/>
    <xf numFmtId="0" fontId="7" fillId="0" borderId="35" xfId="0" applyFont="1" applyBorder="1" applyAlignment="1">
      <alignment horizontal="center" vertical="center"/>
    </xf>
    <xf numFmtId="1" fontId="7" fillId="0" borderId="9" xfId="0" applyNumberFormat="1" applyFont="1" applyBorder="1" applyAlignment="1">
      <alignment horizontal="center" vertical="center"/>
    </xf>
    <xf numFmtId="1" fontId="7" fillId="0" borderId="24" xfId="0" applyNumberFormat="1" applyFont="1" applyBorder="1" applyAlignment="1">
      <alignment horizontal="center" vertical="center"/>
    </xf>
    <xf numFmtId="0" fontId="21" fillId="7" borderId="25" xfId="0" applyFont="1" applyFill="1" applyBorder="1" applyAlignment="1">
      <alignment horizontal="center" vertical="center" wrapText="1"/>
    </xf>
    <xf numFmtId="0" fontId="7" fillId="8" borderId="25" xfId="0" applyFont="1" applyFill="1" applyBorder="1" applyAlignment="1">
      <alignment horizontal="center" vertical="center"/>
    </xf>
    <xf numFmtId="0" fontId="12" fillId="2" borderId="74" xfId="0" applyFont="1" applyFill="1" applyBorder="1" applyAlignment="1">
      <alignment horizontal="center" vertical="center" wrapText="1"/>
    </xf>
    <xf numFmtId="0" fontId="21" fillId="0" borderId="1" xfId="0" applyFont="1" applyBorder="1" applyAlignment="1">
      <alignment horizontal="center" vertical="center" wrapText="1"/>
    </xf>
    <xf numFmtId="0" fontId="7" fillId="0" borderId="1" xfId="0" applyFont="1" applyBorder="1" applyAlignment="1">
      <alignment horizontal="center" vertical="center"/>
    </xf>
    <xf numFmtId="2" fontId="7" fillId="0" borderId="0" xfId="0" applyNumberFormat="1" applyFont="1" applyAlignment="1">
      <alignment horizontal="center" vertical="center"/>
    </xf>
    <xf numFmtId="165" fontId="0" fillId="3" borderId="14" xfId="0" applyNumberFormat="1" applyFill="1" applyBorder="1" applyAlignment="1">
      <alignment horizontal="center" vertical="center"/>
    </xf>
    <xf numFmtId="165" fontId="0" fillId="3" borderId="26" xfId="0" applyNumberFormat="1" applyFill="1" applyBorder="1" applyAlignment="1">
      <alignment horizontal="center" vertical="center"/>
    </xf>
    <xf numFmtId="165" fontId="0" fillId="3" borderId="24" xfId="0" applyNumberFormat="1" applyFill="1" applyBorder="1" applyAlignment="1">
      <alignment horizontal="center" vertical="center"/>
    </xf>
    <xf numFmtId="0" fontId="7" fillId="15" borderId="38" xfId="0" applyFont="1" applyFill="1" applyBorder="1" applyAlignment="1">
      <alignment horizontal="left" vertical="center" wrapText="1"/>
    </xf>
    <xf numFmtId="0" fontId="8" fillId="6" borderId="0" xfId="0" applyFont="1" applyFill="1" applyAlignment="1">
      <alignment horizontal="center"/>
    </xf>
    <xf numFmtId="0" fontId="7" fillId="0" borderId="0" xfId="0" applyFont="1" applyAlignment="1">
      <alignment vertical="center"/>
    </xf>
    <xf numFmtId="0" fontId="7" fillId="0" borderId="0" xfId="0" quotePrefix="1" applyFont="1" applyAlignment="1">
      <alignment vertical="center" wrapText="1"/>
    </xf>
    <xf numFmtId="0" fontId="7" fillId="0" borderId="0" xfId="0" quotePrefix="1" applyFont="1" applyAlignment="1">
      <alignment wrapText="1"/>
    </xf>
    <xf numFmtId="0" fontId="7" fillId="0" borderId="0" xfId="0" applyFont="1" applyAlignment="1">
      <alignment horizontal="left" wrapText="1"/>
    </xf>
    <xf numFmtId="0" fontId="7" fillId="0" borderId="0" xfId="0" applyFont="1" applyAlignment="1">
      <alignment horizontal="left"/>
    </xf>
    <xf numFmtId="0" fontId="8" fillId="0" borderId="0" xfId="0" applyFont="1" applyAlignment="1">
      <alignment horizontal="left"/>
    </xf>
    <xf numFmtId="0" fontId="7" fillId="0" borderId="0" xfId="0" quotePrefix="1" applyFont="1" applyAlignment="1">
      <alignment horizontal="left"/>
    </xf>
    <xf numFmtId="0" fontId="63" fillId="0" borderId="0" xfId="0" applyFont="1"/>
    <xf numFmtId="0" fontId="64" fillId="0" borderId="0" xfId="0" applyFont="1"/>
    <xf numFmtId="0" fontId="44" fillId="0" borderId="0" xfId="0" applyFont="1"/>
    <xf numFmtId="0" fontId="65" fillId="0" borderId="0" xfId="0" applyFont="1"/>
    <xf numFmtId="0" fontId="44" fillId="3" borderId="0" xfId="0" applyFont="1" applyFill="1" applyAlignment="1">
      <alignment horizontal="left" vertical="center"/>
    </xf>
    <xf numFmtId="49" fontId="51" fillId="0" borderId="0" xfId="0" applyNumberFormat="1" applyFont="1" applyAlignment="1">
      <alignment horizontal="left"/>
    </xf>
    <xf numFmtId="0" fontId="63" fillId="0" borderId="0" xfId="0" applyFont="1" applyProtection="1">
      <protection locked="0"/>
    </xf>
    <xf numFmtId="0" fontId="66" fillId="0" borderId="0" xfId="0" applyFont="1"/>
    <xf numFmtId="49" fontId="66" fillId="0" borderId="0" xfId="0" applyNumberFormat="1" applyFont="1"/>
    <xf numFmtId="3" fontId="0" fillId="3" borderId="0" xfId="0" applyNumberFormat="1" applyFill="1" applyAlignment="1">
      <alignment horizontal="center" vertical="center"/>
    </xf>
    <xf numFmtId="164" fontId="12" fillId="0" borderId="0" xfId="0" applyNumberFormat="1" applyFont="1" applyAlignment="1">
      <alignment horizontal="center" vertical="center"/>
    </xf>
    <xf numFmtId="1" fontId="0" fillId="3" borderId="0" xfId="0" applyNumberFormat="1" applyFill="1" applyAlignment="1">
      <alignment horizontal="center" vertical="center"/>
    </xf>
    <xf numFmtId="2" fontId="12" fillId="0" borderId="0" xfId="0" applyNumberFormat="1" applyFont="1" applyAlignment="1">
      <alignment horizontal="center" vertical="center"/>
    </xf>
    <xf numFmtId="2" fontId="12" fillId="0" borderId="93" xfId="0" applyNumberFormat="1" applyFont="1" applyBorder="1" applyAlignment="1">
      <alignment horizontal="center" vertical="center"/>
    </xf>
    <xf numFmtId="2" fontId="12" fillId="0" borderId="84" xfId="0" applyNumberFormat="1" applyFont="1" applyBorder="1" applyAlignment="1">
      <alignment horizontal="center" vertical="center"/>
    </xf>
    <xf numFmtId="3" fontId="9" fillId="0" borderId="20" xfId="0" applyNumberFormat="1" applyFont="1" applyBorder="1" applyAlignment="1">
      <alignment horizontal="center" vertical="center"/>
    </xf>
    <xf numFmtId="0" fontId="8" fillId="3" borderId="0" xfId="0" applyFont="1" applyFill="1" applyAlignment="1">
      <alignment horizontal="center" vertical="center"/>
    </xf>
    <xf numFmtId="3" fontId="9" fillId="3" borderId="0" xfId="0" applyNumberFormat="1" applyFont="1" applyFill="1" applyAlignment="1">
      <alignment horizontal="center" vertical="center"/>
    </xf>
    <xf numFmtId="0" fontId="9" fillId="5" borderId="84" xfId="0" applyFont="1" applyFill="1" applyBorder="1" applyAlignment="1">
      <alignment horizontal="center" vertical="center" wrapText="1"/>
    </xf>
    <xf numFmtId="2" fontId="12" fillId="0" borderId="79" xfId="0" applyNumberFormat="1" applyFont="1" applyBorder="1" applyAlignment="1">
      <alignment horizontal="center" vertical="center"/>
    </xf>
    <xf numFmtId="3" fontId="9" fillId="0" borderId="29" xfId="0" applyNumberFormat="1" applyFont="1" applyBorder="1" applyAlignment="1">
      <alignment horizontal="center" vertical="center"/>
    </xf>
    <xf numFmtId="11" fontId="0" fillId="3" borderId="85" xfId="0" quotePrefix="1" applyNumberFormat="1" applyFill="1" applyBorder="1" applyAlignment="1">
      <alignment horizontal="center"/>
    </xf>
    <xf numFmtId="0" fontId="8" fillId="3" borderId="0" xfId="0" applyFont="1" applyFill="1" applyAlignment="1">
      <alignment vertical="center" wrapText="1"/>
    </xf>
    <xf numFmtId="0" fontId="22" fillId="3" borderId="0" xfId="0" applyFont="1" applyFill="1" applyAlignment="1">
      <alignment horizontal="left" vertical="center" wrapText="1"/>
    </xf>
    <xf numFmtId="0" fontId="22" fillId="3" borderId="0" xfId="0" applyFont="1" applyFill="1" applyAlignment="1">
      <alignment horizontal="center" vertical="center" wrapText="1"/>
    </xf>
    <xf numFmtId="0" fontId="7" fillId="3" borderId="0" xfId="0" applyFont="1" applyFill="1" applyAlignment="1">
      <alignment horizontal="left" vertical="center"/>
    </xf>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15" xfId="0" applyFont="1" applyBorder="1" applyAlignment="1">
      <alignment vertical="center" wrapText="1"/>
    </xf>
    <xf numFmtId="0" fontId="21" fillId="0" borderId="24" xfId="0" applyFont="1" applyBorder="1" applyAlignment="1">
      <alignment horizontal="center" vertical="center" wrapText="1"/>
    </xf>
    <xf numFmtId="0" fontId="7" fillId="0" borderId="24" xfId="0" applyFont="1" applyBorder="1" applyAlignment="1">
      <alignment horizontal="center" vertical="center"/>
    </xf>
    <xf numFmtId="0" fontId="7" fillId="0" borderId="37" xfId="0" applyFont="1" applyBorder="1" applyAlignment="1">
      <alignment vertical="center" wrapText="1"/>
    </xf>
    <xf numFmtId="1" fontId="7" fillId="0" borderId="62" xfId="0" applyNumberFormat="1" applyFont="1" applyBorder="1" applyAlignment="1">
      <alignment horizontal="center" vertical="center"/>
    </xf>
    <xf numFmtId="1" fontId="7" fillId="0" borderId="15" xfId="0" applyNumberFormat="1" applyFont="1" applyBorder="1" applyAlignment="1">
      <alignment horizontal="center" vertical="center"/>
    </xf>
    <xf numFmtId="0" fontId="7" fillId="0" borderId="14" xfId="0" applyFont="1" applyBorder="1" applyAlignment="1">
      <alignment vertical="center" wrapText="1"/>
    </xf>
    <xf numFmtId="0" fontId="21" fillId="0" borderId="14" xfId="0" applyFont="1" applyBorder="1" applyAlignment="1">
      <alignment horizontal="center" vertical="center" wrapText="1"/>
    </xf>
    <xf numFmtId="0" fontId="7" fillId="0" borderId="14" xfId="0" applyFont="1" applyBorder="1" applyAlignment="1">
      <alignment horizontal="center" vertical="center"/>
    </xf>
    <xf numFmtId="0" fontId="21" fillId="0" borderId="15" xfId="0" applyFont="1" applyBorder="1" applyAlignment="1">
      <alignment horizontal="center" vertical="center" wrapText="1"/>
    </xf>
    <xf numFmtId="0" fontId="7" fillId="0" borderId="42" xfId="0" applyFont="1" applyBorder="1" applyAlignment="1">
      <alignment horizontal="center" vertical="center"/>
    </xf>
    <xf numFmtId="1" fontId="7" fillId="0" borderId="7" xfId="0" applyNumberFormat="1" applyFont="1" applyBorder="1" applyAlignment="1">
      <alignment horizontal="center" vertical="center"/>
    </xf>
    <xf numFmtId="0" fontId="8" fillId="2" borderId="62" xfId="0" applyFont="1" applyFill="1" applyBorder="1" applyAlignment="1">
      <alignment horizontal="center" vertical="center" wrapText="1"/>
    </xf>
    <xf numFmtId="0" fontId="7" fillId="8" borderId="18" xfId="0" applyFont="1" applyFill="1" applyBorder="1" applyAlignment="1">
      <alignment horizontal="center" vertical="center"/>
    </xf>
    <xf numFmtId="0" fontId="7" fillId="8" borderId="20" xfId="0" applyFont="1" applyFill="1" applyBorder="1" applyAlignment="1">
      <alignment horizontal="center" vertical="center"/>
    </xf>
    <xf numFmtId="0" fontId="7" fillId="8" borderId="29" xfId="0" applyFont="1" applyFill="1" applyBorder="1" applyAlignment="1">
      <alignment horizontal="center" vertical="center"/>
    </xf>
    <xf numFmtId="0" fontId="7" fillId="8" borderId="22" xfId="0" applyFont="1" applyFill="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22" xfId="0" applyFont="1" applyBorder="1" applyAlignment="1">
      <alignment horizontal="center" vertical="center"/>
    </xf>
    <xf numFmtId="1" fontId="7" fillId="0" borderId="25" xfId="0" applyNumberFormat="1" applyFont="1" applyBorder="1" applyAlignment="1">
      <alignment horizontal="center" vertical="center"/>
    </xf>
    <xf numFmtId="0" fontId="0" fillId="0" borderId="20" xfId="0" applyBorder="1"/>
    <xf numFmtId="0" fontId="0" fillId="0" borderId="22" xfId="0" applyBorder="1"/>
    <xf numFmtId="0" fontId="3" fillId="12" borderId="1" xfId="0" applyFont="1" applyFill="1" applyBorder="1" applyAlignment="1">
      <alignment horizontal="center" vertical="center" wrapText="1"/>
    </xf>
    <xf numFmtId="0" fontId="3" fillId="12" borderId="19" xfId="0" applyFont="1" applyFill="1" applyBorder="1" applyAlignment="1">
      <alignment horizontal="center" vertical="center" wrapText="1"/>
    </xf>
    <xf numFmtId="1" fontId="0" fillId="0" borderId="1" xfId="0" applyNumberFormat="1" applyBorder="1" applyAlignment="1">
      <alignment horizontal="center"/>
    </xf>
    <xf numFmtId="1" fontId="0" fillId="0" borderId="20" xfId="0" applyNumberFormat="1" applyBorder="1" applyAlignment="1">
      <alignment horizontal="center"/>
    </xf>
    <xf numFmtId="1" fontId="0" fillId="0" borderId="22" xfId="0" applyNumberFormat="1" applyBorder="1" applyAlignment="1">
      <alignment horizontal="center"/>
    </xf>
    <xf numFmtId="0" fontId="56" fillId="3" borderId="38"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7" fillId="3" borderId="55" xfId="0" applyFont="1" applyFill="1" applyBorder="1" applyAlignment="1">
      <alignment vertical="center"/>
    </xf>
    <xf numFmtId="0" fontId="0" fillId="0" borderId="1" xfId="0" applyBorder="1" applyAlignment="1">
      <alignment horizontal="center"/>
    </xf>
    <xf numFmtId="3" fontId="0" fillId="0" borderId="1" xfId="0" applyNumberFormat="1" applyBorder="1" applyAlignment="1">
      <alignment horizontal="center"/>
    </xf>
    <xf numFmtId="165" fontId="0" fillId="0" borderId="1" xfId="0" applyNumberFormat="1" applyBorder="1" applyAlignment="1">
      <alignment horizontal="center"/>
    </xf>
    <xf numFmtId="0" fontId="0" fillId="0" borderId="24" xfId="0" applyBorder="1" applyAlignment="1">
      <alignment vertical="center" wrapText="1"/>
    </xf>
    <xf numFmtId="1" fontId="0" fillId="0" borderId="55" xfId="0" applyNumberFormat="1" applyBorder="1" applyAlignment="1">
      <alignment horizontal="center"/>
    </xf>
    <xf numFmtId="0" fontId="1" fillId="11" borderId="16"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38" fillId="14" borderId="14" xfId="0" applyFont="1" applyFill="1" applyBorder="1" applyAlignment="1">
      <alignment horizontal="center" vertical="center" wrapText="1"/>
    </xf>
    <xf numFmtId="0" fontId="1" fillId="14" borderId="14" xfId="0" applyFont="1" applyFill="1" applyBorder="1" applyAlignment="1">
      <alignment horizontal="center" vertical="center"/>
    </xf>
    <xf numFmtId="0" fontId="1" fillId="14" borderId="14" xfId="0" applyFont="1" applyFill="1" applyBorder="1" applyAlignment="1">
      <alignment horizontal="center" vertical="center" wrapText="1"/>
    </xf>
    <xf numFmtId="0" fontId="0" fillId="10" borderId="19" xfId="0" applyFill="1" applyBorder="1" applyAlignment="1">
      <alignment horizontal="center" vertical="center" wrapText="1"/>
    </xf>
    <xf numFmtId="0" fontId="0" fillId="10" borderId="21" xfId="0" applyFill="1" applyBorder="1" applyAlignment="1">
      <alignment horizontal="center" vertical="center" wrapText="1"/>
    </xf>
    <xf numFmtId="0" fontId="0" fillId="0" borderId="15" xfId="0" applyBorder="1" applyAlignment="1">
      <alignment vertical="center" wrapText="1"/>
    </xf>
    <xf numFmtId="0" fontId="0" fillId="3" borderId="15" xfId="0" applyFill="1" applyBorder="1" applyAlignment="1">
      <alignment vertical="center" wrapText="1"/>
    </xf>
    <xf numFmtId="0" fontId="0" fillId="0" borderId="15" xfId="0" applyBorder="1" applyAlignment="1">
      <alignment horizontal="center"/>
    </xf>
    <xf numFmtId="3" fontId="0" fillId="0" borderId="15" xfId="0" applyNumberFormat="1" applyBorder="1" applyAlignment="1">
      <alignment horizontal="center"/>
    </xf>
    <xf numFmtId="1" fontId="0" fillId="0" borderId="15" xfId="0" applyNumberFormat="1" applyBorder="1" applyAlignment="1">
      <alignment horizontal="center"/>
    </xf>
    <xf numFmtId="0" fontId="0" fillId="0" borderId="29" xfId="0" applyBorder="1"/>
    <xf numFmtId="0" fontId="1" fillId="14" borderId="17" xfId="0" applyFont="1" applyFill="1" applyBorder="1" applyAlignment="1">
      <alignment horizontal="center" vertical="center" wrapText="1"/>
    </xf>
    <xf numFmtId="0" fontId="0" fillId="10" borderId="35" xfId="0" applyFill="1" applyBorder="1" applyAlignment="1">
      <alignment horizontal="center" vertical="center" wrapText="1"/>
    </xf>
    <xf numFmtId="0" fontId="0" fillId="0" borderId="24" xfId="0" applyBorder="1" applyAlignment="1">
      <alignment horizontal="center"/>
    </xf>
    <xf numFmtId="3" fontId="0" fillId="0" borderId="24" xfId="0" applyNumberFormat="1" applyBorder="1" applyAlignment="1">
      <alignment horizontal="center"/>
    </xf>
    <xf numFmtId="165" fontId="0" fillId="0" borderId="24" xfId="0" applyNumberFormat="1" applyBorder="1" applyAlignment="1">
      <alignment horizontal="center"/>
    </xf>
    <xf numFmtId="1" fontId="0" fillId="0" borderId="24" xfId="0" applyNumberFormat="1" applyBorder="1" applyAlignment="1">
      <alignment horizontal="center"/>
    </xf>
    <xf numFmtId="1" fontId="0" fillId="0" borderId="29" xfId="0" applyNumberFormat="1" applyBorder="1" applyAlignment="1">
      <alignment horizontal="center"/>
    </xf>
    <xf numFmtId="0" fontId="0" fillId="10" borderId="33" xfId="0" applyFill="1" applyBorder="1" applyAlignment="1">
      <alignment horizontal="center" vertical="center" wrapText="1"/>
    </xf>
    <xf numFmtId="0" fontId="0" fillId="3" borderId="37" xfId="0" applyFill="1" applyBorder="1" applyAlignment="1">
      <alignment vertical="center" wrapText="1"/>
    </xf>
    <xf numFmtId="0" fontId="0" fillId="0" borderId="37" xfId="0" applyBorder="1" applyAlignment="1">
      <alignment horizontal="center"/>
    </xf>
    <xf numFmtId="3" fontId="0" fillId="0" borderId="37" xfId="0" applyNumberFormat="1" applyBorder="1" applyAlignment="1">
      <alignment horizontal="center"/>
    </xf>
    <xf numFmtId="1" fontId="0" fillId="0" borderId="37" xfId="0" applyNumberFormat="1" applyBorder="1" applyAlignment="1">
      <alignment horizontal="center"/>
    </xf>
    <xf numFmtId="1" fontId="0" fillId="0" borderId="89" xfId="0" applyNumberFormat="1" applyBorder="1" applyAlignment="1">
      <alignment horizontal="center"/>
    </xf>
    <xf numFmtId="167" fontId="0" fillId="0" borderId="15" xfId="0" applyNumberFormat="1" applyBorder="1" applyAlignment="1">
      <alignment horizontal="center"/>
    </xf>
    <xf numFmtId="167" fontId="0" fillId="0" borderId="1" xfId="0" applyNumberFormat="1" applyBorder="1" applyAlignment="1">
      <alignment horizontal="center"/>
    </xf>
    <xf numFmtId="167" fontId="0" fillId="0" borderId="37" xfId="0" applyNumberFormat="1" applyBorder="1" applyAlignment="1">
      <alignment horizontal="center"/>
    </xf>
    <xf numFmtId="3" fontId="2" fillId="3" borderId="19"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3" fontId="2" fillId="3" borderId="9" xfId="0" applyNumberFormat="1" applyFont="1" applyFill="1" applyBorder="1" applyAlignment="1">
      <alignment horizontal="center" vertical="center" wrapText="1"/>
    </xf>
    <xf numFmtId="3" fontId="2" fillId="3" borderId="24" xfId="0" applyNumberFormat="1" applyFont="1" applyFill="1" applyBorder="1" applyAlignment="1">
      <alignment horizontal="center" vertical="center" wrapText="1"/>
    </xf>
    <xf numFmtId="3" fontId="2" fillId="3" borderId="107" xfId="0" applyNumberFormat="1" applyFont="1" applyFill="1" applyBorder="1" applyAlignment="1">
      <alignment horizontal="center" vertical="center" wrapText="1"/>
    </xf>
    <xf numFmtId="3" fontId="2" fillId="3" borderId="32" xfId="0" applyNumberFormat="1" applyFont="1" applyFill="1" applyBorder="1" applyAlignment="1">
      <alignment horizontal="center" vertical="center" wrapText="1"/>
    </xf>
    <xf numFmtId="3" fontId="2" fillId="3" borderId="62" xfId="0" applyNumberFormat="1" applyFont="1" applyFill="1" applyBorder="1" applyAlignment="1">
      <alignment horizontal="center"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55" xfId="0" applyBorder="1" applyAlignment="1">
      <alignment horizontal="center" vertical="center"/>
    </xf>
    <xf numFmtId="0" fontId="7" fillId="0" borderId="26" xfId="0" applyFont="1" applyBorder="1" applyAlignment="1">
      <alignment vertical="center" wrapText="1"/>
    </xf>
    <xf numFmtId="0" fontId="21" fillId="0" borderId="26"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80" xfId="0" applyFont="1" applyBorder="1" applyAlignment="1">
      <alignment vertical="center"/>
    </xf>
    <xf numFmtId="0" fontId="7" fillId="0" borderId="107" xfId="0" applyFont="1" applyBorder="1" applyAlignment="1">
      <alignment vertical="center" wrapText="1"/>
    </xf>
    <xf numFmtId="0" fontId="7" fillId="0" borderId="4" xfId="0" applyFont="1" applyBorder="1" applyAlignment="1">
      <alignment vertical="center" wrapText="1"/>
    </xf>
    <xf numFmtId="0" fontId="21" fillId="0" borderId="32" xfId="0" applyFont="1" applyBorder="1" applyAlignment="1">
      <alignment horizontal="center" vertical="center" wrapText="1"/>
    </xf>
    <xf numFmtId="0" fontId="7" fillId="0" borderId="32" xfId="0" applyFont="1" applyBorder="1" applyAlignment="1">
      <alignment horizontal="center" vertical="center"/>
    </xf>
    <xf numFmtId="0" fontId="7" fillId="0" borderId="91" xfId="0" applyFont="1" applyBorder="1" applyAlignment="1">
      <alignment horizontal="center" vertical="center"/>
    </xf>
    <xf numFmtId="1" fontId="7" fillId="0" borderId="4" xfId="0" applyNumberFormat="1" applyFont="1" applyBorder="1" applyAlignment="1">
      <alignment horizontal="center" vertical="center"/>
    </xf>
    <xf numFmtId="1" fontId="7" fillId="0" borderId="19" xfId="0" applyNumberFormat="1" applyFont="1" applyBorder="1" applyAlignment="1">
      <alignment horizontal="center" vertical="center"/>
    </xf>
    <xf numFmtId="0" fontId="7" fillId="0" borderId="6" xfId="0" applyFont="1" applyBorder="1" applyAlignment="1">
      <alignment horizontal="center" vertical="center"/>
    </xf>
    <xf numFmtId="0" fontId="9" fillId="5" borderId="62" xfId="0" applyFont="1" applyFill="1" applyBorder="1" applyAlignment="1">
      <alignment horizontal="center" vertical="center" wrapText="1"/>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1" fillId="3" borderId="0" xfId="0" applyFont="1" applyFill="1" applyAlignment="1">
      <alignment horizontal="left" vertical="center"/>
    </xf>
    <xf numFmtId="0" fontId="17" fillId="3" borderId="0" xfId="0" applyFont="1" applyFill="1" applyAlignment="1">
      <alignment vertical="center"/>
    </xf>
    <xf numFmtId="0" fontId="0" fillId="3" borderId="0" xfId="0" quotePrefix="1" applyFill="1" applyAlignment="1">
      <alignment horizontal="center"/>
    </xf>
    <xf numFmtId="11" fontId="2" fillId="3" borderId="0" xfId="0" quotePrefix="1" applyNumberFormat="1" applyFont="1" applyFill="1" applyAlignment="1">
      <alignment horizontal="center"/>
    </xf>
    <xf numFmtId="0" fontId="1" fillId="3" borderId="0" xfId="0" applyFont="1" applyFill="1" applyAlignment="1">
      <alignment horizontal="center" wrapText="1"/>
    </xf>
    <xf numFmtId="0" fontId="2" fillId="3" borderId="0" xfId="0" applyFont="1" applyFill="1" applyAlignment="1">
      <alignment horizontal="center"/>
    </xf>
    <xf numFmtId="3" fontId="2" fillId="3" borderId="0" xfId="0" applyNumberFormat="1" applyFont="1" applyFill="1" applyAlignment="1">
      <alignment horizontal="center"/>
    </xf>
    <xf numFmtId="0" fontId="0" fillId="3" borderId="1" xfId="0" applyFill="1" applyBorder="1"/>
    <xf numFmtId="0" fontId="3" fillId="3" borderId="1" xfId="0" applyFont="1" applyFill="1" applyBorder="1" applyAlignment="1">
      <alignment horizontal="center" wrapText="1"/>
    </xf>
    <xf numFmtId="0" fontId="1" fillId="3" borderId="1" xfId="0" applyFont="1" applyFill="1" applyBorder="1" applyAlignment="1">
      <alignment horizontal="center" wrapText="1"/>
    </xf>
    <xf numFmtId="0" fontId="1" fillId="10" borderId="1" xfId="0" applyFont="1" applyFill="1" applyBorder="1" applyAlignment="1">
      <alignment horizontal="center" wrapText="1"/>
    </xf>
    <xf numFmtId="0" fontId="1" fillId="3" borderId="1" xfId="0" applyFont="1" applyFill="1" applyBorder="1" applyAlignment="1">
      <alignment vertical="center"/>
    </xf>
    <xf numFmtId="0" fontId="0" fillId="0" borderId="1" xfId="0" applyBorder="1" applyAlignment="1">
      <alignment wrapText="1"/>
    </xf>
    <xf numFmtId="2" fontId="2" fillId="0" borderId="1" xfId="0" quotePrefix="1" applyNumberFormat="1" applyFont="1" applyBorder="1" applyAlignment="1">
      <alignment horizontal="center"/>
    </xf>
    <xf numFmtId="1" fontId="2" fillId="0" borderId="1" xfId="0" quotePrefix="1" applyNumberFormat="1" applyFont="1" applyBorder="1" applyAlignment="1">
      <alignment horizontal="center"/>
    </xf>
    <xf numFmtId="0" fontId="0" fillId="10" borderId="1" xfId="0" quotePrefix="1" applyFill="1" applyBorder="1" applyAlignment="1">
      <alignment horizontal="center"/>
    </xf>
    <xf numFmtId="3" fontId="2" fillId="0" borderId="1" xfId="0" quotePrefix="1" applyNumberFormat="1" applyFont="1" applyBorder="1" applyAlignment="1">
      <alignment horizontal="center"/>
    </xf>
    <xf numFmtId="1" fontId="2" fillId="0" borderId="1" xfId="0" applyNumberFormat="1" applyFont="1" applyBorder="1" applyAlignment="1">
      <alignment horizontal="center"/>
    </xf>
    <xf numFmtId="0" fontId="1" fillId="3" borderId="1" xfId="0" applyFont="1" applyFill="1" applyBorder="1" applyAlignment="1">
      <alignment horizontal="left" vertical="center"/>
    </xf>
    <xf numFmtId="0" fontId="17" fillId="3" borderId="1" xfId="0" applyFont="1" applyFill="1" applyBorder="1" applyAlignment="1">
      <alignment vertical="center"/>
    </xf>
    <xf numFmtId="0" fontId="0" fillId="3" borderId="1" xfId="0" quotePrefix="1" applyFill="1" applyBorder="1" applyAlignment="1">
      <alignment horizontal="center"/>
    </xf>
    <xf numFmtId="11" fontId="2" fillId="9" borderId="1" xfId="0" quotePrefix="1" applyNumberFormat="1" applyFont="1" applyFill="1" applyBorder="1" applyAlignment="1">
      <alignment horizontal="center"/>
    </xf>
    <xf numFmtId="0" fontId="0" fillId="3" borderId="1" xfId="0" applyFill="1" applyBorder="1" applyAlignment="1">
      <alignment wrapText="1"/>
    </xf>
    <xf numFmtId="0" fontId="2" fillId="0" borderId="1" xfId="0" applyFont="1" applyBorder="1" applyAlignment="1">
      <alignment horizontal="center"/>
    </xf>
    <xf numFmtId="3" fontId="2" fillId="0" borderId="1" xfId="0" applyNumberFormat="1" applyFont="1" applyBorder="1" applyAlignment="1">
      <alignment horizontal="center"/>
    </xf>
    <xf numFmtId="0" fontId="0" fillId="9" borderId="1" xfId="0" quotePrefix="1" applyFill="1" applyBorder="1" applyAlignment="1">
      <alignment horizontal="center"/>
    </xf>
    <xf numFmtId="0" fontId="1" fillId="10" borderId="1" xfId="0" applyFont="1" applyFill="1" applyBorder="1" applyAlignment="1">
      <alignment wrapText="1"/>
    </xf>
    <xf numFmtId="3" fontId="50" fillId="12" borderId="85" xfId="0" applyNumberFormat="1" applyFont="1" applyFill="1" applyBorder="1" applyAlignment="1">
      <alignment horizontal="center"/>
    </xf>
    <xf numFmtId="11" fontId="50" fillId="12" borderId="85" xfId="0" quotePrefix="1" applyNumberFormat="1" applyFont="1" applyFill="1" applyBorder="1" applyAlignment="1">
      <alignment horizontal="center"/>
    </xf>
    <xf numFmtId="0" fontId="0" fillId="3" borderId="1" xfId="0" quotePrefix="1" applyFill="1" applyBorder="1"/>
    <xf numFmtId="4" fontId="7" fillId="0" borderId="60" xfId="0" applyNumberFormat="1" applyFont="1" applyBorder="1" applyAlignment="1">
      <alignment horizontal="center" vertical="center"/>
    </xf>
    <xf numFmtId="4" fontId="7" fillId="0" borderId="18" xfId="0" applyNumberFormat="1" applyFont="1" applyBorder="1" applyAlignment="1">
      <alignment horizontal="center" vertical="center"/>
    </xf>
    <xf numFmtId="4" fontId="7" fillId="0" borderId="49" xfId="0" applyNumberFormat="1" applyFont="1" applyBorder="1" applyAlignment="1">
      <alignment horizontal="center" vertical="center"/>
    </xf>
    <xf numFmtId="4" fontId="7" fillId="0" borderId="16" xfId="0" applyNumberFormat="1" applyFont="1" applyBorder="1" applyAlignment="1">
      <alignment horizontal="center" vertical="center"/>
    </xf>
    <xf numFmtId="4" fontId="7" fillId="0" borderId="107" xfId="0" applyNumberFormat="1" applyFont="1" applyBorder="1" applyAlignment="1">
      <alignment horizontal="center" vertical="center"/>
    </xf>
    <xf numFmtId="4" fontId="7" fillId="0" borderId="20" xfId="0" applyNumberFormat="1" applyFont="1" applyBorder="1" applyAlignment="1">
      <alignment horizontal="center" vertical="center"/>
    </xf>
    <xf numFmtId="4" fontId="7" fillId="0" borderId="80" xfId="0" applyNumberFormat="1" applyFont="1" applyBorder="1" applyAlignment="1">
      <alignment horizontal="center" vertical="center"/>
    </xf>
    <xf numFmtId="4" fontId="7" fillId="0" borderId="19" xfId="0" applyNumberFormat="1" applyFont="1" applyBorder="1" applyAlignment="1">
      <alignment horizontal="center" vertical="center"/>
    </xf>
    <xf numFmtId="4" fontId="7" fillId="0" borderId="9" xfId="0" applyNumberFormat="1" applyFont="1" applyBorder="1" applyAlignment="1">
      <alignment horizontal="center" vertical="center"/>
    </xf>
    <xf numFmtId="4" fontId="7" fillId="0" borderId="29"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35" xfId="0" applyNumberFormat="1" applyFont="1" applyBorder="1" applyAlignment="1">
      <alignment horizontal="center" vertical="center"/>
    </xf>
    <xf numFmtId="4" fontId="7" fillId="0" borderId="62" xfId="0" applyNumberFormat="1" applyFont="1" applyBorder="1" applyAlignment="1">
      <alignment horizontal="center" vertical="center"/>
    </xf>
    <xf numFmtId="4" fontId="7" fillId="0" borderId="22" xfId="0" applyNumberFormat="1" applyFont="1" applyBorder="1" applyAlignment="1">
      <alignment horizontal="center" vertical="center"/>
    </xf>
    <xf numFmtId="4" fontId="7" fillId="0" borderId="92" xfId="0" applyNumberFormat="1" applyFont="1" applyBorder="1" applyAlignment="1">
      <alignment horizontal="center" vertical="center"/>
    </xf>
    <xf numFmtId="4" fontId="7" fillId="0" borderId="21" xfId="0" applyNumberFormat="1" applyFont="1" applyBorder="1" applyAlignment="1">
      <alignment horizontal="center" vertical="center"/>
    </xf>
    <xf numFmtId="4" fontId="7" fillId="0" borderId="55" xfId="0" applyNumberFormat="1" applyFont="1" applyBorder="1" applyAlignment="1">
      <alignment horizontal="center" vertical="center"/>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29" xfId="0" applyFont="1" applyBorder="1" applyAlignment="1">
      <alignment vertical="center" wrapText="1"/>
    </xf>
    <xf numFmtId="0" fontId="7" fillId="0" borderId="22" xfId="0" applyFont="1" applyBorder="1" applyAlignment="1">
      <alignment vertical="center" wrapText="1"/>
    </xf>
    <xf numFmtId="0" fontId="7" fillId="0" borderId="27" xfId="0" applyFont="1" applyBorder="1" applyAlignment="1">
      <alignment vertical="center" wrapText="1"/>
    </xf>
    <xf numFmtId="0" fontId="7" fillId="0" borderId="32" xfId="0" applyFont="1" applyBorder="1" applyAlignment="1">
      <alignment vertical="center" wrapText="1"/>
    </xf>
    <xf numFmtId="0" fontId="7" fillId="0" borderId="91" xfId="0" applyFont="1" applyBorder="1" applyAlignment="1">
      <alignment vertical="center" wrapText="1"/>
    </xf>
    <xf numFmtId="2" fontId="12" fillId="0" borderId="29" xfId="0" applyNumberFormat="1" applyFont="1" applyBorder="1" applyAlignment="1">
      <alignment horizontal="center" vertical="center"/>
    </xf>
    <xf numFmtId="2" fontId="12" fillId="0" borderId="43" xfId="0" applyNumberFormat="1" applyFont="1" applyBorder="1" applyAlignment="1">
      <alignment horizontal="center" vertical="center"/>
    </xf>
    <xf numFmtId="11" fontId="12" fillId="0" borderId="18" xfId="0" applyNumberFormat="1" applyFont="1" applyBorder="1" applyAlignment="1">
      <alignment horizontal="center" vertical="center"/>
    </xf>
    <xf numFmtId="11" fontId="12" fillId="0" borderId="41" xfId="0" applyNumberFormat="1" applyFont="1" applyBorder="1" applyAlignment="1">
      <alignment horizontal="center" vertical="center"/>
    </xf>
    <xf numFmtId="0" fontId="7" fillId="0" borderId="75" xfId="0" applyFont="1" applyBorder="1" applyAlignment="1">
      <alignment horizontal="center" vertical="center"/>
    </xf>
    <xf numFmtId="0" fontId="7" fillId="0" borderId="54" xfId="0" applyFont="1" applyBorder="1" applyAlignment="1">
      <alignment horizontal="center" vertical="center"/>
    </xf>
    <xf numFmtId="0" fontId="68" fillId="0" borderId="32" xfId="0" applyFont="1" applyBorder="1" applyAlignment="1">
      <alignment horizontal="center" vertical="center" wrapText="1"/>
    </xf>
    <xf numFmtId="0" fontId="7" fillId="0" borderId="48" xfId="0" applyFont="1" applyBorder="1" applyAlignment="1">
      <alignment vertical="center"/>
    </xf>
    <xf numFmtId="0" fontId="7" fillId="0" borderId="47" xfId="0" applyFont="1" applyBorder="1" applyAlignment="1">
      <alignment vertical="center"/>
    </xf>
    <xf numFmtId="0" fontId="7" fillId="0" borderId="90" xfId="0" applyFont="1" applyBorder="1" applyAlignment="1">
      <alignment vertical="center"/>
    </xf>
    <xf numFmtId="0" fontId="7" fillId="0" borderId="46" xfId="0" applyFont="1" applyBorder="1" applyAlignment="1">
      <alignment vertical="center"/>
    </xf>
    <xf numFmtId="0" fontId="1" fillId="0" borderId="116" xfId="0" applyFont="1" applyBorder="1"/>
    <xf numFmtId="0" fontId="0" fillId="0" borderId="117" xfId="0" applyBorder="1"/>
    <xf numFmtId="0" fontId="0" fillId="0" borderId="118" xfId="0" applyBorder="1"/>
    <xf numFmtId="4" fontId="7" fillId="0" borderId="19" xfId="0" quotePrefix="1" applyNumberFormat="1" applyFont="1" applyBorder="1" applyAlignment="1">
      <alignment horizontal="center" vertical="center"/>
    </xf>
    <xf numFmtId="4" fontId="7" fillId="0" borderId="20" xfId="0" quotePrefix="1" applyNumberFormat="1" applyFont="1" applyBorder="1" applyAlignment="1">
      <alignment horizontal="center" vertical="center"/>
    </xf>
    <xf numFmtId="0" fontId="0" fillId="0" borderId="0" xfId="0" applyFont="1"/>
    <xf numFmtId="0" fontId="9" fillId="5" borderId="18"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8" fillId="3" borderId="0" xfId="0" applyFont="1" applyFill="1" applyAlignment="1">
      <alignment horizontal="center" vertical="center" wrapText="1"/>
    </xf>
    <xf numFmtId="0" fontId="2" fillId="3" borderId="0" xfId="0" applyFont="1" applyFill="1" applyAlignment="1">
      <alignment horizontal="center" vertical="center" wrapText="1"/>
    </xf>
    <xf numFmtId="11" fontId="7" fillId="3" borderId="0" xfId="0" applyNumberFormat="1" applyFont="1" applyFill="1" applyAlignment="1">
      <alignment horizontal="center" vertical="center"/>
    </xf>
    <xf numFmtId="0" fontId="9" fillId="5" borderId="33" xfId="0" applyFont="1" applyFill="1" applyBorder="1" applyAlignment="1">
      <alignment horizontal="center" vertical="center" wrapText="1"/>
    </xf>
    <xf numFmtId="0" fontId="9" fillId="5" borderId="30" xfId="0" applyFont="1" applyFill="1" applyBorder="1" applyAlignment="1">
      <alignment horizontal="center" vertical="center" wrapText="1"/>
    </xf>
    <xf numFmtId="3" fontId="0" fillId="3" borderId="26" xfId="0" applyNumberFormat="1" applyFill="1" applyBorder="1" applyAlignment="1">
      <alignment horizontal="center" vertical="center"/>
    </xf>
    <xf numFmtId="0" fontId="12" fillId="3" borderId="0" xfId="0" applyFont="1" applyFill="1" applyAlignment="1">
      <alignment horizontal="center" vertical="center" wrapText="1"/>
    </xf>
    <xf numFmtId="1" fontId="0" fillId="3" borderId="24" xfId="0" applyNumberFormat="1" applyFill="1" applyBorder="1" applyAlignment="1">
      <alignment horizontal="center" vertical="center"/>
    </xf>
    <xf numFmtId="1" fontId="0" fillId="3" borderId="1" xfId="0" applyNumberFormat="1" applyFill="1" applyBorder="1" applyAlignment="1">
      <alignment horizontal="center" vertical="center"/>
    </xf>
    <xf numFmtId="0" fontId="26" fillId="4" borderId="51"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21" xfId="0" applyFont="1" applyFill="1" applyBorder="1" applyAlignment="1">
      <alignment horizontal="center" vertical="center"/>
    </xf>
    <xf numFmtId="0" fontId="2" fillId="3" borderId="0" xfId="0" applyFont="1" applyFill="1" applyAlignment="1">
      <alignment horizontal="left" vertical="center" wrapText="1"/>
    </xf>
    <xf numFmtId="2" fontId="55" fillId="3" borderId="48" xfId="0" applyNumberFormat="1" applyFont="1" applyFill="1" applyBorder="1" applyAlignment="1">
      <alignment horizontal="center" vertical="center" wrapText="1"/>
    </xf>
    <xf numFmtId="0" fontId="55" fillId="3" borderId="81" xfId="0" applyFont="1" applyFill="1" applyBorder="1" applyAlignment="1">
      <alignment horizontal="center" vertical="center" wrapText="1"/>
    </xf>
    <xf numFmtId="0" fontId="55" fillId="3" borderId="103" xfId="0" applyFont="1" applyFill="1" applyBorder="1" applyAlignment="1">
      <alignment horizontal="center" vertical="center" wrapText="1"/>
    </xf>
    <xf numFmtId="0" fontId="55" fillId="3" borderId="38" xfId="0" applyFont="1" applyFill="1" applyBorder="1" applyAlignment="1">
      <alignment horizontal="center" vertical="center" wrapText="1"/>
    </xf>
    <xf numFmtId="0" fontId="49" fillId="3" borderId="64" xfId="0" applyFont="1" applyFill="1" applyBorder="1" applyAlignment="1">
      <alignment horizontal="center"/>
    </xf>
    <xf numFmtId="0" fontId="49" fillId="3" borderId="52" xfId="0" applyFont="1" applyFill="1" applyBorder="1" applyAlignment="1">
      <alignment horizontal="center"/>
    </xf>
    <xf numFmtId="0" fontId="53" fillId="22" borderId="53" xfId="0" applyFont="1" applyFill="1" applyBorder="1" applyAlignment="1">
      <alignment horizontal="center" vertical="center" wrapText="1"/>
    </xf>
    <xf numFmtId="0" fontId="12" fillId="3" borderId="38" xfId="0" applyFont="1" applyFill="1" applyBorder="1" applyAlignment="1">
      <alignment horizontal="center" vertical="center"/>
    </xf>
    <xf numFmtId="0" fontId="7" fillId="3" borderId="24" xfId="0" applyFont="1" applyFill="1" applyBorder="1" applyAlignment="1">
      <alignment horizontal="center" vertical="center"/>
    </xf>
    <xf numFmtId="0" fontId="9" fillId="5" borderId="44"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7" fillId="2" borderId="19" xfId="0" applyFont="1" applyFill="1" applyBorder="1" applyAlignment="1">
      <alignment horizontal="center" vertical="center"/>
    </xf>
    <xf numFmtId="0" fontId="9" fillId="3" borderId="0" xfId="0" applyFont="1" applyFill="1" applyAlignment="1">
      <alignment horizontal="center" vertical="center" wrapText="1"/>
    </xf>
    <xf numFmtId="2" fontId="7" fillId="3" borderId="0" xfId="0" applyNumberFormat="1" applyFont="1" applyFill="1" applyAlignment="1">
      <alignment horizontal="center" vertical="center"/>
    </xf>
    <xf numFmtId="0" fontId="1" fillId="3" borderId="1" xfId="0" applyFont="1" applyFill="1" applyBorder="1" applyAlignment="1">
      <alignment horizontal="center"/>
    </xf>
    <xf numFmtId="165" fontId="0" fillId="3" borderId="1" xfId="0" applyNumberFormat="1" applyFill="1" applyBorder="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0" fillId="3" borderId="0" xfId="0" applyFill="1" applyAlignment="1">
      <alignment horizontal="left" vertical="top" wrapText="1"/>
    </xf>
    <xf numFmtId="0" fontId="1" fillId="0" borderId="0" xfId="0" applyFont="1" applyAlignment="1">
      <alignment horizontal="center"/>
    </xf>
    <xf numFmtId="0" fontId="3" fillId="0" borderId="0" xfId="0" applyFont="1" applyAlignment="1">
      <alignment horizontal="center" vertical="center"/>
    </xf>
    <xf numFmtId="0" fontId="47" fillId="0" borderId="94" xfId="0" applyFont="1" applyBorder="1" applyAlignment="1">
      <alignment horizontal="center" vertical="center" wrapText="1"/>
    </xf>
    <xf numFmtId="0" fontId="47" fillId="0" borderId="95" xfId="0" applyFont="1" applyBorder="1" applyAlignment="1">
      <alignment horizontal="center" vertical="center" wrapText="1"/>
    </xf>
    <xf numFmtId="0" fontId="47" fillId="0" borderId="96" xfId="0" applyFont="1" applyBorder="1" applyAlignment="1">
      <alignment horizontal="center" vertical="center" wrapText="1"/>
    </xf>
    <xf numFmtId="0" fontId="47" fillId="0" borderId="97" xfId="0" applyFont="1" applyBorder="1" applyAlignment="1">
      <alignment horizontal="center" vertical="center" wrapText="1"/>
    </xf>
    <xf numFmtId="0" fontId="8" fillId="25" borderId="0" xfId="0" applyFont="1" applyFill="1" applyAlignment="1">
      <alignment horizontal="left"/>
    </xf>
    <xf numFmtId="0" fontId="7" fillId="0" borderId="0" xfId="0" applyFont="1" applyAlignment="1">
      <alignment horizontal="left" vertical="center"/>
    </xf>
    <xf numFmtId="0" fontId="9" fillId="5" borderId="25"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1" xfId="0" applyFont="1" applyFill="1" applyBorder="1" applyAlignment="1">
      <alignment horizontal="center" vertical="center" wrapText="1"/>
    </xf>
    <xf numFmtId="1" fontId="0" fillId="3" borderId="26" xfId="0" applyNumberFormat="1" applyFill="1" applyBorder="1" applyAlignment="1">
      <alignment horizontal="center" vertical="center"/>
    </xf>
    <xf numFmtId="1" fontId="0" fillId="3" borderId="37" xfId="0" applyNumberFormat="1" applyFill="1" applyBorder="1" applyAlignment="1">
      <alignment horizontal="center" vertical="center"/>
    </xf>
    <xf numFmtId="0" fontId="9" fillId="5" borderId="51"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9" borderId="60"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8" fillId="3" borderId="0" xfId="0" applyFont="1" applyFill="1" applyAlignment="1">
      <alignment horizontal="center" vertical="center" wrapText="1"/>
    </xf>
    <xf numFmtId="0" fontId="9" fillId="9" borderId="18" xfId="0" applyFont="1" applyFill="1" applyBorder="1" applyAlignment="1">
      <alignment horizontal="center" vertical="center" wrapText="1"/>
    </xf>
    <xf numFmtId="0" fontId="9" fillId="5" borderId="16" xfId="0" applyFont="1" applyFill="1" applyBorder="1" applyAlignment="1">
      <alignment horizontal="center" vertical="center"/>
    </xf>
    <xf numFmtId="0" fontId="9" fillId="5" borderId="21" xfId="0"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2" fillId="3" borderId="0" xfId="0" applyFont="1" applyFill="1" applyAlignment="1">
      <alignment horizontal="center" vertical="center" wrapText="1"/>
    </xf>
    <xf numFmtId="166" fontId="0" fillId="3" borderId="26" xfId="0" applyNumberFormat="1" applyFill="1" applyBorder="1" applyAlignment="1">
      <alignment horizontal="center" vertical="center"/>
    </xf>
    <xf numFmtId="166" fontId="0" fillId="3" borderId="37" xfId="0" applyNumberFormat="1" applyFill="1" applyBorder="1" applyAlignment="1">
      <alignment horizontal="center" vertical="center"/>
    </xf>
    <xf numFmtId="11" fontId="7" fillId="3" borderId="0" xfId="0" applyNumberFormat="1" applyFont="1" applyFill="1" applyAlignment="1">
      <alignment horizontal="center" vertical="center"/>
    </xf>
    <xf numFmtId="0" fontId="9" fillId="5" borderId="33"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30" xfId="0" applyFont="1" applyFill="1" applyBorder="1" applyAlignment="1">
      <alignment horizontal="center" vertical="center" wrapText="1"/>
    </xf>
    <xf numFmtId="3" fontId="0" fillId="3" borderId="26" xfId="0" applyNumberFormat="1" applyFill="1" applyBorder="1" applyAlignment="1">
      <alignment horizontal="center" vertical="center"/>
    </xf>
    <xf numFmtId="3" fontId="0" fillId="3" borderId="37" xfId="0" applyNumberFormat="1" applyFill="1" applyBorder="1" applyAlignment="1">
      <alignment horizontal="center" vertical="center"/>
    </xf>
    <xf numFmtId="0" fontId="12" fillId="3" borderId="0" xfId="0" applyFont="1" applyFill="1" applyAlignment="1">
      <alignment horizontal="center" vertical="center" wrapText="1"/>
    </xf>
    <xf numFmtId="0" fontId="12" fillId="2" borderId="19" xfId="0" applyFont="1" applyFill="1" applyBorder="1" applyAlignment="1">
      <alignment horizontal="center" vertical="center" wrapText="1"/>
    </xf>
    <xf numFmtId="1" fontId="0" fillId="3" borderId="24"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3" borderId="15" xfId="0" applyNumberFormat="1" applyFill="1" applyBorder="1" applyAlignment="1">
      <alignment horizontal="center" vertical="center"/>
    </xf>
    <xf numFmtId="1" fontId="0" fillId="3" borderId="25" xfId="0" applyNumberFormat="1" applyFill="1" applyBorder="1" applyAlignment="1">
      <alignment horizontal="center" vertical="center"/>
    </xf>
    <xf numFmtId="0" fontId="26" fillId="4" borderId="51" xfId="0" applyFont="1" applyFill="1" applyBorder="1" applyAlignment="1">
      <alignment horizontal="center" vertical="center" wrapText="1"/>
    </xf>
    <xf numFmtId="0" fontId="26" fillId="4" borderId="52"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21" xfId="0" applyFont="1" applyFill="1" applyBorder="1" applyAlignment="1">
      <alignment horizontal="center" vertical="center"/>
    </xf>
    <xf numFmtId="0" fontId="2" fillId="3" borderId="0" xfId="0" applyFont="1" applyFill="1" applyAlignment="1">
      <alignment horizontal="left" vertical="center" wrapText="1"/>
    </xf>
    <xf numFmtId="0" fontId="27" fillId="4" borderId="10" xfId="0" applyFont="1" applyFill="1" applyBorder="1" applyAlignment="1">
      <alignment horizontal="center" vertical="center" wrapText="1"/>
    </xf>
    <xf numFmtId="0" fontId="27" fillId="4" borderId="44" xfId="0" applyFont="1" applyFill="1" applyBorder="1" applyAlignment="1">
      <alignment horizontal="center" vertical="center" wrapText="1"/>
    </xf>
    <xf numFmtId="2" fontId="55" fillId="3" borderId="48" xfId="0" applyNumberFormat="1" applyFont="1" applyFill="1" applyBorder="1" applyAlignment="1">
      <alignment horizontal="center" vertical="center" wrapText="1"/>
    </xf>
    <xf numFmtId="2" fontId="55" fillId="3" borderId="53" xfId="0" applyNumberFormat="1" applyFont="1" applyFill="1" applyBorder="1" applyAlignment="1">
      <alignment horizontal="center" vertical="center" wrapText="1"/>
    </xf>
    <xf numFmtId="11" fontId="56" fillId="3" borderId="48" xfId="0" applyNumberFormat="1" applyFont="1" applyFill="1" applyBorder="1" applyAlignment="1">
      <alignment horizontal="center" vertical="center" wrapText="1"/>
    </xf>
    <xf numFmtId="11" fontId="56" fillId="3" borderId="53" xfId="0" applyNumberFormat="1" applyFont="1" applyFill="1" applyBorder="1" applyAlignment="1">
      <alignment horizontal="center" vertical="center" wrapText="1"/>
    </xf>
    <xf numFmtId="0" fontId="55" fillId="3" borderId="48" xfId="0" applyFont="1" applyFill="1" applyBorder="1" applyAlignment="1">
      <alignment horizontal="center" vertical="center" wrapText="1"/>
    </xf>
    <xf numFmtId="0" fontId="55" fillId="3" borderId="58" xfId="0" applyFont="1" applyFill="1" applyBorder="1" applyAlignment="1">
      <alignment horizontal="center" vertical="center" wrapText="1"/>
    </xf>
    <xf numFmtId="0" fontId="55" fillId="3" borderId="102" xfId="0" applyFont="1" applyFill="1" applyBorder="1" applyAlignment="1">
      <alignment horizontal="center" vertical="center" wrapText="1"/>
    </xf>
    <xf numFmtId="0" fontId="55" fillId="3" borderId="57" xfId="0" applyFont="1" applyFill="1" applyBorder="1" applyAlignment="1">
      <alignment horizontal="center" vertical="center" wrapText="1"/>
    </xf>
    <xf numFmtId="0" fontId="55" fillId="3" borderId="81" xfId="0" applyFont="1" applyFill="1" applyBorder="1" applyAlignment="1">
      <alignment horizontal="center" vertical="center" wrapText="1"/>
    </xf>
    <xf numFmtId="0" fontId="55" fillId="3" borderId="103" xfId="0" applyFont="1" applyFill="1" applyBorder="1" applyAlignment="1">
      <alignment horizontal="center" vertical="center" wrapText="1"/>
    </xf>
    <xf numFmtId="0" fontId="55" fillId="3" borderId="104" xfId="0" applyFont="1" applyFill="1" applyBorder="1" applyAlignment="1">
      <alignment horizontal="center" vertical="center" wrapText="1"/>
    </xf>
    <xf numFmtId="0" fontId="55" fillId="3" borderId="53" xfId="0" applyFont="1" applyFill="1" applyBorder="1" applyAlignment="1">
      <alignment horizontal="center" vertical="center" wrapText="1"/>
    </xf>
    <xf numFmtId="0" fontId="55" fillId="3" borderId="38" xfId="0" applyFont="1" applyFill="1" applyBorder="1" applyAlignment="1">
      <alignment horizontal="center" vertical="center" wrapText="1"/>
    </xf>
    <xf numFmtId="0" fontId="55" fillId="3" borderId="75" xfId="0" applyFont="1" applyFill="1" applyBorder="1" applyAlignment="1">
      <alignment horizontal="center" vertical="center" wrapText="1"/>
    </xf>
    <xf numFmtId="0" fontId="55" fillId="3" borderId="115" xfId="0" applyFont="1" applyFill="1" applyBorder="1" applyAlignment="1">
      <alignment horizontal="center" vertical="center" wrapText="1"/>
    </xf>
    <xf numFmtId="0" fontId="55" fillId="3" borderId="105" xfId="0" applyFont="1" applyFill="1" applyBorder="1" applyAlignment="1">
      <alignment horizontal="center" vertical="center" wrapText="1"/>
    </xf>
    <xf numFmtId="0" fontId="55" fillId="3" borderId="48" xfId="0" applyFont="1" applyFill="1" applyBorder="1" applyAlignment="1">
      <alignment horizontal="center" vertical="top" wrapText="1"/>
    </xf>
    <xf numFmtId="0" fontId="55" fillId="3" borderId="58" xfId="0" applyFont="1" applyFill="1" applyBorder="1" applyAlignment="1">
      <alignment horizontal="center" vertical="top" wrapText="1"/>
    </xf>
    <xf numFmtId="0" fontId="55" fillId="3" borderId="53" xfId="0" applyFont="1" applyFill="1" applyBorder="1" applyAlignment="1">
      <alignment horizontal="center" vertical="top" wrapText="1"/>
    </xf>
    <xf numFmtId="0" fontId="59" fillId="3" borderId="48" xfId="0" applyFont="1" applyFill="1" applyBorder="1" applyAlignment="1">
      <alignment horizontal="center" vertical="top" wrapText="1"/>
    </xf>
    <xf numFmtId="0" fontId="59" fillId="3" borderId="58" xfId="0" applyFont="1" applyFill="1" applyBorder="1" applyAlignment="1">
      <alignment horizontal="center" vertical="top" wrapText="1"/>
    </xf>
    <xf numFmtId="0" fontId="59" fillId="3" borderId="53" xfId="0" applyFont="1" applyFill="1" applyBorder="1" applyAlignment="1">
      <alignment horizontal="center" vertical="top" wrapText="1"/>
    </xf>
    <xf numFmtId="0" fontId="20" fillId="3" borderId="0" xfId="0" applyFont="1" applyFill="1" applyAlignment="1">
      <alignment horizontal="center"/>
    </xf>
    <xf numFmtId="0" fontId="49" fillId="3" borderId="51" xfId="0" applyFont="1" applyFill="1" applyBorder="1" applyAlignment="1">
      <alignment horizontal="center"/>
    </xf>
    <xf numFmtId="0" fontId="49" fillId="3" borderId="64" xfId="0" applyFont="1" applyFill="1" applyBorder="1" applyAlignment="1">
      <alignment horizontal="center"/>
    </xf>
    <xf numFmtId="0" fontId="49" fillId="3" borderId="52" xfId="0" applyFont="1" applyFill="1" applyBorder="1" applyAlignment="1">
      <alignment horizontal="center"/>
    </xf>
    <xf numFmtId="0" fontId="49" fillId="10" borderId="48" xfId="0" applyFont="1" applyFill="1" applyBorder="1" applyAlignment="1">
      <alignment horizontal="center" vertical="center" wrapText="1"/>
    </xf>
    <xf numFmtId="0" fontId="49" fillId="10" borderId="53" xfId="0" applyFont="1" applyFill="1" applyBorder="1" applyAlignment="1">
      <alignment horizontal="center" vertical="center" wrapText="1"/>
    </xf>
    <xf numFmtId="0" fontId="52" fillId="22" borderId="48" xfId="0" applyFont="1" applyFill="1" applyBorder="1" applyAlignment="1">
      <alignment horizontal="center" vertical="center" wrapText="1"/>
    </xf>
    <xf numFmtId="0" fontId="52" fillId="22" borderId="53" xfId="0" applyFont="1" applyFill="1" applyBorder="1" applyAlignment="1">
      <alignment horizontal="center" vertical="center" wrapText="1"/>
    </xf>
    <xf numFmtId="0" fontId="53" fillId="22" borderId="48" xfId="0" applyFont="1" applyFill="1" applyBorder="1" applyAlignment="1">
      <alignment horizontal="center" vertical="center" wrapText="1"/>
    </xf>
    <xf numFmtId="0" fontId="53" fillId="22" borderId="53" xfId="0" applyFont="1" applyFill="1" applyBorder="1" applyAlignment="1">
      <alignment horizontal="center" vertical="center" wrapText="1"/>
    </xf>
    <xf numFmtId="0" fontId="53" fillId="22" borderId="51" xfId="0" applyFont="1" applyFill="1" applyBorder="1" applyAlignment="1">
      <alignment horizontal="center" vertical="center" wrapText="1"/>
    </xf>
    <xf numFmtId="0" fontId="53" fillId="22" borderId="64" xfId="0" applyFont="1" applyFill="1" applyBorder="1" applyAlignment="1">
      <alignment horizontal="center" vertical="center" wrapText="1"/>
    </xf>
    <xf numFmtId="0" fontId="53" fillId="22" borderId="52" xfId="0" applyFont="1" applyFill="1" applyBorder="1" applyAlignment="1">
      <alignment horizontal="center" vertical="center" wrapText="1"/>
    </xf>
    <xf numFmtId="0" fontId="1" fillId="21" borderId="51" xfId="0" applyFont="1" applyFill="1" applyBorder="1" applyAlignment="1">
      <alignment horizontal="center"/>
    </xf>
    <xf numFmtId="0" fontId="1" fillId="21" borderId="64" xfId="0" applyFont="1" applyFill="1" applyBorder="1" applyAlignment="1">
      <alignment horizontal="center"/>
    </xf>
    <xf numFmtId="0" fontId="1" fillId="21" borderId="52" xfId="0" applyFont="1" applyFill="1" applyBorder="1" applyAlignment="1">
      <alignment horizontal="center"/>
    </xf>
    <xf numFmtId="11" fontId="56" fillId="3" borderId="48" xfId="0" quotePrefix="1" applyNumberFormat="1" applyFont="1" applyFill="1" applyBorder="1" applyAlignment="1">
      <alignment horizontal="center" vertical="center" wrapText="1"/>
    </xf>
    <xf numFmtId="0" fontId="12" fillId="3" borderId="38"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2" fillId="2" borderId="8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32"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9" fillId="5" borderId="34" xfId="0" applyFont="1" applyFill="1" applyBorder="1" applyAlignment="1">
      <alignment horizontal="center" vertical="center"/>
    </xf>
    <xf numFmtId="0" fontId="9" fillId="5" borderId="39" xfId="0" applyFont="1" applyFill="1" applyBorder="1" applyAlignment="1">
      <alignment horizontal="center" vertical="center"/>
    </xf>
    <xf numFmtId="0" fontId="9" fillId="3" borderId="48"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12" fillId="3" borderId="109" xfId="0" applyFont="1" applyFill="1" applyBorder="1" applyAlignment="1">
      <alignment horizontal="left" vertical="center" wrapText="1"/>
    </xf>
    <xf numFmtId="0" fontId="12" fillId="3" borderId="114" xfId="0" applyFont="1" applyFill="1" applyBorder="1" applyAlignment="1">
      <alignment horizontal="left" vertical="center" wrapText="1"/>
    </xf>
    <xf numFmtId="2" fontId="7" fillId="3" borderId="42" xfId="0" applyNumberFormat="1" applyFont="1" applyFill="1" applyBorder="1" applyAlignment="1">
      <alignment horizontal="center" vertical="center"/>
    </xf>
    <xf numFmtId="2" fontId="7" fillId="3" borderId="39" xfId="0" applyNumberFormat="1" applyFont="1" applyFill="1" applyBorder="1" applyAlignment="1">
      <alignment horizontal="center" vertical="center"/>
    </xf>
    <xf numFmtId="0" fontId="8" fillId="3" borderId="48" xfId="0" applyFont="1" applyFill="1" applyBorder="1" applyAlignment="1">
      <alignment horizontal="left" vertical="center" wrapText="1"/>
    </xf>
    <xf numFmtId="0" fontId="8" fillId="3" borderId="53" xfId="0" applyFont="1" applyFill="1" applyBorder="1" applyAlignment="1">
      <alignment horizontal="left" vertical="center" wrapText="1"/>
    </xf>
    <xf numFmtId="0" fontId="9" fillId="5" borderId="64"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49"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3" borderId="48"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81" xfId="0" applyFont="1" applyFill="1" applyBorder="1" applyAlignment="1">
      <alignment horizontal="center" vertical="center"/>
    </xf>
    <xf numFmtId="0" fontId="30" fillId="3" borderId="31" xfId="0" applyFont="1" applyFill="1" applyBorder="1" applyAlignment="1">
      <alignment horizontal="center" vertical="center" wrapText="1"/>
    </xf>
    <xf numFmtId="1" fontId="7" fillId="3" borderId="42" xfId="0" applyNumberFormat="1" applyFont="1" applyFill="1" applyBorder="1" applyAlignment="1">
      <alignment horizontal="center" vertical="center"/>
    </xf>
    <xf numFmtId="1" fontId="7" fillId="3" borderId="39" xfId="0" applyNumberFormat="1" applyFont="1" applyFill="1" applyBorder="1" applyAlignment="1">
      <alignment horizontal="center" vertical="center"/>
    </xf>
    <xf numFmtId="0" fontId="7" fillId="2" borderId="19" xfId="0" applyFont="1" applyFill="1" applyBorder="1" applyAlignment="1">
      <alignment horizontal="center" vertical="center"/>
    </xf>
    <xf numFmtId="168" fontId="7" fillId="2" borderId="19" xfId="0" applyNumberFormat="1" applyFont="1" applyFill="1" applyBorder="1" applyAlignment="1">
      <alignment horizontal="center" vertical="center" wrapText="1"/>
    </xf>
    <xf numFmtId="168" fontId="7" fillId="2" borderId="21" xfId="0" applyNumberFormat="1" applyFont="1" applyFill="1" applyBorder="1" applyAlignment="1">
      <alignment horizontal="center" vertical="center" wrapText="1"/>
    </xf>
    <xf numFmtId="0" fontId="12" fillId="3" borderId="48" xfId="0" applyFont="1" applyFill="1" applyBorder="1" applyAlignment="1">
      <alignment horizontal="left" vertical="top" wrapText="1"/>
    </xf>
    <xf numFmtId="0" fontId="12" fillId="3" borderId="53" xfId="0" applyFont="1" applyFill="1" applyBorder="1" applyAlignment="1">
      <alignment horizontal="left" vertical="top" wrapText="1"/>
    </xf>
    <xf numFmtId="0" fontId="12" fillId="3" borderId="57" xfId="0" applyFont="1" applyFill="1" applyBorder="1" applyAlignment="1">
      <alignment horizontal="left" vertical="top"/>
    </xf>
    <xf numFmtId="0" fontId="12" fillId="3" borderId="81" xfId="0" applyFont="1" applyFill="1" applyBorder="1" applyAlignment="1">
      <alignment horizontal="left" vertical="top"/>
    </xf>
    <xf numFmtId="0" fontId="12" fillId="3" borderId="38" xfId="0" applyFont="1" applyFill="1" applyBorder="1" applyAlignment="1">
      <alignment horizontal="center" vertical="top"/>
    </xf>
    <xf numFmtId="0" fontId="12" fillId="3" borderId="70" xfId="0" applyFont="1" applyFill="1" applyBorder="1" applyAlignment="1">
      <alignment horizontal="left" vertical="center" wrapText="1"/>
    </xf>
    <xf numFmtId="0" fontId="12" fillId="3" borderId="108" xfId="0" applyFont="1" applyFill="1" applyBorder="1" applyAlignment="1">
      <alignment horizontal="left" vertical="center" wrapText="1"/>
    </xf>
    <xf numFmtId="0" fontId="9" fillId="3" borderId="0" xfId="0" applyFont="1" applyFill="1" applyAlignment="1">
      <alignment horizontal="center" vertical="center" wrapText="1"/>
    </xf>
    <xf numFmtId="0" fontId="12" fillId="3" borderId="71" xfId="0" applyFont="1" applyFill="1" applyBorder="1" applyAlignment="1">
      <alignment horizontal="left" vertical="center" wrapText="1"/>
    </xf>
    <xf numFmtId="0" fontId="12" fillId="3" borderId="73" xfId="0" applyFont="1" applyFill="1" applyBorder="1" applyAlignment="1">
      <alignment horizontal="left" vertical="center" wrapText="1"/>
    </xf>
    <xf numFmtId="0" fontId="12" fillId="3" borderId="110" xfId="0" applyFont="1" applyFill="1" applyBorder="1" applyAlignment="1">
      <alignment horizontal="left" vertical="center" wrapText="1"/>
    </xf>
    <xf numFmtId="0" fontId="9" fillId="3" borderId="0" xfId="0" applyFont="1" applyFill="1" applyAlignment="1">
      <alignment horizontal="center" vertical="center"/>
    </xf>
    <xf numFmtId="11" fontId="0" fillId="3" borderId="42" xfId="0" applyNumberFormat="1" applyFill="1" applyBorder="1" applyAlignment="1">
      <alignment horizontal="center" vertical="center"/>
    </xf>
    <xf numFmtId="11" fontId="0" fillId="3" borderId="39" xfId="0" applyNumberFormat="1" applyFill="1" applyBorder="1" applyAlignment="1">
      <alignment horizontal="center" vertical="center"/>
    </xf>
    <xf numFmtId="2" fontId="7" fillId="3" borderId="0" xfId="0" quotePrefix="1" applyNumberFormat="1" applyFont="1" applyFill="1" applyAlignment="1">
      <alignment horizontal="center" vertical="center"/>
    </xf>
    <xf numFmtId="2" fontId="7" fillId="3" borderId="0" xfId="0" applyNumberFormat="1" applyFont="1" applyFill="1" applyAlignment="1">
      <alignment horizontal="center" vertical="center"/>
    </xf>
    <xf numFmtId="0" fontId="9" fillId="2" borderId="69" xfId="0" applyFont="1" applyFill="1" applyBorder="1" applyAlignment="1">
      <alignment horizontal="left" vertical="center" wrapText="1"/>
    </xf>
    <xf numFmtId="0" fontId="9" fillId="2" borderId="72" xfId="0" applyFont="1" applyFill="1" applyBorder="1" applyAlignment="1">
      <alignment horizontal="left" vertical="center" wrapText="1"/>
    </xf>
    <xf numFmtId="0" fontId="31" fillId="3" borderId="67" xfId="0" applyFont="1" applyFill="1" applyBorder="1" applyAlignment="1">
      <alignment horizontal="left" vertical="center" wrapText="1"/>
    </xf>
    <xf numFmtId="0" fontId="31" fillId="3" borderId="68" xfId="0" applyFont="1" applyFill="1" applyBorder="1" applyAlignment="1">
      <alignment horizontal="left" vertical="center" wrapText="1"/>
    </xf>
    <xf numFmtId="0" fontId="9" fillId="3" borderId="59"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111"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113"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12" fillId="3" borderId="112" xfId="0" applyFont="1" applyFill="1" applyBorder="1" applyAlignment="1">
      <alignment horizontal="center" vertical="center" wrapText="1"/>
    </xf>
    <xf numFmtId="0" fontId="9" fillId="3" borderId="53" xfId="0" applyFont="1" applyFill="1" applyBorder="1" applyAlignment="1">
      <alignment horizontal="left" vertical="center" wrapText="1"/>
    </xf>
    <xf numFmtId="0" fontId="12" fillId="3" borderId="58" xfId="0" applyFont="1" applyFill="1" applyBorder="1" applyAlignment="1">
      <alignment horizontal="left" vertical="top" wrapText="1"/>
    </xf>
    <xf numFmtId="0" fontId="12" fillId="3" borderId="38" xfId="0" applyFont="1" applyFill="1" applyBorder="1" applyAlignment="1">
      <alignment horizontal="left" vertical="top"/>
    </xf>
    <xf numFmtId="0" fontId="12" fillId="3" borderId="38" xfId="0" applyFont="1" applyFill="1" applyBorder="1" applyAlignment="1">
      <alignment horizontal="center" vertical="top" wrapText="1"/>
    </xf>
    <xf numFmtId="0" fontId="1" fillId="3" borderId="1" xfId="0" applyFont="1" applyFill="1" applyBorder="1" applyAlignment="1">
      <alignment horizontal="center"/>
    </xf>
    <xf numFmtId="0" fontId="1" fillId="3" borderId="55"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107" xfId="0" applyFont="1" applyFill="1" applyBorder="1" applyAlignment="1">
      <alignment horizontal="center" vertical="center"/>
    </xf>
    <xf numFmtId="0" fontId="2" fillId="3" borderId="1" xfId="0" applyFont="1" applyFill="1" applyBorder="1" applyAlignment="1">
      <alignment horizontal="left" vertical="top"/>
    </xf>
    <xf numFmtId="0" fontId="2" fillId="3" borderId="6"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165" fontId="0" fillId="3" borderId="1" xfId="0" applyNumberFormat="1" applyFill="1" applyBorder="1" applyAlignment="1">
      <alignment horizontal="left" vertical="top"/>
    </xf>
    <xf numFmtId="0" fontId="1" fillId="3" borderId="32" xfId="0" applyFont="1" applyFill="1" applyBorder="1" applyAlignment="1">
      <alignment horizontal="left" vertical="center"/>
    </xf>
    <xf numFmtId="0" fontId="1" fillId="3" borderId="24" xfId="0" applyFont="1" applyFill="1" applyBorder="1" applyAlignment="1">
      <alignment horizontal="lef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7" fillId="0" borderId="8" xfId="0" applyFont="1" applyBorder="1" applyAlignment="1">
      <alignment horizontal="center" wrapText="1"/>
    </xf>
    <xf numFmtId="0" fontId="7" fillId="3" borderId="0" xfId="0" applyFont="1" applyFill="1" applyAlignment="1">
      <alignment horizontal="center" wrapText="1"/>
    </xf>
    <xf numFmtId="0" fontId="1" fillId="17" borderId="31" xfId="0" applyFont="1" applyFill="1" applyBorder="1" applyAlignment="1">
      <alignment horizontal="center"/>
    </xf>
    <xf numFmtId="0" fontId="1" fillId="17" borderId="81" xfId="0" applyFont="1" applyFill="1" applyBorder="1" applyAlignment="1">
      <alignment horizontal="center"/>
    </xf>
    <xf numFmtId="0" fontId="1" fillId="17" borderId="51" xfId="0" applyFont="1" applyFill="1" applyBorder="1" applyAlignment="1">
      <alignment horizontal="center"/>
    </xf>
    <xf numFmtId="0" fontId="1" fillId="17" borderId="64" xfId="0" applyFont="1" applyFill="1" applyBorder="1" applyAlignment="1">
      <alignment horizontal="center"/>
    </xf>
    <xf numFmtId="0" fontId="1" fillId="14" borderId="10" xfId="0" applyFont="1" applyFill="1" applyBorder="1" applyAlignment="1">
      <alignment horizontal="center"/>
    </xf>
    <xf numFmtId="0" fontId="1" fillId="14" borderId="49" xfId="0" applyFont="1" applyFill="1" applyBorder="1" applyAlignment="1">
      <alignment horizontal="center"/>
    </xf>
    <xf numFmtId="0" fontId="1" fillId="14" borderId="44" xfId="0" applyFont="1" applyFill="1" applyBorder="1" applyAlignment="1">
      <alignment horizontal="center"/>
    </xf>
    <xf numFmtId="0" fontId="38" fillId="14" borderId="8" xfId="0" applyFont="1" applyFill="1" applyBorder="1" applyAlignment="1">
      <alignment horizontal="center" vertical="center" wrapText="1"/>
    </xf>
    <xf numFmtId="0" fontId="38" fillId="14" borderId="0" xfId="0" applyFont="1" applyFill="1" applyAlignment="1">
      <alignment horizontal="center" vertical="center" wrapText="1"/>
    </xf>
    <xf numFmtId="0" fontId="38" fillId="14" borderId="3" xfId="0" applyFont="1" applyFill="1" applyBorder="1" applyAlignment="1">
      <alignment horizontal="center" vertical="center" wrapText="1"/>
    </xf>
    <xf numFmtId="0" fontId="1" fillId="12" borderId="10" xfId="0" applyFont="1" applyFill="1" applyBorder="1" applyAlignment="1">
      <alignment horizontal="center"/>
    </xf>
    <xf numFmtId="0" fontId="1" fillId="12" borderId="49" xfId="0" applyFont="1" applyFill="1" applyBorder="1" applyAlignment="1">
      <alignment horizontal="center"/>
    </xf>
    <xf numFmtId="0" fontId="1" fillId="12" borderId="44" xfId="0" applyFont="1" applyFill="1" applyBorder="1" applyAlignment="1">
      <alignment horizontal="center"/>
    </xf>
    <xf numFmtId="0" fontId="3" fillId="12" borderId="3"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12" borderId="77" xfId="0" applyFont="1" applyFill="1" applyBorder="1" applyAlignment="1">
      <alignment horizontal="center" vertical="center" wrapText="1"/>
    </xf>
    <xf numFmtId="0" fontId="3" fillId="12" borderId="79" xfId="0" applyFont="1" applyFill="1" applyBorder="1" applyAlignment="1">
      <alignment horizontal="center" vertical="center" wrapText="1"/>
    </xf>
    <xf numFmtId="0" fontId="1" fillId="14" borderId="26" xfId="0" applyFont="1" applyFill="1" applyBorder="1" applyAlignment="1">
      <alignment horizontal="center" vertical="center" wrapText="1"/>
    </xf>
    <xf numFmtId="0" fontId="1" fillId="14" borderId="37" xfId="0" applyFont="1" applyFill="1" applyBorder="1" applyAlignment="1">
      <alignment horizontal="center" vertical="center" wrapText="1"/>
    </xf>
    <xf numFmtId="0" fontId="38" fillId="14" borderId="15" xfId="0" applyFont="1" applyFill="1" applyBorder="1" applyAlignment="1">
      <alignment horizontal="center" vertical="center" wrapText="1"/>
    </xf>
    <xf numFmtId="0" fontId="38" fillId="14" borderId="40" xfId="0" applyFont="1" applyFill="1" applyBorder="1" applyAlignment="1">
      <alignment horizontal="center" vertical="center" wrapText="1"/>
    </xf>
    <xf numFmtId="0" fontId="3" fillId="12" borderId="76" xfId="0" applyFont="1" applyFill="1" applyBorder="1" applyAlignment="1">
      <alignment horizontal="center" vertical="center" wrapText="1"/>
    </xf>
    <xf numFmtId="0" fontId="3" fillId="12" borderId="86"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2"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75" xfId="0" applyFont="1" applyFill="1" applyBorder="1" applyAlignment="1">
      <alignment horizontal="center" vertical="center" wrapText="1"/>
    </xf>
    <xf numFmtId="0" fontId="1" fillId="11" borderId="76" xfId="0" applyFont="1" applyFill="1" applyBorder="1" applyAlignment="1">
      <alignment horizontal="center" vertical="center" wrapText="1"/>
    </xf>
    <xf numFmtId="0" fontId="38" fillId="14" borderId="25" xfId="0" applyFont="1" applyFill="1" applyBorder="1" applyAlignment="1">
      <alignment horizontal="center" vertical="center" wrapText="1"/>
    </xf>
    <xf numFmtId="0" fontId="38" fillId="14" borderId="26"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2" borderId="14"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20" xfId="0" applyFont="1" applyFill="1" applyBorder="1" applyAlignment="1">
      <alignment horizontal="center" vertical="center" wrapText="1"/>
    </xf>
    <xf numFmtId="0" fontId="8" fillId="2" borderId="8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3" borderId="0" xfId="0" applyFill="1" applyAlignment="1">
      <alignment horizontal="left" wrapText="1"/>
    </xf>
    <xf numFmtId="0" fontId="0" fillId="3" borderId="59" xfId="0" applyFill="1" applyBorder="1" applyAlignment="1">
      <alignment horizontal="left" vertical="top" wrapText="1"/>
    </xf>
    <xf numFmtId="0" fontId="0" fillId="3" borderId="0" xfId="0" applyFill="1" applyAlignment="1">
      <alignment horizontal="left" vertical="top" wrapText="1"/>
    </xf>
  </cellXfs>
  <cellStyles count="5">
    <cellStyle name="Comma" xfId="3" builtinId="3"/>
    <cellStyle name="Normal" xfId="0" builtinId="0"/>
    <cellStyle name="Normal 2" xfId="2" xr:uid="{BC27F4E2-20B8-47A4-9D90-F2F490171813}"/>
    <cellStyle name="Normal 3" xfId="4" xr:uid="{E6C2F2EA-B481-4FFB-A551-21963D86D1B9}"/>
    <cellStyle name="Percent" xfId="1" builtinId="5"/>
  </cellStyles>
  <dxfs count="103">
    <dxf>
      <numFmt numFmtId="166" formatCode="0.0E+00"/>
    </dxf>
    <dxf>
      <numFmt numFmtId="3" formatCode="#,##0"/>
    </dxf>
    <dxf>
      <numFmt numFmtId="164" formatCode="0.0"/>
    </dxf>
    <dxf>
      <numFmt numFmtId="2" formatCode="0.00"/>
    </dxf>
    <dxf>
      <numFmt numFmtId="166" formatCode="0.0E+00"/>
    </dxf>
    <dxf>
      <numFmt numFmtId="4" formatCode="#,##0.00"/>
    </dxf>
    <dxf>
      <numFmt numFmtId="165" formatCode="0.000"/>
    </dxf>
    <dxf>
      <numFmt numFmtId="15" formatCode="0.00E+00"/>
    </dxf>
    <dxf>
      <fill>
        <patternFill>
          <bgColor theme="0"/>
        </patternFill>
      </fill>
    </dxf>
    <dxf>
      <numFmt numFmtId="166" formatCode="0.0E+00"/>
    </dxf>
    <dxf>
      <numFmt numFmtId="4" formatCode="#,##0.00"/>
    </dxf>
    <dxf>
      <numFmt numFmtId="169" formatCode="#,##0.0"/>
    </dxf>
    <dxf>
      <numFmt numFmtId="3" formatCode="#,##0"/>
    </dxf>
    <dxf>
      <numFmt numFmtId="166" formatCode="0.0E+00"/>
    </dxf>
    <dxf>
      <numFmt numFmtId="2" formatCode="0.00"/>
    </dxf>
    <dxf>
      <numFmt numFmtId="15" formatCode="0.00E+00"/>
    </dxf>
    <dxf>
      <numFmt numFmtId="2" formatCode="0.00"/>
    </dxf>
    <dxf>
      <numFmt numFmtId="15" formatCode="0.00E+00"/>
    </dxf>
    <dxf>
      <fill>
        <patternFill>
          <bgColor theme="5"/>
        </patternFill>
      </fill>
    </dxf>
    <dxf>
      <numFmt numFmtId="0" formatCode="General"/>
      <fill>
        <patternFill>
          <bgColor rgb="FF00B050"/>
        </patternFill>
      </fill>
    </dxf>
    <dxf>
      <fill>
        <patternFill>
          <bgColor theme="5"/>
        </patternFill>
      </fill>
    </dxf>
    <dxf>
      <fill>
        <patternFill>
          <bgColor rgb="FF00B050"/>
        </patternFill>
      </fill>
    </dxf>
    <dxf>
      <numFmt numFmtId="166" formatCode="0.0E+00"/>
    </dxf>
    <dxf>
      <numFmt numFmtId="3" formatCode="#,##0"/>
    </dxf>
    <dxf>
      <numFmt numFmtId="166" formatCode="0.0E+00"/>
    </dxf>
    <dxf>
      <numFmt numFmtId="3" formatCode="#,##0"/>
    </dxf>
    <dxf>
      <numFmt numFmtId="166" formatCode="0.0E+00"/>
    </dxf>
    <dxf>
      <numFmt numFmtId="169" formatCode="#,##0.0"/>
    </dxf>
    <dxf>
      <numFmt numFmtId="166" formatCode="0.0E+00"/>
    </dxf>
    <dxf>
      <numFmt numFmtId="169" formatCode="#,##0.0"/>
    </dxf>
    <dxf>
      <numFmt numFmtId="164" formatCode="0.0"/>
    </dxf>
    <dxf>
      <numFmt numFmtId="2" formatCode="0.00"/>
    </dxf>
    <dxf>
      <numFmt numFmtId="15" formatCode="0.00E+00"/>
    </dxf>
    <dxf>
      <font>
        <color theme="0"/>
      </font>
    </dxf>
    <dxf>
      <fill>
        <patternFill>
          <bgColor theme="0"/>
        </patternFill>
      </fill>
    </dxf>
    <dxf>
      <numFmt numFmtId="166" formatCode="0.0E+00"/>
    </dxf>
    <dxf>
      <numFmt numFmtId="4" formatCode="#,##0.00"/>
    </dxf>
    <dxf>
      <fill>
        <patternFill>
          <bgColor theme="9"/>
        </patternFill>
      </fill>
    </dxf>
    <dxf>
      <fill>
        <patternFill>
          <bgColor rgb="FFF15A2B"/>
        </patternFill>
      </fill>
    </dxf>
    <dxf>
      <fill>
        <patternFill>
          <bgColor theme="5"/>
        </patternFill>
      </fill>
    </dxf>
    <dxf>
      <fill>
        <patternFill>
          <bgColor theme="5"/>
        </patternFill>
      </fill>
    </dxf>
    <dxf>
      <fill>
        <patternFill>
          <bgColor rgb="FF00B050"/>
        </patternFill>
      </fill>
    </dxf>
    <dxf>
      <numFmt numFmtId="166" formatCode="0.0E+00"/>
    </dxf>
    <dxf>
      <numFmt numFmtId="3" formatCode="#,##0"/>
    </dxf>
    <dxf>
      <numFmt numFmtId="166" formatCode="0.0E+00"/>
    </dxf>
    <dxf>
      <fill>
        <patternFill>
          <bgColor theme="0"/>
        </patternFill>
      </fill>
    </dxf>
    <dxf>
      <numFmt numFmtId="4" formatCode="#,##0.00"/>
    </dxf>
    <dxf>
      <numFmt numFmtId="169" formatCode="#,##0.0"/>
    </dxf>
    <dxf>
      <font>
        <color theme="0"/>
      </font>
    </dxf>
    <dxf>
      <numFmt numFmtId="166" formatCode="0.0E+00"/>
    </dxf>
    <dxf>
      <numFmt numFmtId="169" formatCode="#,##0.0"/>
    </dxf>
    <dxf>
      <numFmt numFmtId="164" formatCode="0.0"/>
    </dxf>
    <dxf>
      <numFmt numFmtId="2" formatCode="0.00"/>
    </dxf>
    <dxf>
      <numFmt numFmtId="15" formatCode="0.00E+00"/>
    </dxf>
    <dxf>
      <numFmt numFmtId="166" formatCode="0.0E+00"/>
    </dxf>
    <dxf>
      <fill>
        <patternFill>
          <bgColor theme="0"/>
        </patternFill>
      </fill>
    </dxf>
    <dxf>
      <numFmt numFmtId="166" formatCode="0.0E+00"/>
    </dxf>
    <dxf>
      <numFmt numFmtId="4" formatCode="#,##0.00"/>
    </dxf>
    <dxf>
      <font>
        <color theme="0"/>
      </font>
    </dxf>
    <dxf>
      <numFmt numFmtId="169" formatCode="#,##0.0"/>
    </dxf>
    <dxf>
      <numFmt numFmtId="3" formatCode="#,##0"/>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numFmt numFmtId="166" formatCode="0.0E+00"/>
    </dxf>
    <dxf>
      <numFmt numFmtId="4" formatCode="#,##0.00"/>
    </dxf>
    <dxf>
      <numFmt numFmtId="169" formatCode="#,##0.0"/>
    </dxf>
    <dxf>
      <numFmt numFmtId="3" formatCode="#,##0"/>
    </dxf>
    <dxf>
      <numFmt numFmtId="166" formatCode="0.0E+00"/>
    </dxf>
    <dxf>
      <font>
        <b/>
        <i val="0"/>
      </font>
      <fill>
        <patternFill>
          <bgColor theme="0" tint="-0.24994659260841701"/>
        </patternFill>
      </fill>
    </dxf>
    <dxf>
      <font>
        <b/>
        <i val="0"/>
      </font>
      <fill>
        <patternFill>
          <bgColor theme="0" tint="-0.24994659260841701"/>
        </patternFill>
      </fill>
    </dxf>
    <dxf>
      <font>
        <color theme="5"/>
      </font>
      <fill>
        <patternFill>
          <bgColor theme="5" tint="0.79998168889431442"/>
        </patternFill>
      </fill>
    </dxf>
    <dxf>
      <fill>
        <patternFill>
          <bgColor theme="0"/>
        </patternFill>
      </fill>
    </dxf>
    <dxf>
      <numFmt numFmtId="4" formatCode="#,##0.00"/>
    </dxf>
    <dxf>
      <numFmt numFmtId="15" formatCode="0.00E+00"/>
    </dxf>
    <dxf>
      <font>
        <color theme="5"/>
      </font>
      <fill>
        <patternFill>
          <bgColor theme="5" tint="0.79998168889431442"/>
        </patternFill>
      </fill>
    </dxf>
    <dxf>
      <fill>
        <patternFill>
          <bgColor theme="0"/>
        </patternFill>
      </fill>
    </dxf>
    <dxf>
      <numFmt numFmtId="4" formatCode="#,##0.00"/>
    </dxf>
    <dxf>
      <numFmt numFmtId="169" formatCode="#,##0.0"/>
    </dxf>
    <dxf>
      <numFmt numFmtId="3" formatCode="#,##0"/>
    </dxf>
    <dxf>
      <numFmt numFmtId="166" formatCode="0.0E+00"/>
    </dxf>
    <dxf>
      <font>
        <color theme="9" tint="-0.499984740745262"/>
      </font>
      <fill>
        <patternFill>
          <bgColor theme="9" tint="0.59996337778862885"/>
        </patternFill>
      </fill>
    </dxf>
    <dxf>
      <font>
        <color theme="5"/>
      </font>
      <fill>
        <patternFill>
          <bgColor theme="5" tint="0.59996337778862885"/>
        </patternFill>
      </fill>
    </dxf>
    <dxf>
      <font>
        <color theme="5"/>
      </font>
      <fill>
        <patternFill>
          <bgColor theme="5" tint="0.79998168889431442"/>
        </patternFill>
      </fill>
    </dxf>
    <dxf>
      <fill>
        <patternFill>
          <bgColor theme="0"/>
        </patternFill>
      </fill>
    </dxf>
    <dxf>
      <numFmt numFmtId="4" formatCode="#,##0.00"/>
    </dxf>
    <dxf>
      <numFmt numFmtId="15" formatCode="0.00E+00"/>
    </dxf>
    <dxf>
      <numFmt numFmtId="166" formatCode="0.0E+00"/>
    </dxf>
    <dxf>
      <font>
        <color theme="5"/>
      </font>
      <fill>
        <patternFill>
          <bgColor theme="5" tint="0.79998168889431442"/>
        </patternFill>
      </fill>
    </dxf>
    <dxf>
      <numFmt numFmtId="4" formatCode="#,##0.00"/>
    </dxf>
    <dxf>
      <numFmt numFmtId="15" formatCode="0.00E+00"/>
    </dxf>
    <dxf>
      <font>
        <color theme="0"/>
      </font>
    </dxf>
    <dxf>
      <fill>
        <patternFill>
          <bgColor theme="0"/>
        </patternFill>
      </fill>
    </dxf>
    <dxf>
      <numFmt numFmtId="4" formatCode="#,##0.00"/>
    </dxf>
    <dxf>
      <numFmt numFmtId="15" formatCode="0.00E+00"/>
    </dxf>
    <dxf>
      <numFmt numFmtId="169" formatCode="#,##0.0"/>
    </dxf>
    <dxf>
      <numFmt numFmtId="3" formatCode="#,##0"/>
    </dxf>
    <dxf>
      <font>
        <color theme="0"/>
      </font>
    </dxf>
  </dxfs>
  <tableStyles count="0" defaultTableStyle="TableStyleMedium2" defaultPivotStyle="PivotStyleLight16"/>
  <colors>
    <mruColors>
      <color rgb="FFF15A2B"/>
      <color rgb="FFF04B18"/>
      <color rgb="FFD43D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Inhalation Cancer Risk Estimates</a:t>
            </a:r>
          </a:p>
        </c:rich>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8905621866876288"/>
          <c:h val="0.66282889702806647"/>
        </c:manualLayout>
      </c:layout>
      <c:barChart>
        <c:barDir val="bar"/>
        <c:grouping val="stacked"/>
        <c:varyColors val="0"/>
        <c:ser>
          <c:idx val="0"/>
          <c:order val="0"/>
          <c:tx>
            <c:strRef>
              <c:f>Dashboard!$D$95</c:f>
              <c:strCache>
                <c:ptCount val="1"/>
                <c:pt idx="0">
                  <c:v>Cancer Risk</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noFill/>
              </a:ln>
              <a:effectLst/>
            </c:spPr>
            <c:extLst>
              <c:ext xmlns:c16="http://schemas.microsoft.com/office/drawing/2014/chart" uri="{C3380CC4-5D6E-409C-BE32-E72D297353CC}">
                <c16:uniqueId val="{00000002-BA70-4215-AC58-731F271DC5B6}"/>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4-BA70-4215-AC58-731F271DC5B6}"/>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6-BA70-4215-AC58-731F271DC5B6}"/>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8-BA70-4215-AC58-731F271DC5B6}"/>
              </c:ext>
            </c:extLst>
          </c:dPt>
          <c:cat>
            <c:strLit>
              <c:ptCount val="4"/>
              <c:pt idx="0">
                <c:v>ONU: 50th Percentile</c:v>
              </c:pt>
              <c:pt idx="1">
                <c:v>ONU: 95th Percentile</c:v>
              </c:pt>
              <c:pt idx="2">
                <c:v>Worker: 50th Percentile</c:v>
              </c:pt>
              <c:pt idx="3">
                <c:v>Worker: 95th Percentile</c:v>
              </c:pt>
            </c:strLit>
          </c:cat>
          <c:val>
            <c:numRef>
              <c:f>Dashboard!$D$96:$D$99</c:f>
              <c:numCache>
                <c:formatCode>0.00E+00</c:formatCode>
                <c:ptCount val="4"/>
                <c:pt idx="0">
                  <c:v>0</c:v>
                </c:pt>
                <c:pt idx="1">
                  <c:v>0</c:v>
                </c:pt>
                <c:pt idx="2">
                  <c:v>3.1637771023953278E-4</c:v>
                </c:pt>
                <c:pt idx="3">
                  <c:v>7.6492583545904862E-3</c:v>
                </c:pt>
              </c:numCache>
            </c:numRef>
          </c:val>
          <c:extLst>
            <c:ext xmlns:c16="http://schemas.microsoft.com/office/drawing/2014/chart" uri="{C3380CC4-5D6E-409C-BE32-E72D297353CC}">
              <c16:uniqueId val="{00000009-BA70-4215-AC58-731F271DC5B6}"/>
            </c:ext>
          </c:extLst>
        </c:ser>
        <c:dLbls>
          <c:showLegendKey val="0"/>
          <c:showVal val="0"/>
          <c:showCatName val="0"/>
          <c:showSerName val="0"/>
          <c:showPercent val="0"/>
          <c:showBubbleSize val="0"/>
        </c:dLbls>
        <c:gapWidth val="150"/>
        <c:overlap val="100"/>
        <c:axId val="580062808"/>
        <c:axId val="580066744"/>
      </c:barChart>
      <c:scatterChart>
        <c:scatterStyle val="lineMarker"/>
        <c:varyColors val="0"/>
        <c:ser>
          <c:idx val="1"/>
          <c:order val="1"/>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A-BA70-4215-AC58-731F271DC5B6}"/>
            </c:ext>
          </c:extLst>
        </c:ser>
        <c:ser>
          <c:idx val="2"/>
          <c:order val="2"/>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B-BA70-4215-AC58-731F271DC5B6}"/>
            </c:ext>
          </c:extLst>
        </c:ser>
        <c:ser>
          <c:idx val="3"/>
          <c:order val="3"/>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C-BA70-4215-AC58-731F271DC5B6}"/>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5"/>
          <c:order val="0"/>
          <c:tx>
            <c:strRef>
              <c:f>'Risk Reduction'!$J$58</c:f>
              <c:strCache>
                <c:ptCount val="1"/>
                <c:pt idx="0">
                  <c:v>Central Tendency</c:v>
                </c:pt>
              </c:strCache>
            </c:strRef>
          </c:tx>
          <c:spPr>
            <a:solidFill>
              <a:schemeClr val="accent5"/>
            </a:solidFill>
            <a:ln w="25400">
              <a:noFill/>
            </a:ln>
            <a:effectLst/>
          </c:spPr>
          <c:invertIfNegative val="0"/>
          <c:cat>
            <c:strRef>
              <c:f>'Risk Reduction'!$H$59:$H$64</c:f>
              <c:strCache>
                <c:ptCount val="6"/>
                <c:pt idx="0">
                  <c:v>No Respirator</c:v>
                </c:pt>
                <c:pt idx="1">
                  <c:v>APF = 10</c:v>
                </c:pt>
                <c:pt idx="2">
                  <c:v>APF = 25</c:v>
                </c:pt>
                <c:pt idx="3">
                  <c:v>APF = 50</c:v>
                </c:pt>
                <c:pt idx="4">
                  <c:v>APF = 1,000</c:v>
                </c:pt>
                <c:pt idx="5">
                  <c:v>APF = 10,000</c:v>
                </c:pt>
              </c:strCache>
            </c:strRef>
          </c:cat>
          <c:val>
            <c:numRef>
              <c:f>'Risk Reduction'!$J$59:$J$64</c:f>
              <c:numCache>
                <c:formatCode>0.00E+00</c:formatCode>
                <c:ptCount val="6"/>
                <c:pt idx="0">
                  <c:v>5.2173263963990811E-4</c:v>
                </c:pt>
                <c:pt idx="1">
                  <c:v>5.2173263963990812E-5</c:v>
                </c:pt>
                <c:pt idx="2">
                  <c:v>2.0869305585596324E-5</c:v>
                </c:pt>
                <c:pt idx="3">
                  <c:v>1.0434652792798162E-5</c:v>
                </c:pt>
                <c:pt idx="4">
                  <c:v>5.2173263963990813E-7</c:v>
                </c:pt>
                <c:pt idx="5">
                  <c:v>5.2173263963990808E-8</c:v>
                </c:pt>
              </c:numCache>
            </c:numRef>
          </c:val>
          <c:extLst>
            <c:ext xmlns:c16="http://schemas.microsoft.com/office/drawing/2014/chart" uri="{C3380CC4-5D6E-409C-BE32-E72D297353CC}">
              <c16:uniqueId val="{00000013-2530-4F3A-BEDF-BB24B328CDF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6"/>
                <c:order val="1"/>
                <c:tx>
                  <c:strRef>
                    <c:extLst>
                      <c:ext uri="{02D57815-91ED-43cb-92C2-25804820EDAC}">
                        <c15:formulaRef>
                          <c15:sqref>'Risk Reduction'!$I$58</c15:sqref>
                        </c15:formulaRef>
                      </c:ext>
                    </c:extLst>
                    <c:strCache>
                      <c:ptCount val="1"/>
                      <c:pt idx="0">
                        <c:v>High End</c:v>
                      </c:pt>
                    </c:strCache>
                  </c:strRef>
                </c:tx>
                <c:spPr>
                  <a:solidFill>
                    <a:schemeClr val="accent5">
                      <a:lumMod val="75000"/>
                    </a:schemeClr>
                  </a:solidFill>
                  <a:ln>
                    <a:noFill/>
                  </a:ln>
                  <a:effectLst/>
                </c:spPr>
                <c:invertIfNegative val="0"/>
                <c:cat>
                  <c:strRef>
                    <c:extLst>
                      <c:ext uri="{02D57815-91ED-43cb-92C2-25804820EDAC}">
                        <c15:formulaRef>
                          <c15:sqref>'Risk Reduction'!$H$59:$H$64</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'Risk Reduction'!$I$59:$I$64</c15:sqref>
                        </c15:formulaRef>
                      </c:ext>
                    </c:extLst>
                    <c:numCache>
                      <c:formatCode>0.00E+00</c:formatCode>
                      <c:ptCount val="6"/>
                      <c:pt idx="0">
                        <c:v>2.3708467776063148E-2</c:v>
                      </c:pt>
                      <c:pt idx="1">
                        <c:v>2.3708467776063146E-3</c:v>
                      </c:pt>
                      <c:pt idx="2">
                        <c:v>9.4833871104252592E-4</c:v>
                      </c:pt>
                      <c:pt idx="3">
                        <c:v>4.7416935552126296E-4</c:v>
                      </c:pt>
                      <c:pt idx="4">
                        <c:v>2.3708467776063148E-5</c:v>
                      </c:pt>
                      <c:pt idx="5">
                        <c:v>2.3708467776063146E-6</c:v>
                      </c:pt>
                    </c:numCache>
                  </c:numRef>
                </c:val>
                <c:extLst>
                  <c:ext xmlns:c16="http://schemas.microsoft.com/office/drawing/2014/chart" uri="{C3380CC4-5D6E-409C-BE32-E72D297353CC}">
                    <c16:uniqueId val="{00000014-2530-4F3A-BEDF-BB24B328CDF4}"/>
                  </c:ext>
                </c:extLst>
              </c15:ser>
            </c15:filteredBarSeries>
          </c:ext>
        </c:extLst>
      </c:barChart>
      <c:scatterChart>
        <c:scatterStyle val="lineMarker"/>
        <c:varyColors val="0"/>
        <c:ser>
          <c:idx val="1"/>
          <c:order val="2"/>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E-2530-4F3A-BEDF-BB24B328CDF4}"/>
            </c:ext>
          </c:extLst>
        </c:ser>
        <c:ser>
          <c:idx val="2"/>
          <c:order val="3"/>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10-2530-4F3A-BEDF-BB24B328CDF4}"/>
            </c:ext>
          </c:extLst>
        </c:ser>
        <c:ser>
          <c:idx val="3"/>
          <c:order val="4"/>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12-2530-4F3A-BEDF-BB24B328CDF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"Inhalation Cancer Risk Estimates"</c:f>
          <c:strCache>
            <c:ptCount val="1"/>
            <c:pt idx="0">
              <c:v>Inhalation Cancer Risk Estimates</c:v>
            </c:pt>
          </c:strCache>
        </c:strRef>
      </c:tx>
      <c:layout>
        <c:manualLayout>
          <c:xMode val="edge"/>
          <c:yMode val="edge"/>
          <c:x val="0.35379421156466734"/>
          <c:y val="5.1188866307768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150842647774607"/>
          <c:y val="0.21054931230848406"/>
          <c:w val="0.63729288181961663"/>
          <c:h val="0.60596785221581506"/>
        </c:manualLayout>
      </c:layout>
      <c:barChart>
        <c:barDir val="bar"/>
        <c:grouping val="stacked"/>
        <c:varyColors val="0"/>
        <c:ser>
          <c:idx val="6"/>
          <c:order val="1"/>
          <c:tx>
            <c:strRef>
              <c:f>'Risk Reduction'!$I$58</c:f>
              <c:strCache>
                <c:ptCount val="1"/>
                <c:pt idx="0">
                  <c:v>High End</c:v>
                </c:pt>
              </c:strCache>
            </c:strRef>
          </c:tx>
          <c:spPr>
            <a:solidFill>
              <a:schemeClr val="accent5">
                <a:lumMod val="75000"/>
              </a:schemeClr>
            </a:solidFill>
            <a:ln>
              <a:noFill/>
            </a:ln>
            <a:effectLst/>
          </c:spPr>
          <c:invertIfNegative val="0"/>
          <c:cat>
            <c:strRef>
              <c:f>'Risk Reduction'!$H$59:$H$64</c:f>
              <c:strCache>
                <c:ptCount val="6"/>
                <c:pt idx="0">
                  <c:v>No Respirator</c:v>
                </c:pt>
                <c:pt idx="1">
                  <c:v>APF = 10</c:v>
                </c:pt>
                <c:pt idx="2">
                  <c:v>APF = 25</c:v>
                </c:pt>
                <c:pt idx="3">
                  <c:v>APF = 50</c:v>
                </c:pt>
                <c:pt idx="4">
                  <c:v>APF = 1,000</c:v>
                </c:pt>
                <c:pt idx="5">
                  <c:v>APF = 10,000</c:v>
                </c:pt>
              </c:strCache>
            </c:strRef>
          </c:cat>
          <c:val>
            <c:numRef>
              <c:f>'Risk Reduction'!$I$59:$I$64</c:f>
              <c:numCache>
                <c:formatCode>0.00E+00</c:formatCode>
                <c:ptCount val="6"/>
                <c:pt idx="0">
                  <c:v>2.3708467776063148E-2</c:v>
                </c:pt>
                <c:pt idx="1">
                  <c:v>2.3708467776063146E-3</c:v>
                </c:pt>
                <c:pt idx="2">
                  <c:v>9.4833871104252592E-4</c:v>
                </c:pt>
                <c:pt idx="3">
                  <c:v>4.7416935552126296E-4</c:v>
                </c:pt>
                <c:pt idx="4">
                  <c:v>2.3708467776063148E-5</c:v>
                </c:pt>
                <c:pt idx="5">
                  <c:v>2.3708467776063146E-6</c:v>
                </c:pt>
              </c:numCache>
            </c:numRef>
          </c:val>
          <c:extLst>
            <c:ext xmlns:c16="http://schemas.microsoft.com/office/drawing/2014/chart" uri="{C3380CC4-5D6E-409C-BE32-E72D297353CC}">
              <c16:uniqueId val="{00000001-D738-4D29-9A1B-A262CDDF2104}"/>
            </c:ext>
          </c:extLst>
        </c:ser>
        <c:dLbls>
          <c:showLegendKey val="0"/>
          <c:showVal val="0"/>
          <c:showCatName val="0"/>
          <c:showSerName val="0"/>
          <c:showPercent val="0"/>
          <c:showBubbleSize val="0"/>
        </c:dLbls>
        <c:gapWidth val="150"/>
        <c:overlap val="100"/>
        <c:axId val="580062808"/>
        <c:axId val="580066744"/>
        <c:extLst>
          <c:ext xmlns:c15="http://schemas.microsoft.com/office/drawing/2012/chart" uri="{02D57815-91ED-43cb-92C2-25804820EDAC}">
            <c15:filteredBarSeries>
              <c15:ser>
                <c:idx val="5"/>
                <c:order val="0"/>
                <c:tx>
                  <c:strRef>
                    <c:extLst>
                      <c:ext uri="{02D57815-91ED-43cb-92C2-25804820EDAC}">
                        <c15:formulaRef>
                          <c15:sqref>'Risk Reduction'!$J$58</c15:sqref>
                        </c15:formulaRef>
                      </c:ext>
                    </c:extLst>
                    <c:strCache>
                      <c:ptCount val="1"/>
                      <c:pt idx="0">
                        <c:v>Central Tendency</c:v>
                      </c:pt>
                    </c:strCache>
                  </c:strRef>
                </c:tx>
                <c:spPr>
                  <a:solidFill>
                    <a:schemeClr val="accent5"/>
                  </a:solidFill>
                  <a:ln w="25400">
                    <a:noFill/>
                  </a:ln>
                  <a:effectLst/>
                </c:spPr>
                <c:invertIfNegative val="0"/>
                <c:cat>
                  <c:strRef>
                    <c:extLst>
                      <c:ext uri="{02D57815-91ED-43cb-92C2-25804820EDAC}">
                        <c15:formulaRef>
                          <c15:sqref>'Risk Reduction'!$H$59:$H$64</c15:sqref>
                        </c15:formulaRef>
                      </c:ext>
                    </c:extLst>
                    <c:strCache>
                      <c:ptCount val="6"/>
                      <c:pt idx="0">
                        <c:v>No Respirator</c:v>
                      </c:pt>
                      <c:pt idx="1">
                        <c:v>APF = 10</c:v>
                      </c:pt>
                      <c:pt idx="2">
                        <c:v>APF = 25</c:v>
                      </c:pt>
                      <c:pt idx="3">
                        <c:v>APF = 50</c:v>
                      </c:pt>
                      <c:pt idx="4">
                        <c:v>APF = 1,000</c:v>
                      </c:pt>
                      <c:pt idx="5">
                        <c:v>APF = 10,000</c:v>
                      </c:pt>
                    </c:strCache>
                  </c:strRef>
                </c:cat>
                <c:val>
                  <c:numRef>
                    <c:extLst>
                      <c:ext uri="{02D57815-91ED-43cb-92C2-25804820EDAC}">
                        <c15:formulaRef>
                          <c15:sqref>'Risk Reduction'!$J$59:$J$64</c15:sqref>
                        </c15:formulaRef>
                      </c:ext>
                    </c:extLst>
                    <c:numCache>
                      <c:formatCode>0.00E+00</c:formatCode>
                      <c:ptCount val="6"/>
                      <c:pt idx="0">
                        <c:v>5.2173263963990811E-4</c:v>
                      </c:pt>
                      <c:pt idx="1">
                        <c:v>5.2173263963990812E-5</c:v>
                      </c:pt>
                      <c:pt idx="2">
                        <c:v>2.0869305585596324E-5</c:v>
                      </c:pt>
                      <c:pt idx="3">
                        <c:v>1.0434652792798162E-5</c:v>
                      </c:pt>
                      <c:pt idx="4">
                        <c:v>5.2173263963990813E-7</c:v>
                      </c:pt>
                      <c:pt idx="5">
                        <c:v>5.2173263963990808E-8</c:v>
                      </c:pt>
                    </c:numCache>
                  </c:numRef>
                </c:val>
                <c:extLst>
                  <c:ext xmlns:c16="http://schemas.microsoft.com/office/drawing/2014/chart" uri="{C3380CC4-5D6E-409C-BE32-E72D297353CC}">
                    <c16:uniqueId val="{00000000-D738-4D29-9A1B-A262CDDF2104}"/>
                  </c:ext>
                </c:extLst>
              </c15:ser>
            </c15:filteredBarSeries>
          </c:ext>
        </c:extLst>
      </c:barChart>
      <c:scatterChart>
        <c:scatterStyle val="lineMarker"/>
        <c:varyColors val="0"/>
        <c:ser>
          <c:idx val="1"/>
          <c:order val="2"/>
          <c:tx>
            <c:v>1.00E-06</c:v>
          </c:tx>
          <c:spPr>
            <a:ln w="28575" cap="rnd">
              <a:solidFill>
                <a:srgbClr val="FF0000"/>
              </a:solidFill>
              <a:round/>
            </a:ln>
            <a:effectLst/>
          </c:spPr>
          <c:marker>
            <c:symbol val="none"/>
          </c:marker>
          <c:xVal>
            <c:numLit>
              <c:formatCode>General</c:formatCode>
              <c:ptCount val="6"/>
              <c:pt idx="0">
                <c:v>9.9999999999999995E-7</c:v>
              </c:pt>
              <c:pt idx="1">
                <c:v>9.9999999999999995E-7</c:v>
              </c:pt>
              <c:pt idx="2">
                <c:v>9.9999999999999995E-7</c:v>
              </c:pt>
              <c:pt idx="3">
                <c:v>9.9999999999999995E-7</c:v>
              </c:pt>
              <c:pt idx="4">
                <c:v>9.9999999999999995E-7</c:v>
              </c:pt>
              <c:pt idx="5">
                <c:v>9.9999999999999995E-7</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2-D738-4D29-9A1B-A262CDDF2104}"/>
            </c:ext>
          </c:extLst>
        </c:ser>
        <c:ser>
          <c:idx val="2"/>
          <c:order val="3"/>
          <c:tx>
            <c:v>1.00E-05</c:v>
          </c:tx>
          <c:spPr>
            <a:ln w="28575" cap="rnd">
              <a:solidFill>
                <a:srgbClr val="FF0000"/>
              </a:solidFill>
              <a:round/>
            </a:ln>
            <a:effectLst/>
          </c:spPr>
          <c:marker>
            <c:symbol val="none"/>
          </c:marker>
          <c:xVal>
            <c:numLit>
              <c:formatCode>General</c:formatCode>
              <c:ptCount val="6"/>
              <c:pt idx="0">
                <c:v>1.0000000000000001E-5</c:v>
              </c:pt>
              <c:pt idx="1">
                <c:v>1.0000000000000001E-5</c:v>
              </c:pt>
              <c:pt idx="2">
                <c:v>1.0000000000000001E-5</c:v>
              </c:pt>
              <c:pt idx="3">
                <c:v>1.0000000000000001E-5</c:v>
              </c:pt>
              <c:pt idx="4">
                <c:v>1.0000000000000001E-5</c:v>
              </c:pt>
              <c:pt idx="5">
                <c:v>1.0000000000000001E-5</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3-D738-4D29-9A1B-A262CDDF2104}"/>
            </c:ext>
          </c:extLst>
        </c:ser>
        <c:ser>
          <c:idx val="3"/>
          <c:order val="4"/>
          <c:tx>
            <c:v>1.00E-04</c:v>
          </c:tx>
          <c:spPr>
            <a:ln w="28575" cap="rnd">
              <a:solidFill>
                <a:srgbClr val="FF0000"/>
              </a:solidFill>
              <a:round/>
            </a:ln>
            <a:effectLst/>
          </c:spPr>
          <c:marker>
            <c:symbol val="none"/>
          </c:marker>
          <c:xVal>
            <c:numLit>
              <c:formatCode>General</c:formatCode>
              <c:ptCount val="6"/>
              <c:pt idx="0">
                <c:v>1E-4</c:v>
              </c:pt>
              <c:pt idx="1">
                <c:v>1E-4</c:v>
              </c:pt>
              <c:pt idx="2">
                <c:v>1E-4</c:v>
              </c:pt>
              <c:pt idx="3">
                <c:v>1E-4</c:v>
              </c:pt>
              <c:pt idx="4">
                <c:v>1E-4</c:v>
              </c:pt>
              <c:pt idx="5">
                <c:v>1E-4</c:v>
              </c:pt>
            </c:numLit>
          </c:xVal>
          <c:yVal>
            <c:numLit>
              <c:formatCode>General</c:formatCode>
              <c:ptCount val="6"/>
              <c:pt idx="0">
                <c:v>7</c:v>
              </c:pt>
              <c:pt idx="1">
                <c:v>5</c:v>
              </c:pt>
              <c:pt idx="2">
                <c:v>4</c:v>
              </c:pt>
              <c:pt idx="3">
                <c:v>3</c:v>
              </c:pt>
              <c:pt idx="4">
                <c:v>2</c:v>
              </c:pt>
              <c:pt idx="5">
                <c:v>0</c:v>
              </c:pt>
            </c:numLit>
          </c:yVal>
          <c:smooth val="0"/>
          <c:extLst>
            <c:ext xmlns:c16="http://schemas.microsoft.com/office/drawing/2014/chart" uri="{C3380CC4-5D6E-409C-BE32-E72D297353CC}">
              <c16:uniqueId val="{00000004-D738-4D29-9A1B-A262CDDF2104}"/>
            </c:ext>
          </c:extLst>
        </c:ser>
        <c:dLbls>
          <c:showLegendKey val="0"/>
          <c:showVal val="0"/>
          <c:showCatName val="0"/>
          <c:showSerName val="0"/>
          <c:showPercent val="0"/>
          <c:showBubbleSize val="0"/>
        </c:dLbls>
        <c:axId val="599810312"/>
        <c:axId val="599814248"/>
      </c:scatterChart>
      <c:catAx>
        <c:axId val="5800628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6744"/>
        <c:crosses val="autoZero"/>
        <c:auto val="1"/>
        <c:lblAlgn val="ctr"/>
        <c:lblOffset val="100"/>
        <c:noMultiLvlLbl val="0"/>
      </c:catAx>
      <c:valAx>
        <c:axId val="580066744"/>
        <c:scaling>
          <c:logBase val="10"/>
          <c:orientation val="minMax"/>
          <c:min val="1.0000000000000005E-7"/>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excess risk per million</a:t>
                </a:r>
              </a:p>
            </c:rich>
          </c:tx>
          <c:layout>
            <c:manualLayout>
              <c:xMode val="edge"/>
              <c:yMode val="edge"/>
              <c:x val="0.36584643797039879"/>
              <c:y val="0.910330937964372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62808"/>
        <c:crosses val="autoZero"/>
        <c:crossBetween val="between"/>
      </c:valAx>
      <c:valAx>
        <c:axId val="599814248"/>
        <c:scaling>
          <c:orientation val="minMax"/>
          <c:max val="7"/>
        </c:scaling>
        <c:delete val="1"/>
        <c:axPos val="l"/>
        <c:numFmt formatCode="General" sourceLinked="1"/>
        <c:majorTickMark val="out"/>
        <c:minorTickMark val="none"/>
        <c:tickLblPos val="nextTo"/>
        <c:crossAx val="599810312"/>
        <c:crosses val="autoZero"/>
        <c:crossBetween val="midCat"/>
      </c:valAx>
      <c:valAx>
        <c:axId val="599810312"/>
        <c:scaling>
          <c:logBase val="10"/>
          <c:orientation val="minMax"/>
          <c:max val="1"/>
          <c:min val="1.0000000000000005E-7"/>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99814248"/>
        <c:crosses val="max"/>
        <c:crossBetween val="midCat"/>
      </c:valAx>
      <c:spPr>
        <a:noFill/>
        <a:ln>
          <a:solidFill>
            <a:schemeClr val="bg1">
              <a:lumMod val="85000"/>
            </a:schemeClr>
          </a:solidFill>
        </a:ln>
        <a:effectLst/>
      </c:spPr>
    </c:plotArea>
    <c:legend>
      <c:legendPos val="r"/>
      <c:legendEntry>
        <c:idx val="1"/>
        <c:delete val="1"/>
      </c:legendEntry>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12</xdr:row>
      <xdr:rowOff>66675</xdr:rowOff>
    </xdr:from>
    <xdr:to>
      <xdr:col>1</xdr:col>
      <xdr:colOff>1409700</xdr:colOff>
      <xdr:row>19</xdr:row>
      <xdr:rowOff>28575</xdr:rowOff>
    </xdr:to>
    <xdr:pic>
      <xdr:nvPicPr>
        <xdr:cNvPr id="2" name="Picture 1">
          <a:extLst>
            <a:ext uri="{FF2B5EF4-FFF2-40B4-BE49-F238E27FC236}">
              <a16:creationId xmlns:a16="http://schemas.microsoft.com/office/drawing/2014/main" id="{C1F10823-BD27-4EEE-B706-0F5084E303E9}"/>
            </a:ext>
            <a:ext uri="{147F2762-F138-4A5C-976F-8EAC2B608ADB}">
              <a16:predDERef xmlns:a16="http://schemas.microsoft.com/office/drawing/2014/main" pred="{30406E00-122E-CB35-0CB1-883F446EF59B}"/>
            </a:ext>
          </a:extLst>
        </xdr:cNvPr>
        <xdr:cNvPicPr>
          <a:picLocks noChangeAspect="1"/>
        </xdr:cNvPicPr>
      </xdr:nvPicPr>
      <xdr:blipFill>
        <a:blip xmlns:r="http://schemas.openxmlformats.org/officeDocument/2006/relationships" r:embed="rId1"/>
        <a:stretch>
          <a:fillRect/>
        </a:stretch>
      </xdr:blipFill>
      <xdr:spPr>
        <a:xfrm>
          <a:off x="638175" y="2800350"/>
          <a:ext cx="1381125" cy="1323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359092</xdr:colOff>
      <xdr:row>43</xdr:row>
      <xdr:rowOff>102869</xdr:rowOff>
    </xdr:from>
    <xdr:to>
      <xdr:col>6</xdr:col>
      <xdr:colOff>1115378</xdr:colOff>
      <xdr:row>67</xdr:row>
      <xdr:rowOff>127462</xdr:rowOff>
    </xdr:to>
    <xdr:graphicFrame macro="">
      <xdr:nvGraphicFramePr>
        <xdr:cNvPr id="5" name="Chart 1">
          <a:extLst>
            <a:ext uri="{FF2B5EF4-FFF2-40B4-BE49-F238E27FC236}">
              <a16:creationId xmlns:a16="http://schemas.microsoft.com/office/drawing/2014/main" id="{8EDA91AE-1CF2-4145-826C-37CFF7FD3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600075</xdr:colOff>
      <xdr:row>2</xdr:row>
      <xdr:rowOff>0</xdr:rowOff>
    </xdr:from>
    <xdr:to>
      <xdr:col>21</xdr:col>
      <xdr:colOff>1238250</xdr:colOff>
      <xdr:row>5</xdr:row>
      <xdr:rowOff>161925</xdr:rowOff>
    </xdr:to>
    <xdr:sp macro="" textlink="">
      <xdr:nvSpPr>
        <xdr:cNvPr id="2" name="Button 1" hidden="1">
          <a:extLst>
            <a:ext uri="{63B3BB69-23CF-44E3-9099-C40C66FF867C}">
              <a14:compatExt xmlns:a14="http://schemas.microsoft.com/office/drawing/2010/main" spid="_x0000_s3073"/>
            </a:ext>
            <a:ext uri="{FF2B5EF4-FFF2-40B4-BE49-F238E27FC236}">
              <a16:creationId xmlns:a16="http://schemas.microsoft.com/office/drawing/2014/main" id="{7A5DE0DE-A06A-44DD-BE99-A65C2CBCCA03}"/>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twoCellAnchor>
    <xdr:from>
      <xdr:col>18</xdr:col>
      <xdr:colOff>600075</xdr:colOff>
      <xdr:row>2</xdr:row>
      <xdr:rowOff>0</xdr:rowOff>
    </xdr:from>
    <xdr:to>
      <xdr:col>21</xdr:col>
      <xdr:colOff>1238250</xdr:colOff>
      <xdr:row>5</xdr:row>
      <xdr:rowOff>161925</xdr:rowOff>
    </xdr:to>
    <xdr:sp macro="" textlink="">
      <xdr:nvSpPr>
        <xdr:cNvPr id="5" name="Button 1" hidden="1">
          <a:extLst>
            <a:ext uri="{63B3BB69-23CF-44E3-9099-C40C66FF867C}">
              <a14:compatExt xmlns:a14="http://schemas.microsoft.com/office/drawing/2010/main" spid="_x0000_s3073"/>
            </a:ext>
            <a:ext uri="{FF2B5EF4-FFF2-40B4-BE49-F238E27FC236}">
              <a16:creationId xmlns:a16="http://schemas.microsoft.com/office/drawing/2014/main" id="{420663BF-38B9-440B-A86B-C44CC2BC3782}"/>
            </a:ext>
          </a:extLst>
        </xdr:cNvPr>
        <xdr:cNvSpPr/>
      </xdr:nvSpPr>
      <xdr:spPr bwMode="auto">
        <a:xfrm>
          <a:off x="13808075" y="374650"/>
          <a:ext cx="2435225" cy="542925"/>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Click here to autofill respirator APF and glove PF values.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324972</xdr:colOff>
      <xdr:row>32</xdr:row>
      <xdr:rowOff>21162</xdr:rowOff>
    </xdr:from>
    <xdr:to>
      <xdr:col>8</xdr:col>
      <xdr:colOff>836632</xdr:colOff>
      <xdr:row>52</xdr:row>
      <xdr:rowOff>91553</xdr:rowOff>
    </xdr:to>
    <xdr:graphicFrame macro="">
      <xdr:nvGraphicFramePr>
        <xdr:cNvPr id="2" name="Chart 1">
          <a:extLst>
            <a:ext uri="{FF2B5EF4-FFF2-40B4-BE49-F238E27FC236}">
              <a16:creationId xmlns:a16="http://schemas.microsoft.com/office/drawing/2014/main" id="{8CB4247C-332E-4763-97FF-EFEB2DD09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51593</xdr:colOff>
      <xdr:row>1</xdr:row>
      <xdr:rowOff>0</xdr:rowOff>
    </xdr:from>
    <xdr:to>
      <xdr:col>5</xdr:col>
      <xdr:colOff>690561</xdr:colOff>
      <xdr:row>4</xdr:row>
      <xdr:rowOff>166687</xdr:rowOff>
    </xdr:to>
    <xdr:sp macro="" textlink="">
      <xdr:nvSpPr>
        <xdr:cNvPr id="4" name="TextBox 3">
          <a:extLst>
            <a:ext uri="{FF2B5EF4-FFF2-40B4-BE49-F238E27FC236}">
              <a16:creationId xmlns:a16="http://schemas.microsoft.com/office/drawing/2014/main" id="{2C23DA81-FB55-437E-9302-C2E02213CA4A}"/>
            </a:ext>
          </a:extLst>
        </xdr:cNvPr>
        <xdr:cNvSpPr txBox="1"/>
      </xdr:nvSpPr>
      <xdr:spPr>
        <a:xfrm>
          <a:off x="206374" y="166688"/>
          <a:ext cx="3341687" cy="98821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900" b="1"/>
            <a:t>Key</a:t>
          </a:r>
          <a:endParaRPr lang="en-US" sz="900"/>
        </a:p>
        <a:p>
          <a:r>
            <a:rPr lang="en-US" sz="900"/>
            <a:t>             =  </a:t>
          </a:r>
          <a:r>
            <a:rPr lang="en-US" sz="900">
              <a:solidFill>
                <a:srgbClr val="FF0000"/>
              </a:solidFill>
            </a:rPr>
            <a:t>Risk</a:t>
          </a:r>
          <a:r>
            <a:rPr lang="en-US" sz="900"/>
            <a:t>.  </a:t>
          </a:r>
          <a:r>
            <a:rPr lang="en-US" sz="900" baseline="0"/>
            <a:t>       </a:t>
          </a:r>
          <a:r>
            <a:rPr lang="en-US" sz="900" i="1"/>
            <a:t>MOE</a:t>
          </a:r>
          <a:r>
            <a:rPr lang="en-US" sz="900" i="1" baseline="-25000"/>
            <a:t>acute or chronic</a:t>
          </a:r>
          <a:r>
            <a:rPr lang="en-US" sz="900" i="1" baseline="0"/>
            <a:t> &lt; MOE</a:t>
          </a:r>
          <a:r>
            <a:rPr lang="en-US" sz="900" i="1" baseline="-25000"/>
            <a:t>benchmark</a:t>
          </a:r>
          <a:endParaRPr lang="en-US" sz="900" i="0" baseline="0"/>
        </a:p>
        <a:p>
          <a:r>
            <a:rPr lang="en-US" sz="900" i="0" baseline="0"/>
            <a:t>                                  </a:t>
          </a:r>
          <a:r>
            <a:rPr lang="en-US" sz="900" i="1" baseline="0"/>
            <a:t>Cancer Risk &gt; Benchmark Cancer Risk Level</a:t>
          </a:r>
        </a:p>
        <a:p>
          <a:endParaRPr lang="en-US" sz="900" i="1" baseline="0"/>
        </a:p>
        <a:p>
          <a:pPr marL="0" marR="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mn-lt"/>
              <a:ea typeface="+mn-ea"/>
              <a:cs typeface="+mn-cs"/>
            </a:rPr>
            <a:t>             =  </a:t>
          </a:r>
          <a:r>
            <a:rPr lang="en-US" sz="900">
              <a:solidFill>
                <a:srgbClr val="339933"/>
              </a:solidFill>
              <a:latin typeface="+mn-lt"/>
              <a:ea typeface="+mn-ea"/>
              <a:cs typeface="+mn-cs"/>
            </a:rPr>
            <a:t>No Risk</a:t>
          </a:r>
          <a:r>
            <a:rPr lang="en-US" sz="900">
              <a:solidFill>
                <a:schemeClr val="dk1"/>
              </a:solidFill>
              <a:latin typeface="+mn-lt"/>
              <a:ea typeface="+mn-ea"/>
              <a:cs typeface="+mn-cs"/>
            </a:rPr>
            <a:t>.   </a:t>
          </a:r>
          <a:r>
            <a:rPr lang="en-US" sz="900" i="1">
              <a:solidFill>
                <a:schemeClr val="dk1"/>
              </a:solidFill>
              <a:latin typeface="+mn-lt"/>
              <a:ea typeface="+mn-ea"/>
              <a:cs typeface="+mn-cs"/>
            </a:rPr>
            <a:t>MOE</a:t>
          </a:r>
          <a:r>
            <a:rPr lang="en-US" sz="900" i="1" baseline="-25000">
              <a:solidFill>
                <a:schemeClr val="dk1"/>
              </a:solidFill>
              <a:latin typeface="+mn-lt"/>
              <a:ea typeface="+mn-ea"/>
              <a:cs typeface="+mn-cs"/>
            </a:rPr>
            <a:t>acute or chronic</a:t>
          </a:r>
          <a:r>
            <a:rPr lang="en-US" sz="900" i="1" baseline="0">
              <a:solidFill>
                <a:schemeClr val="dk1"/>
              </a:solidFill>
              <a:latin typeface="+mn-lt"/>
              <a:ea typeface="+mn-ea"/>
              <a:cs typeface="+mn-cs"/>
            </a:rPr>
            <a:t> ≥ MOE</a:t>
          </a:r>
          <a:r>
            <a:rPr lang="en-US" sz="900" i="1" baseline="-25000">
              <a:solidFill>
                <a:schemeClr val="dk1"/>
              </a:solidFill>
              <a:latin typeface="+mn-lt"/>
              <a:ea typeface="+mn-ea"/>
              <a:cs typeface="+mn-cs"/>
            </a:rPr>
            <a:t>benchmark</a:t>
          </a:r>
          <a:endParaRPr lang="en-US" sz="900" i="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900" i="0" baseline="0">
              <a:solidFill>
                <a:schemeClr val="dk1"/>
              </a:solidFill>
              <a:latin typeface="+mn-lt"/>
              <a:ea typeface="+mn-ea"/>
              <a:cs typeface="+mn-cs"/>
            </a:rPr>
            <a:t>                                  </a:t>
          </a:r>
          <a:r>
            <a:rPr lang="en-US" sz="900" i="1" baseline="0">
              <a:solidFill>
                <a:schemeClr val="dk1"/>
              </a:solidFill>
              <a:latin typeface="+mn-lt"/>
              <a:ea typeface="+mn-ea"/>
              <a:cs typeface="+mn-cs"/>
            </a:rPr>
            <a:t>Cancer Risk ≤ Benchmark Cancer Risk Level</a:t>
          </a:r>
          <a:endParaRPr lang="en-US" sz="900" i="1">
            <a:solidFill>
              <a:schemeClr val="dk1"/>
            </a:solidFill>
            <a:latin typeface="+mn-lt"/>
            <a:ea typeface="+mn-ea"/>
            <a:cs typeface="+mn-cs"/>
          </a:endParaRPr>
        </a:p>
      </xdr:txBody>
    </xdr:sp>
    <xdr:clientData/>
  </xdr:twoCellAnchor>
  <xdr:twoCellAnchor>
    <xdr:from>
      <xdr:col>8</xdr:col>
      <xdr:colOff>1042147</xdr:colOff>
      <xdr:row>32</xdr:row>
      <xdr:rowOff>22412</xdr:rowOff>
    </xdr:from>
    <xdr:to>
      <xdr:col>15</xdr:col>
      <xdr:colOff>831139</xdr:colOff>
      <xdr:row>52</xdr:row>
      <xdr:rowOff>100423</xdr:rowOff>
    </xdr:to>
    <xdr:graphicFrame macro="">
      <xdr:nvGraphicFramePr>
        <xdr:cNvPr id="5" name="Chart 4">
          <a:extLst>
            <a:ext uri="{FF2B5EF4-FFF2-40B4-BE49-F238E27FC236}">
              <a16:creationId xmlns:a16="http://schemas.microsoft.com/office/drawing/2014/main" id="{D4614090-6C3D-4657-B5A8-35559A9E0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EB\ExistingChems\Work%20Plan%20Chemicals\2nd%20Batch\Chlorinated%20Solvents\Dermal\1,1-DCA\1,1-DCA%20Dermal%20Monte%20Carlo_2025.01.28_10%25_Dilute%20Wa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DCM\Risk%20Evaluation\2018.03%20-%20TD14%20-%20Risk%20Evaluation\Current%20Drafts\Methylene%20Chloride%20Calcs_2018.11.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PERC\Risk%20Evaluation\Engineering%20Assessment\Calculation%20Spreadsheets\PCE%20Exposure%20Data%20Summary_work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Spiezio\Desktop\2016\2016%20TRI%20Data%20for%2010%20Work%20Plan%20Chemicals_2017.08.06%20-%20Copy.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Chlorinated%20Solvents/1,1-Dichloroethane%20(priority%201)/RE%20Documents/Supplemental%20Files/HERO%20and%20HEROnet%20Files/HERO/27.%201%201%20Dichloroethane%20.%20Draft%20TRV%20Calculator%20.%20Public%20Release%20.%20HERO%20.%20July%202024.xlsm" TargetMode="External"/><Relationship Id="rId2" Type="http://schemas.microsoft.com/office/2019/04/relationships/externalLinkLongPath" Target="27.%201%201%20Dichloroethane%20.%20Draft%20TRV%20Calculator%20.%20Public%20Release%20.%20HERO%20.%20July%202024.xlsm?FE503FAA" TargetMode="External"/><Relationship Id="rId1" Type="http://schemas.openxmlformats.org/officeDocument/2006/relationships/externalLinkPath" Target="file:///\\FE503FAA\27.%201%201%20Dichloroethane%20.%20Draft%20TRV%20Calculator%20.%20Public%20Release%20.%20HERO%20.%20July%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osure Calc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ICS"/>
      <sheetName val="STEL Subset Corrected"/>
      <sheetName val=" TWA Subset Corrected"/>
      <sheetName val="1A-Adhesives"/>
      <sheetName val="1A-Paints and Coatings"/>
      <sheetName val="1A-PU Foam"/>
      <sheetName val="1 - Cold Cleaning"/>
      <sheetName val="1 - Adhes Rem"/>
      <sheetName val="1 - Spot Cleaning"/>
      <sheetName val="1 - Furniture Stripping"/>
      <sheetName val="2 - MFG"/>
      <sheetName val="MFG_8-hr_HSIA"/>
      <sheetName val="2 - Import"/>
      <sheetName val="2 - PROC-Rxn"/>
      <sheetName val="Proc-Rxn_HSIA"/>
      <sheetName val="2 - PROC-Form"/>
      <sheetName val="2 -Sign Manufacturing"/>
      <sheetName val="2 - Fabric Finishing"/>
      <sheetName val="2 - Laboratory"/>
      <sheetName val="2 - Plastic Mfg"/>
      <sheetName val="Plastics_HSIA"/>
      <sheetName val="2 - CTA Film"/>
      <sheetName val="2 - Printing"/>
      <sheetName val="2 - Pharm"/>
      <sheetName val="2 - Other Comm"/>
      <sheetName val="Strip-Automotive Refinish"/>
      <sheetName val="Strip-Art"/>
      <sheetName val="Strip-Aircraft"/>
      <sheetName val="Strip-Ship"/>
      <sheetName val="Summary 8-hr"/>
      <sheetName val="Summary 8-hr_Stripper"/>
      <sheetName val="Summary -Short Term"/>
      <sheetName val="1 - Spot Cleaning_PERC"/>
      <sheetName val="Cleaning Solvent"/>
      <sheetName val="Unknown"/>
      <sheetName val="Working Data Sheet"/>
      <sheetName val="Auto and Machine Repair"/>
      <sheetName val="Stripping-Not Incl"/>
      <sheetName val="Constants"/>
      <sheetName val="Version"/>
      <sheetName val="Data Extraction"/>
      <sheetName val="Source List from PF"/>
      <sheetName val="Facility Data"/>
      <sheetName val="Exposure Data"/>
      <sheetName val="Release Data"/>
      <sheetName val="Values"/>
      <sheetName val="Duplicates - Not Extracted"/>
      <sheetName val="NA"/>
      <sheetName val="Data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1">
          <cell r="C11">
            <v>8</v>
          </cell>
        </row>
        <row r="12">
          <cell r="C12">
            <v>8</v>
          </cell>
        </row>
        <row r="13">
          <cell r="C13">
            <v>250</v>
          </cell>
        </row>
        <row r="14">
          <cell r="C14">
            <v>31</v>
          </cell>
        </row>
        <row r="15">
          <cell r="C15">
            <v>40</v>
          </cell>
        </row>
        <row r="17">
          <cell r="C17">
            <v>271560</v>
          </cell>
        </row>
        <row r="18">
          <cell r="C18">
            <v>350400</v>
          </cell>
        </row>
        <row r="19">
          <cell r="C19">
            <v>683280</v>
          </cell>
        </row>
      </sheetData>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6">
          <cell r="C6">
            <v>250</v>
          </cell>
        </row>
        <row r="7">
          <cell r="C7">
            <v>40</v>
          </cell>
        </row>
        <row r="8">
          <cell r="C8">
            <v>31</v>
          </cell>
        </row>
        <row r="10">
          <cell r="C10">
            <v>350400</v>
          </cell>
        </row>
        <row r="11">
          <cell r="C11">
            <v>271560</v>
          </cell>
        </row>
        <row r="12">
          <cell r="C12">
            <v>683280</v>
          </cell>
        </row>
        <row r="16">
          <cell r="C16">
            <v>8</v>
          </cell>
        </row>
        <row r="17">
          <cell r="C17">
            <v>8</v>
          </cell>
        </row>
        <row r="18">
          <cell r="C18">
            <v>12</v>
          </cell>
        </row>
        <row r="19">
          <cell r="C19">
            <v>293</v>
          </cell>
        </row>
        <row r="20">
          <cell r="C20">
            <v>258</v>
          </cell>
        </row>
        <row r="21">
          <cell r="C21">
            <v>40</v>
          </cell>
        </row>
        <row r="22">
          <cell r="C22">
            <v>31</v>
          </cell>
        </row>
        <row r="24">
          <cell r="C24">
            <v>350400</v>
          </cell>
        </row>
        <row r="25">
          <cell r="C25">
            <v>271560</v>
          </cell>
        </row>
        <row r="26">
          <cell r="C26">
            <v>683280</v>
          </cell>
        </row>
      </sheetData>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Table 1_2016v15"/>
      <sheetName val="TRI Table 3a_2015v15"/>
      <sheetName val="TRI Table 3b_2015v15"/>
      <sheetName val="Table 2"/>
      <sheetName val="Table 1_Scoping"/>
      <sheetName val="Chemicals"/>
      <sheetName val="2012 NAIC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ssword"/>
      <sheetName val="Cover Page"/>
      <sheetName val="READ ME"/>
      <sheetName val="Effect Type&amp;Measure-Resp Site"/>
      <sheetName val="Unit Conversions - IR - BW"/>
      <sheetName val="Data Entry"/>
      <sheetName val="Calculator"/>
      <sheetName val="Figure"/>
      <sheetName val="TRV Derivation"/>
      <sheetName val="Default BW IR-Formatted by age"/>
      <sheetName val="Default BW IR-Formatted by LS"/>
      <sheetName val="Index"/>
      <sheetName val="For Figure"/>
      <sheetName val="For Figure by EG"/>
      <sheetName val="For Figure Labe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090CF-F2B9-4560-91D3-73AE8E2072F0}">
  <dimension ref="A1:B21"/>
  <sheetViews>
    <sheetView showGridLines="0" tabSelected="1" zoomScaleNormal="100" workbookViewId="0"/>
  </sheetViews>
  <sheetFormatPr defaultRowHeight="15" x14ac:dyDescent="0.25"/>
  <cols>
    <col min="2" max="2" width="193.140625" bestFit="1" customWidth="1"/>
  </cols>
  <sheetData>
    <row r="1" spans="1:2" ht="15.75" x14ac:dyDescent="0.25">
      <c r="A1" s="436"/>
      <c r="B1" s="430"/>
    </row>
    <row r="2" spans="1:2" ht="18.75" x14ac:dyDescent="0.3">
      <c r="A2" s="430"/>
      <c r="B2" s="437"/>
    </row>
    <row r="3" spans="1:2" ht="18.75" x14ac:dyDescent="0.3">
      <c r="A3" s="430"/>
      <c r="B3" s="438"/>
    </row>
    <row r="4" spans="1:2" ht="15.75" x14ac:dyDescent="0.25">
      <c r="A4" s="430"/>
      <c r="B4" s="430"/>
    </row>
    <row r="5" spans="1:2" ht="22.5" x14ac:dyDescent="0.3">
      <c r="A5" s="430"/>
      <c r="B5" s="431" t="s">
        <v>0</v>
      </c>
    </row>
    <row r="6" spans="1:2" ht="15.75" x14ac:dyDescent="0.25">
      <c r="A6" s="430"/>
    </row>
    <row r="7" spans="1:2" ht="20.25" x14ac:dyDescent="0.3">
      <c r="A7" s="430"/>
      <c r="B7" s="432" t="s">
        <v>1</v>
      </c>
    </row>
    <row r="8" spans="1:2" ht="15.75" x14ac:dyDescent="0.25">
      <c r="A8" s="430"/>
    </row>
    <row r="9" spans="1:2" ht="20.25" x14ac:dyDescent="0.3">
      <c r="A9" s="430"/>
      <c r="B9" s="433" t="s">
        <v>2</v>
      </c>
    </row>
    <row r="10" spans="1:2" ht="15.75" x14ac:dyDescent="0.25">
      <c r="A10" s="430"/>
    </row>
    <row r="11" spans="1:2" ht="20.25" x14ac:dyDescent="0.25">
      <c r="A11" s="430"/>
      <c r="B11" s="434" t="s">
        <v>3</v>
      </c>
    </row>
    <row r="12" spans="1:2" ht="15.75" x14ac:dyDescent="0.25">
      <c r="A12" s="430"/>
      <c r="B12" s="430"/>
    </row>
    <row r="13" spans="1:2" ht="15.75" x14ac:dyDescent="0.25">
      <c r="A13" s="430"/>
    </row>
    <row r="14" spans="1:2" ht="15.75" x14ac:dyDescent="0.25">
      <c r="A14" s="430"/>
    </row>
    <row r="15" spans="1:2" ht="15.75" x14ac:dyDescent="0.25">
      <c r="A15" s="430"/>
    </row>
    <row r="21" spans="2:2" ht="15.75" x14ac:dyDescent="0.25">
      <c r="B21" s="435"/>
    </row>
  </sheetData>
  <sheetProtection sheet="1" objects="1" scenarios="1" formatCells="0" formatColumns="0" formatRows="0"/>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DFA29-5DDB-4018-BDB5-BC28E8281DEA}">
  <dimension ref="B2:AG34"/>
  <sheetViews>
    <sheetView zoomScale="80" zoomScaleNormal="80" workbookViewId="0"/>
  </sheetViews>
  <sheetFormatPr defaultColWidth="9.140625" defaultRowHeight="12.75" x14ac:dyDescent="0.2"/>
  <cols>
    <col min="1" max="1" width="2.5703125" style="17" customWidth="1"/>
    <col min="2" max="2" width="15.140625" style="17" customWidth="1"/>
    <col min="3" max="3" width="65.5703125" style="15" customWidth="1"/>
    <col min="4" max="4" width="12.85546875" style="17" customWidth="1"/>
    <col min="5" max="5" width="13.5703125" style="17" bestFit="1" customWidth="1"/>
    <col min="6" max="7" width="13.5703125" style="17" customWidth="1"/>
    <col min="8" max="8" width="13.28515625" style="17" bestFit="1" customWidth="1"/>
    <col min="9" max="9" width="14.140625" style="17" bestFit="1" customWidth="1"/>
    <col min="10" max="13" width="14.140625" style="17" customWidth="1"/>
    <col min="14" max="14" width="13.28515625" style="17" bestFit="1" customWidth="1"/>
    <col min="15" max="15" width="14.140625" style="17" bestFit="1" customWidth="1"/>
    <col min="16" max="16" width="13.28515625" style="17" customWidth="1"/>
    <col min="17" max="17" width="14.140625" style="17" customWidth="1"/>
    <col min="18" max="18" width="11.5703125" style="15" customWidth="1"/>
    <col min="19" max="19" width="19.28515625" style="15" bestFit="1" customWidth="1"/>
    <col min="20" max="20" width="49.85546875" style="17" bestFit="1" customWidth="1"/>
    <col min="21" max="21" width="70.140625" style="17" customWidth="1"/>
    <col min="22" max="22" width="21" style="17" customWidth="1"/>
    <col min="23" max="23" width="27.28515625" style="17" bestFit="1" customWidth="1"/>
    <col min="24" max="24" width="16.5703125" style="17" customWidth="1"/>
    <col min="25" max="25" width="56.140625" style="17" customWidth="1"/>
    <col min="26" max="26" width="19.28515625" style="17" customWidth="1"/>
    <col min="27" max="27" width="10" style="17" bestFit="1" customWidth="1"/>
    <col min="28" max="28" width="19.42578125" style="17" customWidth="1"/>
    <col min="29" max="29" width="17.42578125" style="17" customWidth="1"/>
    <col min="30" max="30" width="9.140625" style="17"/>
    <col min="31" max="31" width="72.5703125" style="17" customWidth="1"/>
    <col min="32" max="32" width="23.7109375" style="17" customWidth="1"/>
    <col min="33" max="35" width="9.140625" style="17"/>
    <col min="36" max="36" width="52.42578125" style="17" bestFit="1" customWidth="1"/>
    <col min="37" max="37" width="10.7109375" style="17" customWidth="1"/>
    <col min="38" max="43" width="9.140625" style="17"/>
    <col min="44" max="44" width="72.7109375" style="17" bestFit="1" customWidth="1"/>
    <col min="45" max="45" width="14.28515625" style="17" bestFit="1" customWidth="1"/>
    <col min="46" max="16384" width="9.140625" style="17"/>
  </cols>
  <sheetData>
    <row r="2" spans="2:33" ht="13.5" thickBot="1" x14ac:dyDescent="0.25"/>
    <row r="3" spans="2:33" ht="13.5" thickBot="1" x14ac:dyDescent="0.25">
      <c r="B3" s="84"/>
      <c r="C3" s="80"/>
      <c r="D3" s="80"/>
      <c r="E3" s="80"/>
      <c r="F3" s="883" t="s">
        <v>344</v>
      </c>
      <c r="G3" s="884"/>
      <c r="H3" s="886" t="s">
        <v>345</v>
      </c>
      <c r="I3" s="887"/>
      <c r="J3" s="886" t="s">
        <v>82</v>
      </c>
      <c r="K3" s="887"/>
      <c r="L3" s="886" t="s">
        <v>83</v>
      </c>
      <c r="M3" s="887"/>
      <c r="N3" s="886" t="s">
        <v>84</v>
      </c>
      <c r="O3" s="887"/>
      <c r="P3" s="886" t="s">
        <v>85</v>
      </c>
      <c r="Q3" s="887"/>
      <c r="R3" s="362"/>
      <c r="S3" s="85"/>
      <c r="T3" s="80"/>
      <c r="U3" s="81"/>
      <c r="V3" s="48"/>
    </row>
    <row r="4" spans="2:33" x14ac:dyDescent="0.2">
      <c r="B4" s="84"/>
      <c r="C4" s="80"/>
      <c r="D4" s="80"/>
      <c r="E4" s="80"/>
      <c r="F4" s="883" t="s">
        <v>346</v>
      </c>
      <c r="G4" s="885"/>
      <c r="H4" s="888" t="s">
        <v>347</v>
      </c>
      <c r="I4" s="889"/>
      <c r="J4" s="890" t="s">
        <v>348</v>
      </c>
      <c r="K4" s="889"/>
      <c r="L4" s="890" t="s">
        <v>349</v>
      </c>
      <c r="M4" s="889"/>
      <c r="N4" s="890" t="s">
        <v>349</v>
      </c>
      <c r="O4" s="889"/>
      <c r="P4" s="890" t="s">
        <v>350</v>
      </c>
      <c r="Q4" s="889"/>
      <c r="R4" s="363"/>
      <c r="S4" s="86"/>
      <c r="T4" s="82"/>
      <c r="U4" s="83"/>
      <c r="W4" s="33"/>
      <c r="X4" s="33"/>
      <c r="Y4" s="33"/>
      <c r="Z4" s="33"/>
      <c r="AA4" s="49"/>
      <c r="AB4" s="32"/>
      <c r="AD4" s="32"/>
      <c r="AE4" s="891"/>
      <c r="AF4" s="891"/>
      <c r="AG4" s="892"/>
    </row>
    <row r="5" spans="2:33" ht="26.25" thickBot="1" x14ac:dyDescent="0.25">
      <c r="B5" s="346" t="s">
        <v>351</v>
      </c>
      <c r="C5" s="347" t="s">
        <v>71</v>
      </c>
      <c r="D5" s="347" t="s">
        <v>79</v>
      </c>
      <c r="E5" s="347" t="s">
        <v>352</v>
      </c>
      <c r="F5" s="348" t="s">
        <v>98</v>
      </c>
      <c r="G5" s="369" t="s">
        <v>101</v>
      </c>
      <c r="H5" s="471" t="s">
        <v>98</v>
      </c>
      <c r="I5" s="369" t="s">
        <v>101</v>
      </c>
      <c r="J5" s="368" t="s">
        <v>98</v>
      </c>
      <c r="K5" s="369" t="s">
        <v>101</v>
      </c>
      <c r="L5" s="368" t="s">
        <v>98</v>
      </c>
      <c r="M5" s="369" t="s">
        <v>101</v>
      </c>
      <c r="N5" s="368" t="s">
        <v>98</v>
      </c>
      <c r="O5" s="369" t="s">
        <v>101</v>
      </c>
      <c r="P5" s="368" t="s">
        <v>98</v>
      </c>
      <c r="Q5" s="369" t="s">
        <v>101</v>
      </c>
      <c r="R5" s="364" t="s">
        <v>353</v>
      </c>
      <c r="S5" s="347" t="s">
        <v>354</v>
      </c>
      <c r="T5" s="347" t="s">
        <v>355</v>
      </c>
      <c r="U5" s="349" t="s">
        <v>356</v>
      </c>
      <c r="W5" s="33"/>
      <c r="X5" s="33"/>
      <c r="Y5" s="33"/>
      <c r="Z5" s="33"/>
      <c r="AA5" s="49"/>
      <c r="AB5" s="33"/>
      <c r="AD5" s="33"/>
      <c r="AE5" s="891"/>
      <c r="AF5" s="891"/>
      <c r="AG5" s="892"/>
    </row>
    <row r="6" spans="2:33" ht="27.95" customHeight="1" x14ac:dyDescent="0.2">
      <c r="B6" s="356" t="s">
        <v>166</v>
      </c>
      <c r="C6" s="458" t="s">
        <v>321</v>
      </c>
      <c r="D6" s="412" t="s">
        <v>97</v>
      </c>
      <c r="E6" s="413" t="s">
        <v>357</v>
      </c>
      <c r="F6" s="413">
        <v>250</v>
      </c>
      <c r="G6" s="472">
        <v>250</v>
      </c>
      <c r="H6" s="591">
        <v>0.73438333333333339</v>
      </c>
      <c r="I6" s="592">
        <v>7.8018749999999998E-3</v>
      </c>
      <c r="J6" s="589">
        <f t="shared" ref="J6:J32" si="0">IF(H6&lt;&gt;"-", H6*ED_8/AT_AC*Breathing_Ratio,"-")</f>
        <v>0.4995804988662132</v>
      </c>
      <c r="K6" s="589">
        <f t="shared" ref="K6:K32" si="1">IF(I6&lt;&gt;"-", I6*ED_8/AT_AC*Breathing_Ratio,"-")</f>
        <v>5.3073979591836736E-3</v>
      </c>
      <c r="L6" s="590">
        <f t="shared" ref="L6:L32" si="2">IF(H6&lt;&gt;"-", IF(F6&gt;=EF_ST, H6*ED_8*EF_ST/AT_ADC_ST*Breathing_Ratio, H6*ED_8*F6/AT_ADC_ST*Breathing_Ratio),"-")</f>
        <v>0.36635903250188973</v>
      </c>
      <c r="M6" s="588">
        <f t="shared" ref="M6:M32" si="3">IF(I6&lt;&gt;"-", IF(G6&gt;=EF_ST, I6*ED_8*EF_ST/AT_ADC_ST*Breathing_Ratio, I6*ED_8*G6/AT_ADC_ST*Breathing_Ratio),"-")</f>
        <v>3.892091836734694E-3</v>
      </c>
      <c r="N6" s="590">
        <f>IF(H6&lt;&gt;"-", H6*ED_8*F6*WY_high/AT_ADC_high*Breathing_Ratio,"-")</f>
        <v>0.34217842388096792</v>
      </c>
      <c r="O6" s="588">
        <f t="shared" ref="O6:O32" si="4">IF(I6&lt;&gt;"-", I6*ED_8*G6*WY_mid/AT_ADC_mid*Breathing_Ratio, "-")</f>
        <v>3.6352040816326533E-3</v>
      </c>
      <c r="P6" s="590">
        <f>IF(H6&lt;&gt;"-",H6*ED_8*F6*WY_high/AT_LADC*Breathing_Ratio,"-")</f>
        <v>0.17547611481075281</v>
      </c>
      <c r="Q6" s="588">
        <f t="shared" ref="Q6:Q32" si="5">IF(I6&lt;&gt;"-",I6*ED_8*G6*WY_mid/AT_LADC*Breathing_Ratio,"-")</f>
        <v>1.4447605965463108E-3</v>
      </c>
      <c r="R6" s="365"/>
      <c r="S6" s="357">
        <v>27</v>
      </c>
      <c r="T6" s="465" t="s">
        <v>358</v>
      </c>
      <c r="U6" s="604" t="s">
        <v>359</v>
      </c>
      <c r="W6" s="33"/>
      <c r="X6" s="33"/>
      <c r="Y6" s="33"/>
      <c r="Z6" s="33"/>
      <c r="AA6" s="49"/>
      <c r="AB6" s="28"/>
      <c r="AD6" s="33"/>
      <c r="AE6" s="891"/>
      <c r="AF6" s="891"/>
      <c r="AG6" s="892"/>
    </row>
    <row r="7" spans="2:33" ht="27.95" customHeight="1" x14ac:dyDescent="0.25">
      <c r="B7" s="209" t="s">
        <v>166</v>
      </c>
      <c r="C7" s="456" t="s">
        <v>321</v>
      </c>
      <c r="D7" s="52" t="s">
        <v>100</v>
      </c>
      <c r="E7" s="220" t="s">
        <v>357</v>
      </c>
      <c r="F7" s="220">
        <v>250</v>
      </c>
      <c r="G7" s="473">
        <v>250</v>
      </c>
      <c r="H7" s="591">
        <v>1.8389437499999987E-2</v>
      </c>
      <c r="I7" s="592">
        <v>1.7899999999999999E-3</v>
      </c>
      <c r="J7" s="593">
        <f t="shared" ref="J7" si="6">IF(H7&lt;&gt;"-", H7*ED_8/AT_AC*Breathing_Ratio,"-")</f>
        <v>1.2509821428571421E-2</v>
      </c>
      <c r="K7" s="593">
        <f t="shared" ref="K7" si="7">IF(I7&lt;&gt;"-", I7*ED_8/AT_AC*Breathing_Ratio,"-")</f>
        <v>1.217687074829932E-3</v>
      </c>
      <c r="L7" s="594">
        <f t="shared" ref="L7" si="8">IF(H7&lt;&gt;"-", IF(F7&gt;=EF_ST, H7*ED_8*EF_ST/AT_ADC_ST*Breathing_Ratio, H7*ED_8*F7/AT_ADC_ST*Breathing_Ratio),"-")</f>
        <v>9.1738690476190401E-3</v>
      </c>
      <c r="M7" s="592">
        <f t="shared" ref="M7" si="9">IF(I7&lt;&gt;"-", IF(G7&gt;=EF_ST, I7*ED_8*EF_ST/AT_ADC_ST*Breathing_Ratio, I7*ED_8*G7/AT_ADC_ST*Breathing_Ratio),"-")</f>
        <v>8.9297052154195013E-4</v>
      </c>
      <c r="N7" s="594">
        <f t="shared" ref="N7" si="10">IF(H7&lt;&gt;"-", H7*ED_8*F7*WY_high/AT_ADC_high*Breathing_Ratio,"-")</f>
        <v>8.5683708414872762E-3</v>
      </c>
      <c r="O7" s="592">
        <f t="shared" ref="O7" si="11">IF(I7&lt;&gt;"-", I7*ED_8*G7*WY_mid/AT_ADC_mid*Breathing_Ratio, "-")</f>
        <v>8.3403224303420004E-4</v>
      </c>
      <c r="P7" s="594">
        <f t="shared" ref="P7" si="12">IF(H7&lt;&gt;"-",H7*ED_8*F7*WY_high/AT_LADC*Breathing_Ratio,"-")</f>
        <v>4.3940363289678335E-3</v>
      </c>
      <c r="Q7" s="592">
        <f t="shared" ref="Q7" si="13">IF(I7&lt;&gt;"-",I7*ED_8*G7*WY_mid/AT_LADC*Breathing_Ratio,"-")</f>
        <v>3.3147435300077179E-4</v>
      </c>
      <c r="R7" s="366"/>
      <c r="S7" s="34">
        <v>7</v>
      </c>
      <c r="T7" s="456" t="s">
        <v>358</v>
      </c>
      <c r="U7" s="605" t="s">
        <v>359</v>
      </c>
      <c r="V7" s="51"/>
      <c r="W7" s="50"/>
      <c r="X7" s="50"/>
      <c r="Y7" s="50"/>
      <c r="Z7" s="27"/>
      <c r="AA7" s="29"/>
      <c r="AB7" s="30"/>
      <c r="AD7" s="30"/>
      <c r="AE7" s="29"/>
      <c r="AF7" s="31"/>
      <c r="AG7" s="29"/>
    </row>
    <row r="8" spans="2:33" ht="27.95" customHeight="1" x14ac:dyDescent="0.25">
      <c r="B8" s="409" t="s">
        <v>175</v>
      </c>
      <c r="C8" s="456" t="s">
        <v>322</v>
      </c>
      <c r="D8" s="52" t="s">
        <v>97</v>
      </c>
      <c r="E8" s="220" t="s">
        <v>357</v>
      </c>
      <c r="F8" s="220">
        <v>1</v>
      </c>
      <c r="G8" s="473">
        <v>1</v>
      </c>
      <c r="H8" s="591">
        <v>1.9249999999999998</v>
      </c>
      <c r="I8" s="592">
        <v>1.8670833333333332</v>
      </c>
      <c r="J8" s="593">
        <f t="shared" ref="J8" si="14">IF(H8&lt;&gt;"-", H8*ED_8/AT_AC*Breathing_Ratio,"-")</f>
        <v>1.3095238095238095</v>
      </c>
      <c r="K8" s="593">
        <f t="shared" ref="K8" si="15">IF(I8&lt;&gt;"-", I8*ED_8/AT_AC*Breathing_Ratio,"-")</f>
        <v>1.2701247165532878</v>
      </c>
      <c r="L8" s="594">
        <f t="shared" ref="L8" si="16">IF(H8&lt;&gt;"-", IF(F8&gt;=EF_ST, H8*ED_8*EF_ST/AT_ADC_ST*Breathing_Ratio, H8*ED_8*F8/AT_ADC_ST*Breathing_Ratio),"-")</f>
        <v>4.3650793650793648E-2</v>
      </c>
      <c r="M8" s="592">
        <f t="shared" ref="M8" si="17">IF(I8&lt;&gt;"-", IF(G8&gt;=EF_ST, I8*ED_8*EF_ST/AT_ADC_ST*Breathing_Ratio, I8*ED_8*G8/AT_ADC_ST*Breathing_Ratio),"-")</f>
        <v>4.2337490551776262E-2</v>
      </c>
      <c r="N8" s="625" t="s">
        <v>360</v>
      </c>
      <c r="O8" s="626" t="s">
        <v>360</v>
      </c>
      <c r="P8" s="625" t="s">
        <v>360</v>
      </c>
      <c r="Q8" s="626" t="s">
        <v>360</v>
      </c>
      <c r="R8" s="410"/>
      <c r="S8" s="34">
        <v>2</v>
      </c>
      <c r="T8" s="457" t="s">
        <v>358</v>
      </c>
      <c r="U8" s="606" t="s">
        <v>359</v>
      </c>
      <c r="V8" s="51"/>
      <c r="W8" s="50"/>
      <c r="X8" s="50"/>
      <c r="Y8" s="50"/>
      <c r="Z8" s="27"/>
      <c r="AA8" s="29"/>
      <c r="AB8" s="30"/>
      <c r="AD8" s="30"/>
      <c r="AE8" s="29"/>
      <c r="AF8" s="31"/>
      <c r="AG8" s="29"/>
    </row>
    <row r="9" spans="2:33" ht="27.95" customHeight="1" x14ac:dyDescent="0.2">
      <c r="B9" s="409" t="s">
        <v>177</v>
      </c>
      <c r="C9" s="457" t="s">
        <v>323</v>
      </c>
      <c r="D9" s="52" t="s">
        <v>97</v>
      </c>
      <c r="E9" s="220" t="s">
        <v>357</v>
      </c>
      <c r="F9" s="220">
        <v>250</v>
      </c>
      <c r="G9" s="474">
        <v>250</v>
      </c>
      <c r="H9" s="595">
        <v>0.41240937499999997</v>
      </c>
      <c r="I9" s="596">
        <v>7.9416666666666663E-2</v>
      </c>
      <c r="J9" s="597">
        <f t="shared" ref="J9:J13" si="18">IF(H9&lt;&gt;"-", H9*ED_8/AT_AC*Breathing_Ratio,"-")</f>
        <v>0.28055059523809522</v>
      </c>
      <c r="K9" s="597">
        <f t="shared" ref="K9:K13" si="19">IF(I9&lt;&gt;"-", I9*ED_8/AT_AC*Breathing_Ratio,"-")</f>
        <v>5.4024943310657596E-2</v>
      </c>
      <c r="L9" s="598">
        <f t="shared" ref="L9:L13" si="20">IF(H9&lt;&gt;"-", IF(F9&gt;=EF_ST, H9*ED_8*EF_ST/AT_ADC_ST*Breathing_Ratio, H9*ED_8*F9/AT_ADC_ST*Breathing_Ratio),"-")</f>
        <v>0.20573710317460317</v>
      </c>
      <c r="M9" s="596">
        <f t="shared" ref="M9:M13" si="21">IF(I9&lt;&gt;"-", IF(G9&gt;=EF_ST, I9*ED_8*EF_ST/AT_ADC_ST*Breathing_Ratio, I9*ED_8*G9/AT_ADC_ST*Breathing_Ratio),"-")</f>
        <v>3.9618291761148901E-2</v>
      </c>
      <c r="N9" s="598">
        <f>IF(H9&lt;&gt;"-", H9*ED_8*F9*WY_high/AT_ADC_high*Breathing_Ratio,"-")</f>
        <v>0.19215794194390085</v>
      </c>
      <c r="O9" s="596">
        <f t="shared" ref="O9:O13" si="22">IF(I9&lt;&gt;"-", I9*ED_8*G9*WY_mid/AT_ADC_mid*Breathing_Ratio, "-")</f>
        <v>3.7003385829217528E-2</v>
      </c>
      <c r="P9" s="598">
        <f>IF(H9&lt;&gt;"-",H9*ED_8*F9*WY_high/AT_LADC*Breathing_Ratio,"-")</f>
        <v>9.8542534330205572E-2</v>
      </c>
      <c r="Q9" s="596">
        <f t="shared" ref="Q9:Q13" si="23">IF(I9&lt;&gt;"-",I9*ED_8*G9*WY_mid/AT_LADC*Breathing_Ratio,"-")</f>
        <v>1.4706473855201839E-2</v>
      </c>
      <c r="R9" s="410"/>
      <c r="S9" s="411">
        <v>8</v>
      </c>
      <c r="T9" s="456" t="s">
        <v>358</v>
      </c>
      <c r="U9" s="605" t="s">
        <v>359</v>
      </c>
      <c r="W9" s="33"/>
      <c r="X9" s="33"/>
      <c r="Y9" s="33"/>
      <c r="Z9" s="33"/>
      <c r="AA9" s="49"/>
      <c r="AB9" s="28"/>
      <c r="AD9" s="33"/>
      <c r="AE9" s="663"/>
      <c r="AF9" s="663"/>
      <c r="AG9" s="664"/>
    </row>
    <row r="10" spans="2:33" ht="27.95" customHeight="1" x14ac:dyDescent="0.25">
      <c r="B10" s="209" t="s">
        <v>177</v>
      </c>
      <c r="C10" s="457" t="s">
        <v>323</v>
      </c>
      <c r="D10" s="52" t="s">
        <v>100</v>
      </c>
      <c r="E10" s="220" t="s">
        <v>357</v>
      </c>
      <c r="F10" s="220">
        <v>250</v>
      </c>
      <c r="G10" s="473">
        <v>250</v>
      </c>
      <c r="H10" s="595">
        <v>1.8389437499999987E-2</v>
      </c>
      <c r="I10" s="596">
        <v>1.7899999999999999E-3</v>
      </c>
      <c r="J10" s="593">
        <f t="shared" si="18"/>
        <v>1.2509821428571421E-2</v>
      </c>
      <c r="K10" s="593">
        <f t="shared" si="19"/>
        <v>1.217687074829932E-3</v>
      </c>
      <c r="L10" s="594">
        <f t="shared" si="20"/>
        <v>9.1738690476190401E-3</v>
      </c>
      <c r="M10" s="592">
        <f t="shared" si="21"/>
        <v>8.9297052154195013E-4</v>
      </c>
      <c r="N10" s="594">
        <f t="shared" ref="N10" si="24">IF(H10&lt;&gt;"-", H10*ED_8*F10*WY_high/AT_ADC_high*Breathing_Ratio,"-")</f>
        <v>8.5683708414872762E-3</v>
      </c>
      <c r="O10" s="592">
        <f t="shared" si="22"/>
        <v>8.3403224303420004E-4</v>
      </c>
      <c r="P10" s="594">
        <f t="shared" ref="P10" si="25">IF(H10&lt;&gt;"-",H10*ED_8*F10*WY_high/AT_LADC*Breathing_Ratio,"-")</f>
        <v>4.3940363289678335E-3</v>
      </c>
      <c r="Q10" s="592">
        <f t="shared" si="23"/>
        <v>3.3147435300077179E-4</v>
      </c>
      <c r="R10" s="366"/>
      <c r="S10" s="34">
        <v>7</v>
      </c>
      <c r="T10" s="456" t="s">
        <v>358</v>
      </c>
      <c r="U10" s="605" t="s">
        <v>359</v>
      </c>
      <c r="V10" s="51"/>
      <c r="W10" s="50"/>
      <c r="X10" s="50"/>
      <c r="Y10" s="50"/>
      <c r="Z10" s="27"/>
      <c r="AA10" s="29"/>
      <c r="AB10" s="30"/>
      <c r="AD10" s="30"/>
      <c r="AE10" s="29"/>
      <c r="AF10" s="31"/>
      <c r="AG10" s="29"/>
    </row>
    <row r="11" spans="2:33" ht="27.95" customHeight="1" x14ac:dyDescent="0.25">
      <c r="B11" s="409" t="s">
        <v>179</v>
      </c>
      <c r="C11" s="457" t="s">
        <v>324</v>
      </c>
      <c r="D11" s="52" t="s">
        <v>97</v>
      </c>
      <c r="E11" s="220" t="s">
        <v>357</v>
      </c>
      <c r="F11" s="220">
        <v>250</v>
      </c>
      <c r="G11" s="474">
        <v>250</v>
      </c>
      <c r="H11" s="595">
        <v>5.2537083333333333E-3</v>
      </c>
      <c r="I11" s="596">
        <v>2.8208333333333332E-3</v>
      </c>
      <c r="J11" s="597">
        <f t="shared" ref="J11:J12" si="26">IF(H11&lt;&gt;"-", H11*ED_8/AT_AC*Breathing_Ratio,"-")</f>
        <v>3.573951247165533E-3</v>
      </c>
      <c r="K11" s="597">
        <f t="shared" ref="K11:K12" si="27">IF(I11&lt;&gt;"-", I11*ED_8/AT_AC*Breathing_Ratio,"-")</f>
        <v>1.9189342403628116E-3</v>
      </c>
      <c r="L11" s="598">
        <f t="shared" ref="L11:L12" si="28">IF(H11&lt;&gt;"-", IF(F11&gt;=EF_ST, H11*ED_8*EF_ST/AT_ADC_ST*Breathing_Ratio, H11*ED_8*F11/AT_ADC_ST*Breathing_Ratio),"-")</f>
        <v>2.6208975812547241E-3</v>
      </c>
      <c r="M11" s="596">
        <f t="shared" ref="M11:M12" si="29">IF(I11&lt;&gt;"-", IF(G11&gt;=EF_ST, I11*ED_8*EF_ST/AT_ADC_ST*Breathing_Ratio, I11*ED_8*G11/AT_ADC_ST*Breathing_Ratio),"-")</f>
        <v>1.4072184429327287E-3</v>
      </c>
      <c r="N11" s="598">
        <f>IF(H11&lt;&gt;"-", H11*ED_8*F11*WY_high/AT_ADC_high*Breathing_Ratio,"-")</f>
        <v>2.4479118131270771E-3</v>
      </c>
      <c r="O11" s="596">
        <f t="shared" ref="O11:O12" si="30">IF(I11&lt;&gt;"-", I11*ED_8*G11*WY_mid/AT_ADC_mid*Breathing_Ratio, "-")</f>
        <v>1.3143385207964463E-3</v>
      </c>
      <c r="P11" s="598">
        <f>IF(H11&lt;&gt;"-",H11*ED_8*F11*WY_high/AT_LADC*Breathing_Ratio,"-")</f>
        <v>1.255339391347219E-3</v>
      </c>
      <c r="Q11" s="596">
        <f t="shared" ref="Q11:Q12" si="31">IF(I11&lt;&gt;"-",I11*ED_8*G11*WY_mid/AT_LADC*Breathing_Ratio,"-")</f>
        <v>5.2236530954730554E-4</v>
      </c>
      <c r="R11" s="410"/>
      <c r="S11" s="411">
        <v>9</v>
      </c>
      <c r="T11" s="456" t="s">
        <v>358</v>
      </c>
      <c r="U11" s="605" t="s">
        <v>359</v>
      </c>
      <c r="V11" s="51"/>
      <c r="W11" s="50"/>
      <c r="X11" s="50"/>
      <c r="Y11" s="50"/>
      <c r="Z11" s="27"/>
      <c r="AA11" s="29"/>
      <c r="AB11" s="30"/>
      <c r="AD11" s="30"/>
      <c r="AE11" s="29"/>
      <c r="AF11" s="31"/>
      <c r="AG11" s="29"/>
    </row>
    <row r="12" spans="2:33" ht="27.95" customHeight="1" x14ac:dyDescent="0.25">
      <c r="B12" s="209" t="s">
        <v>179</v>
      </c>
      <c r="C12" s="457" t="s">
        <v>324</v>
      </c>
      <c r="D12" s="52" t="s">
        <v>100</v>
      </c>
      <c r="E12" s="220" t="s">
        <v>357</v>
      </c>
      <c r="F12" s="220">
        <v>250</v>
      </c>
      <c r="G12" s="473">
        <v>250</v>
      </c>
      <c r="H12" s="595">
        <v>1.8389437499999987E-2</v>
      </c>
      <c r="I12" s="596">
        <v>1.7899999999999999E-3</v>
      </c>
      <c r="J12" s="593">
        <f t="shared" si="26"/>
        <v>1.2509821428571421E-2</v>
      </c>
      <c r="K12" s="593">
        <f t="shared" si="27"/>
        <v>1.217687074829932E-3</v>
      </c>
      <c r="L12" s="594">
        <f t="shared" si="28"/>
        <v>9.1738690476190401E-3</v>
      </c>
      <c r="M12" s="592">
        <f t="shared" si="29"/>
        <v>8.9297052154195013E-4</v>
      </c>
      <c r="N12" s="594">
        <f t="shared" ref="N12" si="32">IF(H12&lt;&gt;"-", H12*ED_8*F12*WY_high/AT_ADC_high*Breathing_Ratio,"-")</f>
        <v>8.5683708414872762E-3</v>
      </c>
      <c r="O12" s="592">
        <f t="shared" si="30"/>
        <v>8.3403224303420004E-4</v>
      </c>
      <c r="P12" s="594">
        <f t="shared" ref="P12" si="33">IF(H12&lt;&gt;"-",H12*ED_8*F12*WY_high/AT_LADC*Breathing_Ratio,"-")</f>
        <v>4.3940363289678335E-3</v>
      </c>
      <c r="Q12" s="592">
        <f t="shared" si="31"/>
        <v>3.3147435300077179E-4</v>
      </c>
      <c r="R12" s="366"/>
      <c r="S12" s="34">
        <v>7</v>
      </c>
      <c r="T12" s="456" t="s">
        <v>358</v>
      </c>
      <c r="U12" s="605" t="s">
        <v>359</v>
      </c>
      <c r="V12" s="51"/>
      <c r="W12" s="50"/>
      <c r="X12" s="50"/>
      <c r="Y12" s="50"/>
      <c r="Z12" s="27"/>
      <c r="AA12" s="29"/>
      <c r="AB12" s="30"/>
      <c r="AD12" s="30"/>
      <c r="AE12" s="29"/>
      <c r="AF12" s="31"/>
      <c r="AG12" s="29"/>
    </row>
    <row r="13" spans="2:33" ht="27.95" customHeight="1" x14ac:dyDescent="0.2">
      <c r="B13" s="409" t="s">
        <v>181</v>
      </c>
      <c r="C13" s="457" t="s">
        <v>326</v>
      </c>
      <c r="D13" s="52" t="s">
        <v>97</v>
      </c>
      <c r="E13" s="220" t="s">
        <v>357</v>
      </c>
      <c r="F13" s="220">
        <v>250</v>
      </c>
      <c r="G13" s="474">
        <v>250</v>
      </c>
      <c r="H13" s="595">
        <v>2.363199999999999E-2</v>
      </c>
      <c r="I13" s="596">
        <v>1.1333333333333334E-3</v>
      </c>
      <c r="J13" s="597">
        <f t="shared" si="18"/>
        <v>1.607619047619047E-2</v>
      </c>
      <c r="K13" s="597">
        <f t="shared" si="19"/>
        <v>7.7097505668934248E-4</v>
      </c>
      <c r="L13" s="598">
        <f t="shared" si="20"/>
        <v>1.1789206349206346E-2</v>
      </c>
      <c r="M13" s="596">
        <f t="shared" si="21"/>
        <v>5.6538170823885114E-4</v>
      </c>
      <c r="N13" s="598">
        <f>IF(H13&lt;&gt;"-", H13*ED_8*F13*WY_high/AT_ADC_high*Breathing_Ratio,"-")</f>
        <v>1.1011089367253748E-2</v>
      </c>
      <c r="O13" s="596">
        <f t="shared" si="22"/>
        <v>5.2806510732146745E-4</v>
      </c>
      <c r="P13" s="598">
        <f>IF(H13&lt;&gt;"-",H13*ED_8*F13*WY_high/AT_LADC*Breathing_Ratio,"-")</f>
        <v>5.6467124960275627E-3</v>
      </c>
      <c r="Q13" s="596">
        <f t="shared" si="23"/>
        <v>2.0987202983289088E-4</v>
      </c>
      <c r="R13" s="410"/>
      <c r="S13" s="411">
        <v>9</v>
      </c>
      <c r="T13" s="456" t="s">
        <v>358</v>
      </c>
      <c r="U13" s="605" t="s">
        <v>359</v>
      </c>
      <c r="W13" s="33"/>
      <c r="X13" s="33"/>
      <c r="Y13" s="33"/>
      <c r="Z13" s="33"/>
      <c r="AA13" s="49"/>
      <c r="AB13" s="28"/>
      <c r="AD13" s="33"/>
      <c r="AE13" s="663"/>
      <c r="AF13" s="663"/>
      <c r="AG13" s="664"/>
    </row>
    <row r="14" spans="2:33" ht="27.95" customHeight="1" thickBot="1" x14ac:dyDescent="0.3">
      <c r="B14" s="358" t="s">
        <v>181</v>
      </c>
      <c r="C14" s="462" t="s">
        <v>326</v>
      </c>
      <c r="D14" s="359" t="s">
        <v>100</v>
      </c>
      <c r="E14" s="360" t="s">
        <v>357</v>
      </c>
      <c r="F14" s="360">
        <v>250</v>
      </c>
      <c r="G14" s="475">
        <v>250</v>
      </c>
      <c r="H14" s="595">
        <v>1.8389437499999987E-2</v>
      </c>
      <c r="I14" s="596">
        <v>1.7899999999999999E-3</v>
      </c>
      <c r="J14" s="601">
        <f t="shared" si="0"/>
        <v>1.2509821428571421E-2</v>
      </c>
      <c r="K14" s="601">
        <f t="shared" si="1"/>
        <v>1.217687074829932E-3</v>
      </c>
      <c r="L14" s="602">
        <f t="shared" si="2"/>
        <v>9.1738690476190401E-3</v>
      </c>
      <c r="M14" s="600">
        <f t="shared" si="3"/>
        <v>8.9297052154195013E-4</v>
      </c>
      <c r="N14" s="602">
        <f t="shared" ref="N14:N32" si="34">IF(H14&lt;&gt;"-", H14*ED_8*F14*WY_high/AT_ADC_high*Breathing_Ratio,"-")</f>
        <v>8.5683708414872762E-3</v>
      </c>
      <c r="O14" s="600">
        <f t="shared" si="4"/>
        <v>8.3403224303420004E-4</v>
      </c>
      <c r="P14" s="602">
        <f t="shared" ref="P14:P32" si="35">IF(H14&lt;&gt;"-",H14*ED_8*F14*WY_high/AT_LADC*Breathing_Ratio,"-")</f>
        <v>4.3940363289678335E-3</v>
      </c>
      <c r="Q14" s="600">
        <f t="shared" si="5"/>
        <v>3.3147435300077179E-4</v>
      </c>
      <c r="R14" s="463"/>
      <c r="S14" s="34">
        <v>7</v>
      </c>
      <c r="T14" s="459" t="s">
        <v>358</v>
      </c>
      <c r="U14" s="607" t="s">
        <v>359</v>
      </c>
      <c r="V14" s="51"/>
      <c r="W14" s="50"/>
      <c r="X14" s="50"/>
      <c r="Y14" s="50"/>
      <c r="Z14" s="27"/>
      <c r="AA14" s="29"/>
      <c r="AB14" s="30"/>
      <c r="AD14" s="30"/>
      <c r="AE14" s="29"/>
      <c r="AF14" s="31"/>
      <c r="AG14" s="29"/>
    </row>
    <row r="15" spans="2:33" ht="27.95" customHeight="1" x14ac:dyDescent="0.25">
      <c r="B15" s="356" t="s">
        <v>188</v>
      </c>
      <c r="C15" s="465" t="s">
        <v>327</v>
      </c>
      <c r="D15" s="466" t="s">
        <v>97</v>
      </c>
      <c r="E15" s="467" t="s">
        <v>357</v>
      </c>
      <c r="F15" s="467">
        <v>128</v>
      </c>
      <c r="G15" s="476">
        <v>26</v>
      </c>
      <c r="H15" s="587">
        <v>12.91553298548283</v>
      </c>
      <c r="I15" s="588">
        <v>3.509500740745402</v>
      </c>
      <c r="J15" s="589">
        <f t="shared" si="0"/>
        <v>8.786076860872674</v>
      </c>
      <c r="K15" s="589">
        <f t="shared" si="1"/>
        <v>2.3874154698948313</v>
      </c>
      <c r="L15" s="590">
        <f t="shared" si="2"/>
        <v>6.4431230313066266</v>
      </c>
      <c r="M15" s="588">
        <f t="shared" si="3"/>
        <v>1.750771344589543</v>
      </c>
      <c r="N15" s="590">
        <f t="shared" si="34"/>
        <v>3.0811447621690471</v>
      </c>
      <c r="O15" s="588">
        <f t="shared" si="4"/>
        <v>0.17006247182812498</v>
      </c>
      <c r="P15" s="590">
        <f t="shared" si="35"/>
        <v>1.5800742370097676</v>
      </c>
      <c r="Q15" s="588">
        <f t="shared" si="5"/>
        <v>6.7588931111177877E-2</v>
      </c>
      <c r="R15" s="365"/>
      <c r="S15" s="480" t="s">
        <v>361</v>
      </c>
      <c r="T15" s="458" t="s">
        <v>362</v>
      </c>
      <c r="U15" s="608" t="s">
        <v>363</v>
      </c>
      <c r="V15" s="51"/>
      <c r="W15" s="50"/>
      <c r="X15" s="50"/>
      <c r="Y15" s="50"/>
      <c r="Z15" s="27"/>
      <c r="AA15" s="29"/>
      <c r="AB15" s="30"/>
      <c r="AD15" s="30"/>
      <c r="AE15" s="29"/>
      <c r="AF15" s="31"/>
      <c r="AG15" s="29"/>
    </row>
    <row r="16" spans="2:33" ht="27.95" customHeight="1" x14ac:dyDescent="0.2">
      <c r="B16" s="209" t="s">
        <v>188</v>
      </c>
      <c r="C16" s="456" t="s">
        <v>327</v>
      </c>
      <c r="D16" s="415" t="s">
        <v>100</v>
      </c>
      <c r="E16" s="416" t="s">
        <v>357</v>
      </c>
      <c r="F16" s="416">
        <v>128</v>
      </c>
      <c r="G16" s="477">
        <v>26</v>
      </c>
      <c r="H16" s="591">
        <f>I15</f>
        <v>3.509500740745402</v>
      </c>
      <c r="I16" s="592">
        <f>I15</f>
        <v>3.509500740745402</v>
      </c>
      <c r="J16" s="593">
        <f t="shared" ref="J16:K18" si="36">IF(H16&lt;&gt;"-", H16*ED_8/AT_AC*Breathing_Ratio,"-")</f>
        <v>2.3874154698948313</v>
      </c>
      <c r="K16" s="593">
        <f t="shared" si="36"/>
        <v>2.3874154698948313</v>
      </c>
      <c r="L16" s="594">
        <f t="shared" ref="L16:M18" si="37">IF(H16&lt;&gt;"-", IF(F16&gt;=EF_ST, H16*ED_8*EF_ST/AT_ADC_ST*Breathing_Ratio, H16*ED_8*F16/AT_ADC_ST*Breathing_Ratio),"-")</f>
        <v>1.750771344589543</v>
      </c>
      <c r="M16" s="592">
        <f t="shared" si="37"/>
        <v>1.750771344589543</v>
      </c>
      <c r="N16" s="594">
        <f t="shared" ref="N16:N26" si="38">IF(H16&lt;&gt;"-", H16*ED_8*F16*WY_high/AT_ADC_high*Breathing_Ratio,"-")</f>
        <v>0.83723063053846136</v>
      </c>
      <c r="O16" s="592">
        <f t="shared" ref="O16:O26" si="39">IF(I16&lt;&gt;"-", I16*ED_8*G16*WY_mid/AT_ADC_mid*Breathing_Ratio, "-")</f>
        <v>0.17006247182812498</v>
      </c>
      <c r="P16" s="594">
        <f t="shared" ref="P16:P26" si="40">IF(H16&lt;&gt;"-",H16*ED_8*F16*WY_high/AT_LADC*Breathing_Ratio,"-")</f>
        <v>0.42934904130177504</v>
      </c>
      <c r="Q16" s="592">
        <f t="shared" ref="Q16:Q26" si="41">IF(I16&lt;&gt;"-",I16*ED_8*G16*WY_mid/AT_LADC*Breathing_Ratio,"-")</f>
        <v>6.7588931111177877E-2</v>
      </c>
      <c r="R16" s="550"/>
      <c r="S16" s="34" t="s">
        <v>361</v>
      </c>
      <c r="T16" s="456" t="s">
        <v>362</v>
      </c>
      <c r="U16" s="605" t="s">
        <v>363</v>
      </c>
      <c r="W16" s="29"/>
      <c r="X16" s="29"/>
      <c r="Y16" s="29"/>
      <c r="Z16" s="27"/>
      <c r="AA16" s="29"/>
      <c r="AB16" s="417"/>
      <c r="AD16" s="417"/>
      <c r="AE16" s="29"/>
      <c r="AF16" s="31"/>
      <c r="AG16" s="29"/>
    </row>
    <row r="17" spans="2:33" ht="27.95" customHeight="1" x14ac:dyDescent="0.2">
      <c r="B17" s="209" t="s">
        <v>193</v>
      </c>
      <c r="C17" s="457" t="s">
        <v>328</v>
      </c>
      <c r="D17" s="415" t="s">
        <v>97</v>
      </c>
      <c r="E17" s="416" t="s">
        <v>357</v>
      </c>
      <c r="F17" s="416">
        <v>128</v>
      </c>
      <c r="G17" s="477">
        <v>26</v>
      </c>
      <c r="H17" s="594">
        <v>6.5554449319925379</v>
      </c>
      <c r="I17" s="592">
        <v>1.7316263367360394</v>
      </c>
      <c r="J17" s="593">
        <f t="shared" si="36"/>
        <v>4.4594863482942433</v>
      </c>
      <c r="K17" s="593">
        <f t="shared" si="36"/>
        <v>1.1779770998204351</v>
      </c>
      <c r="L17" s="594">
        <f t="shared" si="37"/>
        <v>3.2702899887491124</v>
      </c>
      <c r="M17" s="592">
        <f t="shared" si="37"/>
        <v>0.86384987320165241</v>
      </c>
      <c r="N17" s="594">
        <f t="shared" si="38"/>
        <v>1.5638746646072965</v>
      </c>
      <c r="O17" s="592">
        <f t="shared" si="39"/>
        <v>8.3910697521455635E-2</v>
      </c>
      <c r="P17" s="594">
        <f t="shared" si="40"/>
        <v>0.80198700749092122</v>
      </c>
      <c r="Q17" s="603">
        <f t="shared" si="41"/>
        <v>3.3349123373911861E-2</v>
      </c>
      <c r="R17" s="551"/>
      <c r="S17" s="366" t="s">
        <v>361</v>
      </c>
      <c r="T17" s="456" t="s">
        <v>362</v>
      </c>
      <c r="U17" s="605" t="s">
        <v>363</v>
      </c>
      <c r="W17" s="29"/>
      <c r="X17" s="29"/>
      <c r="Y17" s="29"/>
      <c r="Z17" s="27"/>
      <c r="AA17" s="29"/>
      <c r="AB17" s="417"/>
      <c r="AD17" s="417"/>
      <c r="AE17" s="29"/>
      <c r="AF17" s="31"/>
      <c r="AG17" s="29"/>
    </row>
    <row r="18" spans="2:33" ht="27.95" customHeight="1" thickBot="1" x14ac:dyDescent="0.25">
      <c r="B18" s="469" t="s">
        <v>195</v>
      </c>
      <c r="C18" s="462" t="s">
        <v>75</v>
      </c>
      <c r="D18" s="460" t="s">
        <v>97</v>
      </c>
      <c r="E18" s="461" t="s">
        <v>357</v>
      </c>
      <c r="F18" s="461">
        <v>128</v>
      </c>
      <c r="G18" s="552">
        <v>26</v>
      </c>
      <c r="H18" s="602">
        <v>6.5815860705619036</v>
      </c>
      <c r="I18" s="600">
        <v>1.7292271011445295</v>
      </c>
      <c r="J18" s="601">
        <f t="shared" si="36"/>
        <v>4.4772694357563969</v>
      </c>
      <c r="K18" s="601">
        <f t="shared" si="36"/>
        <v>1.1763449667649861</v>
      </c>
      <c r="L18" s="602">
        <f t="shared" si="37"/>
        <v>3.2833309195546914</v>
      </c>
      <c r="M18" s="600">
        <f t="shared" si="37"/>
        <v>0.86265297562765653</v>
      </c>
      <c r="N18" s="602">
        <f t="shared" si="38"/>
        <v>1.570110925415942</v>
      </c>
      <c r="O18" s="600">
        <f t="shared" si="39"/>
        <v>8.379443598873873E-2</v>
      </c>
      <c r="P18" s="602">
        <f t="shared" si="40"/>
        <v>0.80518508995689331</v>
      </c>
      <c r="Q18" s="600">
        <f t="shared" si="41"/>
        <v>3.3302916867319239E-2</v>
      </c>
      <c r="R18" s="470"/>
      <c r="S18" s="411" t="s">
        <v>361</v>
      </c>
      <c r="T18" s="457" t="s">
        <v>362</v>
      </c>
      <c r="U18" s="606" t="s">
        <v>363</v>
      </c>
      <c r="W18" s="29"/>
      <c r="X18" s="29"/>
      <c r="Y18" s="29"/>
      <c r="Z18" s="27"/>
      <c r="AA18" s="29"/>
      <c r="AB18" s="417"/>
      <c r="AD18" s="417"/>
      <c r="AE18" s="29"/>
      <c r="AF18" s="31"/>
      <c r="AG18" s="29"/>
    </row>
    <row r="19" spans="2:33" ht="27.95" customHeight="1" x14ac:dyDescent="0.2">
      <c r="B19" s="542" t="s">
        <v>198</v>
      </c>
      <c r="C19" s="465" t="s">
        <v>329</v>
      </c>
      <c r="D19" s="466" t="s">
        <v>97</v>
      </c>
      <c r="E19" s="467" t="s">
        <v>357</v>
      </c>
      <c r="F19" s="467">
        <v>250</v>
      </c>
      <c r="G19" s="476">
        <v>250</v>
      </c>
      <c r="H19" s="591">
        <v>0.73438333333333339</v>
      </c>
      <c r="I19" s="592">
        <v>7.8018749999999998E-3</v>
      </c>
      <c r="J19" s="597">
        <f t="shared" ref="J19:K26" si="42">IF(H19&lt;&gt;"-", H19*ED_8/AT_AC*Breathing_Ratio,"-")</f>
        <v>0.4995804988662132</v>
      </c>
      <c r="K19" s="597">
        <f t="shared" si="42"/>
        <v>5.3073979591836736E-3</v>
      </c>
      <c r="L19" s="598">
        <f t="shared" ref="L19:M26" si="43">IF(H19&lt;&gt;"-", IF(F19&gt;=EF_ST, H19*ED_8*EF_ST/AT_ADC_ST*Breathing_Ratio, H19*ED_8*F19/AT_ADC_ST*Breathing_Ratio),"-")</f>
        <v>0.36635903250188973</v>
      </c>
      <c r="M19" s="596">
        <f t="shared" si="43"/>
        <v>3.892091836734694E-3</v>
      </c>
      <c r="N19" s="598">
        <f t="shared" si="38"/>
        <v>0.34217842388096792</v>
      </c>
      <c r="O19" s="596">
        <f t="shared" si="39"/>
        <v>3.6352040816326533E-3</v>
      </c>
      <c r="P19" s="598">
        <f t="shared" si="40"/>
        <v>0.17547611481075281</v>
      </c>
      <c r="Q19" s="596">
        <f t="shared" si="41"/>
        <v>1.4447605965463108E-3</v>
      </c>
      <c r="R19" s="365"/>
      <c r="S19" s="357">
        <v>27</v>
      </c>
      <c r="T19" s="465" t="s">
        <v>364</v>
      </c>
      <c r="U19" s="604" t="s">
        <v>365</v>
      </c>
      <c r="W19" s="29"/>
      <c r="X19" s="29"/>
      <c r="Y19" s="29"/>
      <c r="Z19" s="27"/>
      <c r="AA19" s="29"/>
    </row>
    <row r="20" spans="2:33" ht="27.95" customHeight="1" x14ac:dyDescent="0.2">
      <c r="B20" s="209" t="s">
        <v>198</v>
      </c>
      <c r="C20" s="544" t="s">
        <v>329</v>
      </c>
      <c r="D20" s="415" t="s">
        <v>100</v>
      </c>
      <c r="E20" s="416" t="s">
        <v>357</v>
      </c>
      <c r="F20" s="416">
        <v>250</v>
      </c>
      <c r="G20" s="477">
        <v>250</v>
      </c>
      <c r="H20" s="591">
        <v>1.8389437499999987E-2</v>
      </c>
      <c r="I20" s="592">
        <v>1.7899999999999999E-3</v>
      </c>
      <c r="J20" s="593">
        <f t="shared" si="42"/>
        <v>1.2509821428571421E-2</v>
      </c>
      <c r="K20" s="593">
        <f t="shared" si="42"/>
        <v>1.217687074829932E-3</v>
      </c>
      <c r="L20" s="594">
        <f t="shared" si="43"/>
        <v>9.1738690476190401E-3</v>
      </c>
      <c r="M20" s="592">
        <f t="shared" si="43"/>
        <v>8.9297052154195013E-4</v>
      </c>
      <c r="N20" s="594">
        <f t="shared" si="38"/>
        <v>8.5683708414872762E-3</v>
      </c>
      <c r="O20" s="592">
        <f t="shared" si="39"/>
        <v>8.3403224303420004E-4</v>
      </c>
      <c r="P20" s="594">
        <f t="shared" si="40"/>
        <v>4.3940363289678335E-3</v>
      </c>
      <c r="Q20" s="592">
        <f t="shared" si="41"/>
        <v>3.3147435300077179E-4</v>
      </c>
      <c r="R20" s="366"/>
      <c r="S20" s="34">
        <v>7</v>
      </c>
      <c r="T20" s="456" t="s">
        <v>364</v>
      </c>
      <c r="U20" s="605" t="s">
        <v>365</v>
      </c>
      <c r="W20" s="29"/>
      <c r="X20" s="29"/>
      <c r="Y20" s="29"/>
      <c r="Z20" s="27"/>
      <c r="AA20" s="29"/>
    </row>
    <row r="21" spans="2:33" ht="27.95" customHeight="1" x14ac:dyDescent="0.2">
      <c r="B21" s="543" t="s">
        <v>202</v>
      </c>
      <c r="C21" s="546" t="s">
        <v>330</v>
      </c>
      <c r="D21" s="547" t="s">
        <v>97</v>
      </c>
      <c r="E21" s="548" t="s">
        <v>357</v>
      </c>
      <c r="F21" s="548">
        <v>250</v>
      </c>
      <c r="G21" s="549">
        <v>250</v>
      </c>
      <c r="H21" s="595">
        <v>0.41240937499999997</v>
      </c>
      <c r="I21" s="596">
        <v>7.9416666666666663E-2</v>
      </c>
      <c r="J21" s="597">
        <f t="shared" si="42"/>
        <v>0.28055059523809522</v>
      </c>
      <c r="K21" s="597">
        <f t="shared" si="42"/>
        <v>5.4024943310657596E-2</v>
      </c>
      <c r="L21" s="598">
        <f t="shared" si="43"/>
        <v>0.20573710317460317</v>
      </c>
      <c r="M21" s="596">
        <f t="shared" si="43"/>
        <v>3.9618291761148901E-2</v>
      </c>
      <c r="N21" s="598">
        <f t="shared" si="38"/>
        <v>0.19215794194390085</v>
      </c>
      <c r="O21" s="596">
        <f t="shared" si="39"/>
        <v>3.7003385829217528E-2</v>
      </c>
      <c r="P21" s="598">
        <f t="shared" si="40"/>
        <v>9.8542534330205572E-2</v>
      </c>
      <c r="Q21" s="596">
        <f t="shared" si="41"/>
        <v>1.4706473855201839E-2</v>
      </c>
      <c r="R21" s="410"/>
      <c r="S21" s="411">
        <v>8</v>
      </c>
      <c r="T21" s="609" t="s">
        <v>364</v>
      </c>
      <c r="U21" s="610" t="s">
        <v>365</v>
      </c>
      <c r="W21" s="29"/>
      <c r="X21" s="29"/>
      <c r="Y21" s="29"/>
      <c r="Z21" s="27"/>
      <c r="AA21" s="29"/>
    </row>
    <row r="22" spans="2:33" ht="27.95" customHeight="1" x14ac:dyDescent="0.2">
      <c r="B22" s="209" t="s">
        <v>202</v>
      </c>
      <c r="C22" s="545" t="s">
        <v>330</v>
      </c>
      <c r="D22" s="415" t="s">
        <v>100</v>
      </c>
      <c r="E22" s="416" t="s">
        <v>357</v>
      </c>
      <c r="F22" s="416">
        <v>250</v>
      </c>
      <c r="G22" s="477">
        <v>250</v>
      </c>
      <c r="H22" s="591">
        <v>1.8389437499999987E-2</v>
      </c>
      <c r="I22" s="592">
        <v>1.7899999999999999E-3</v>
      </c>
      <c r="J22" s="593">
        <f t="shared" si="42"/>
        <v>1.2509821428571421E-2</v>
      </c>
      <c r="K22" s="593">
        <f t="shared" si="42"/>
        <v>1.217687074829932E-3</v>
      </c>
      <c r="L22" s="594">
        <f t="shared" si="43"/>
        <v>9.1738690476190401E-3</v>
      </c>
      <c r="M22" s="592">
        <f t="shared" si="43"/>
        <v>8.9297052154195013E-4</v>
      </c>
      <c r="N22" s="594">
        <f t="shared" si="38"/>
        <v>8.5683708414872762E-3</v>
      </c>
      <c r="O22" s="592">
        <f t="shared" si="39"/>
        <v>8.3403224303420004E-4</v>
      </c>
      <c r="P22" s="594">
        <f t="shared" si="40"/>
        <v>4.3940363289678335E-3</v>
      </c>
      <c r="Q22" s="592">
        <f t="shared" si="41"/>
        <v>3.3147435300077179E-4</v>
      </c>
      <c r="R22" s="366"/>
      <c r="S22" s="34">
        <v>7</v>
      </c>
      <c r="T22" s="456" t="s">
        <v>364</v>
      </c>
      <c r="U22" s="605" t="s">
        <v>365</v>
      </c>
      <c r="W22" s="29"/>
      <c r="X22" s="29"/>
      <c r="Y22" s="29"/>
      <c r="Z22" s="27"/>
      <c r="AA22" s="29"/>
    </row>
    <row r="23" spans="2:33" ht="27.95" customHeight="1" x14ac:dyDescent="0.2">
      <c r="B23" s="615" t="s">
        <v>203</v>
      </c>
      <c r="C23" s="609" t="s">
        <v>331</v>
      </c>
      <c r="D23" s="617" t="s">
        <v>97</v>
      </c>
      <c r="E23" s="548" t="s">
        <v>357</v>
      </c>
      <c r="F23" s="548">
        <v>250</v>
      </c>
      <c r="G23" s="549">
        <v>250</v>
      </c>
      <c r="H23" s="595">
        <v>5.2537083333333333E-3</v>
      </c>
      <c r="I23" s="596">
        <v>2.8208333333333332E-3</v>
      </c>
      <c r="J23" s="593">
        <f>IF(H23&lt;&gt;"-", H23*ED_8/AT_AC*Breathing_Ratio,"-")</f>
        <v>3.573951247165533E-3</v>
      </c>
      <c r="K23" s="593">
        <f>IF(I23&lt;&gt;"-", I23*ED_8/AT_AC*Breathing_Ratio,"-")</f>
        <v>1.9189342403628116E-3</v>
      </c>
      <c r="L23" s="594">
        <f>IF(H23&lt;&gt;"-", IF(F23&gt;=EF_ST, H23*ED_8*EF_ST/AT_ADC_ST*Breathing_Ratio, H23*ED_8*F23/AT_ADC_ST*Breathing_Ratio),"-")</f>
        <v>2.6208975812547241E-3</v>
      </c>
      <c r="M23" s="592">
        <f>IF(I23&lt;&gt;"-", IF(G23&gt;=EF_ST, I23*ED_8*EF_ST/AT_ADC_ST*Breathing_Ratio, I23*ED_8*G23/AT_ADC_ST*Breathing_Ratio),"-")</f>
        <v>1.4072184429327287E-3</v>
      </c>
      <c r="N23" s="594">
        <f>IF(H23&lt;&gt;"-", H23*ED_8*F23*WY_high/AT_ADC_high*Breathing_Ratio,"-")</f>
        <v>2.4479118131270771E-3</v>
      </c>
      <c r="O23" s="592">
        <f>IF(I23&lt;&gt;"-", I23*ED_8*G23*WY_mid/AT_ADC_mid*Breathing_Ratio, "-")</f>
        <v>1.3143385207964463E-3</v>
      </c>
      <c r="P23" s="594">
        <f>IF(H23&lt;&gt;"-",H23*ED_8*F23*WY_high/AT_LADC*Breathing_Ratio,"-")</f>
        <v>1.255339391347219E-3</v>
      </c>
      <c r="Q23" s="592">
        <f>IF(I23&lt;&gt;"-",I23*ED_8*G23*WY_mid/AT_LADC*Breathing_Ratio,"-")</f>
        <v>5.2236530954730554E-4</v>
      </c>
      <c r="R23" s="410"/>
      <c r="S23" s="411">
        <v>9</v>
      </c>
      <c r="T23" s="456" t="s">
        <v>364</v>
      </c>
      <c r="U23" s="605" t="s">
        <v>365</v>
      </c>
      <c r="W23" s="29"/>
      <c r="X23" s="29"/>
      <c r="Y23" s="29"/>
      <c r="Z23" s="27"/>
      <c r="AA23" s="29"/>
    </row>
    <row r="24" spans="2:33" ht="27.95" customHeight="1" x14ac:dyDescent="0.2">
      <c r="B24" s="616" t="s">
        <v>203</v>
      </c>
      <c r="C24" s="456" t="s">
        <v>331</v>
      </c>
      <c r="D24" s="415" t="s">
        <v>100</v>
      </c>
      <c r="E24" s="416" t="s">
        <v>357</v>
      </c>
      <c r="F24" s="416">
        <v>250</v>
      </c>
      <c r="G24" s="477">
        <v>250</v>
      </c>
      <c r="H24" s="591">
        <v>1.8389437499999987E-2</v>
      </c>
      <c r="I24" s="592">
        <v>1.7899999999999999E-3</v>
      </c>
      <c r="J24" s="593">
        <f>IF(H24&lt;&gt;"-", H24*ED_8/AT_AC*Breathing_Ratio,"-")</f>
        <v>1.2509821428571421E-2</v>
      </c>
      <c r="K24" s="593">
        <f>IF(I24&lt;&gt;"-", I24*ED_8/AT_AC*Breathing_Ratio,"-")</f>
        <v>1.217687074829932E-3</v>
      </c>
      <c r="L24" s="594">
        <f>IF(H24&lt;&gt;"-", IF(F24&gt;=EF_ST, H24*ED_8*EF_ST/AT_ADC_ST*Breathing_Ratio, H24*ED_8*F24/AT_ADC_ST*Breathing_Ratio),"-")</f>
        <v>9.1738690476190401E-3</v>
      </c>
      <c r="M24" s="592">
        <f>IF(I24&lt;&gt;"-", IF(G24&gt;=EF_ST, I24*ED_8*EF_ST/AT_ADC_ST*Breathing_Ratio, I24*ED_8*G24/AT_ADC_ST*Breathing_Ratio),"-")</f>
        <v>8.9297052154195013E-4</v>
      </c>
      <c r="N24" s="594">
        <f>IF(H24&lt;&gt;"-", H24*ED_8*F24*WY_high/AT_ADC_high*Breathing_Ratio,"-")</f>
        <v>8.5683708414872762E-3</v>
      </c>
      <c r="O24" s="592">
        <f>IF(I24&lt;&gt;"-", I24*ED_8*G24*WY_mid/AT_ADC_mid*Breathing_Ratio, "-")</f>
        <v>8.3403224303420004E-4</v>
      </c>
      <c r="P24" s="594">
        <f>IF(H24&lt;&gt;"-",H24*ED_8*F24*WY_high/AT_LADC*Breathing_Ratio,"-")</f>
        <v>4.3940363289678335E-3</v>
      </c>
      <c r="Q24" s="592">
        <f>IF(I24&lt;&gt;"-",I24*ED_8*G24*WY_mid/AT_LADC*Breathing_Ratio,"-")</f>
        <v>3.3147435300077179E-4</v>
      </c>
      <c r="R24" s="410"/>
      <c r="S24" s="411">
        <v>7</v>
      </c>
      <c r="T24" s="456" t="s">
        <v>364</v>
      </c>
      <c r="U24" s="605" t="s">
        <v>365</v>
      </c>
      <c r="W24" s="29"/>
      <c r="X24" s="29"/>
      <c r="Y24" s="29"/>
      <c r="Z24" s="27"/>
      <c r="AA24" s="29"/>
    </row>
    <row r="25" spans="2:33" ht="27.95" customHeight="1" x14ac:dyDescent="0.2">
      <c r="B25" s="469" t="s">
        <v>204</v>
      </c>
      <c r="C25" s="538" t="s">
        <v>332</v>
      </c>
      <c r="D25" s="539" t="s">
        <v>97</v>
      </c>
      <c r="E25" s="540" t="s">
        <v>357</v>
      </c>
      <c r="F25" s="540">
        <v>250</v>
      </c>
      <c r="G25" s="541">
        <v>250</v>
      </c>
      <c r="H25" s="595">
        <v>2.363199999999999E-2</v>
      </c>
      <c r="I25" s="596">
        <v>1.1333333333333334E-3</v>
      </c>
      <c r="J25" s="597">
        <f t="shared" si="42"/>
        <v>1.607619047619047E-2</v>
      </c>
      <c r="K25" s="597">
        <f t="shared" si="42"/>
        <v>7.7097505668934248E-4</v>
      </c>
      <c r="L25" s="598">
        <f t="shared" si="43"/>
        <v>1.1789206349206346E-2</v>
      </c>
      <c r="M25" s="596">
        <f t="shared" si="43"/>
        <v>5.6538170823885114E-4</v>
      </c>
      <c r="N25" s="598">
        <f t="shared" si="38"/>
        <v>1.1011089367253748E-2</v>
      </c>
      <c r="O25" s="596">
        <f t="shared" si="39"/>
        <v>5.2806510732146745E-4</v>
      </c>
      <c r="P25" s="598">
        <f t="shared" si="40"/>
        <v>5.6467124960275627E-3</v>
      </c>
      <c r="Q25" s="596">
        <f t="shared" si="41"/>
        <v>2.0987202983289088E-4</v>
      </c>
      <c r="R25" s="410"/>
      <c r="S25" s="411">
        <v>9</v>
      </c>
      <c r="T25" s="456" t="s">
        <v>364</v>
      </c>
      <c r="U25" s="605" t="s">
        <v>365</v>
      </c>
      <c r="W25" s="29"/>
      <c r="X25" s="29"/>
      <c r="Y25" s="29"/>
      <c r="Z25" s="27"/>
      <c r="AA25" s="29"/>
    </row>
    <row r="26" spans="2:33" ht="27.95" customHeight="1" thickBot="1" x14ac:dyDescent="0.25">
      <c r="B26" s="358" t="s">
        <v>204</v>
      </c>
      <c r="C26" s="459" t="s">
        <v>332</v>
      </c>
      <c r="D26" s="468" t="s">
        <v>100</v>
      </c>
      <c r="E26" s="361" t="s">
        <v>357</v>
      </c>
      <c r="F26" s="361">
        <v>250</v>
      </c>
      <c r="G26" s="479">
        <v>250</v>
      </c>
      <c r="H26" s="591">
        <v>1.8389437499999987E-2</v>
      </c>
      <c r="I26" s="592">
        <v>1.7899999999999999E-3</v>
      </c>
      <c r="J26" s="601">
        <f t="shared" si="42"/>
        <v>1.2509821428571421E-2</v>
      </c>
      <c r="K26" s="601">
        <f t="shared" si="42"/>
        <v>1.217687074829932E-3</v>
      </c>
      <c r="L26" s="602">
        <f t="shared" si="43"/>
        <v>9.1738690476190401E-3</v>
      </c>
      <c r="M26" s="600">
        <f t="shared" si="43"/>
        <v>8.9297052154195013E-4</v>
      </c>
      <c r="N26" s="602">
        <f t="shared" si="38"/>
        <v>8.5683708414872762E-3</v>
      </c>
      <c r="O26" s="600">
        <f t="shared" si="39"/>
        <v>8.3403224303420004E-4</v>
      </c>
      <c r="P26" s="602">
        <f t="shared" si="40"/>
        <v>4.3940363289678335E-3</v>
      </c>
      <c r="Q26" s="600">
        <f t="shared" si="41"/>
        <v>3.3147435300077179E-4</v>
      </c>
      <c r="R26" s="463"/>
      <c r="S26" s="464">
        <v>7</v>
      </c>
      <c r="T26" s="459" t="s">
        <v>364</v>
      </c>
      <c r="U26" s="607" t="s">
        <v>365</v>
      </c>
      <c r="W26" s="29"/>
      <c r="X26" s="29"/>
      <c r="Y26" s="29"/>
      <c r="Z26" s="27"/>
      <c r="AA26" s="29"/>
    </row>
    <row r="27" spans="2:33" ht="27.95" customHeight="1" x14ac:dyDescent="0.2">
      <c r="B27" s="356">
        <v>4</v>
      </c>
      <c r="C27" s="465" t="s">
        <v>208</v>
      </c>
      <c r="D27" s="466" t="s">
        <v>97</v>
      </c>
      <c r="E27" s="467" t="s">
        <v>357</v>
      </c>
      <c r="F27" s="467">
        <v>250</v>
      </c>
      <c r="G27" s="476">
        <v>174</v>
      </c>
      <c r="H27" s="587">
        <v>2.363199999999999E-2</v>
      </c>
      <c r="I27" s="588">
        <v>1.1333333333333334E-3</v>
      </c>
      <c r="J27" s="589">
        <f t="shared" si="0"/>
        <v>1.607619047619047E-2</v>
      </c>
      <c r="K27" s="589">
        <f t="shared" si="1"/>
        <v>7.7097505668934248E-4</v>
      </c>
      <c r="L27" s="590">
        <f t="shared" si="2"/>
        <v>1.1789206349206346E-2</v>
      </c>
      <c r="M27" s="588">
        <f t="shared" si="3"/>
        <v>5.6538170823885114E-4</v>
      </c>
      <c r="N27" s="590">
        <f t="shared" si="34"/>
        <v>1.1011089367253748E-2</v>
      </c>
      <c r="O27" s="588">
        <f t="shared" si="4"/>
        <v>3.6753331469574138E-4</v>
      </c>
      <c r="P27" s="590">
        <f t="shared" si="35"/>
        <v>5.6467124960275627E-3</v>
      </c>
      <c r="Q27" s="588">
        <f t="shared" si="5"/>
        <v>1.4607093276369209E-4</v>
      </c>
      <c r="R27" s="365"/>
      <c r="S27" s="357">
        <v>9</v>
      </c>
      <c r="T27" s="465" t="s">
        <v>366</v>
      </c>
      <c r="U27" s="604" t="s">
        <v>359</v>
      </c>
      <c r="W27" s="29"/>
      <c r="X27" s="29"/>
      <c r="Y27" s="29"/>
      <c r="Z27" s="27"/>
      <c r="AA27" s="29"/>
    </row>
    <row r="28" spans="2:33" ht="27.95" customHeight="1" thickBot="1" x14ac:dyDescent="0.25">
      <c r="B28" s="358">
        <v>4</v>
      </c>
      <c r="C28" s="459" t="s">
        <v>208</v>
      </c>
      <c r="D28" s="468" t="s">
        <v>100</v>
      </c>
      <c r="E28" s="361" t="s">
        <v>357</v>
      </c>
      <c r="F28" s="361">
        <v>250</v>
      </c>
      <c r="G28" s="479">
        <v>174</v>
      </c>
      <c r="H28" s="599">
        <f>I27</f>
        <v>1.1333333333333334E-3</v>
      </c>
      <c r="I28" s="600">
        <f>I27</f>
        <v>1.1333333333333334E-3</v>
      </c>
      <c r="J28" s="601">
        <f t="shared" si="0"/>
        <v>7.7097505668934248E-4</v>
      </c>
      <c r="K28" s="601">
        <f t="shared" si="1"/>
        <v>7.7097505668934248E-4</v>
      </c>
      <c r="L28" s="602">
        <f t="shared" si="2"/>
        <v>5.6538170823885114E-4</v>
      </c>
      <c r="M28" s="600">
        <f t="shared" si="3"/>
        <v>5.6538170823885114E-4</v>
      </c>
      <c r="N28" s="602">
        <f t="shared" si="34"/>
        <v>5.2806510732146734E-4</v>
      </c>
      <c r="O28" s="600">
        <f t="shared" si="4"/>
        <v>3.6753331469574138E-4</v>
      </c>
      <c r="P28" s="602">
        <f t="shared" si="35"/>
        <v>2.7080261913921407E-4</v>
      </c>
      <c r="Q28" s="600">
        <f t="shared" si="5"/>
        <v>1.4607093276369209E-4</v>
      </c>
      <c r="R28" s="463"/>
      <c r="S28" s="464"/>
      <c r="T28" s="459"/>
      <c r="U28" s="607"/>
      <c r="W28" s="29"/>
      <c r="X28" s="29"/>
      <c r="Y28" s="29"/>
      <c r="Z28" s="27"/>
      <c r="AA28" s="29"/>
    </row>
    <row r="29" spans="2:33" ht="27.95" customHeight="1" x14ac:dyDescent="0.2">
      <c r="B29" s="409" t="s">
        <v>210</v>
      </c>
      <c r="C29" s="457" t="s">
        <v>227</v>
      </c>
      <c r="D29" s="460" t="s">
        <v>97</v>
      </c>
      <c r="E29" s="461" t="s">
        <v>357</v>
      </c>
      <c r="F29" s="461">
        <v>250</v>
      </c>
      <c r="G29" s="478">
        <v>250</v>
      </c>
      <c r="H29" s="595">
        <v>10.444428568939381</v>
      </c>
      <c r="I29" s="596">
        <v>0.29657019393284656</v>
      </c>
      <c r="J29" s="597">
        <f t="shared" si="0"/>
        <v>7.1050534482580829</v>
      </c>
      <c r="K29" s="597">
        <f t="shared" si="1"/>
        <v>0.20174843124683439</v>
      </c>
      <c r="L29" s="598">
        <f t="shared" si="2"/>
        <v>5.2103725287225942</v>
      </c>
      <c r="M29" s="596">
        <f t="shared" si="3"/>
        <v>0.14794884958101187</v>
      </c>
      <c r="N29" s="598">
        <f t="shared" si="34"/>
        <v>4.8664749645603305</v>
      </c>
      <c r="O29" s="596">
        <f t="shared" si="4"/>
        <v>0.13818385701837974</v>
      </c>
      <c r="P29" s="598">
        <f t="shared" si="35"/>
        <v>2.4956281869540158</v>
      </c>
      <c r="Q29" s="596">
        <f t="shared" si="5"/>
        <v>5.4919225225253485E-2</v>
      </c>
      <c r="R29" s="410"/>
      <c r="S29" s="411">
        <v>22</v>
      </c>
      <c r="T29" s="457" t="s">
        <v>367</v>
      </c>
      <c r="U29" s="606" t="s">
        <v>368</v>
      </c>
      <c r="W29" s="29"/>
      <c r="X29" s="29"/>
      <c r="Y29" s="29"/>
      <c r="Z29" s="27"/>
      <c r="AA29" s="29"/>
      <c r="AB29" s="32"/>
      <c r="AD29" s="32"/>
      <c r="AE29" s="891"/>
      <c r="AF29" s="891"/>
      <c r="AG29" s="892"/>
    </row>
    <row r="30" spans="2:33" ht="27.95" customHeight="1" x14ac:dyDescent="0.2">
      <c r="B30" s="209" t="s">
        <v>210</v>
      </c>
      <c r="C30" s="456" t="s">
        <v>227</v>
      </c>
      <c r="D30" s="415" t="s">
        <v>100</v>
      </c>
      <c r="E30" s="416" t="s">
        <v>357</v>
      </c>
      <c r="F30" s="416">
        <v>250</v>
      </c>
      <c r="G30" s="477">
        <v>250</v>
      </c>
      <c r="H30" s="591">
        <f>I29</f>
        <v>0.29657019393284656</v>
      </c>
      <c r="I30" s="592">
        <f>I29</f>
        <v>0.29657019393284656</v>
      </c>
      <c r="J30" s="593">
        <f t="shared" si="0"/>
        <v>0.20174843124683439</v>
      </c>
      <c r="K30" s="593">
        <f t="shared" si="1"/>
        <v>0.20174843124683439</v>
      </c>
      <c r="L30" s="594">
        <f t="shared" si="2"/>
        <v>0.14794884958101187</v>
      </c>
      <c r="M30" s="592">
        <f t="shared" si="3"/>
        <v>0.14794884958101187</v>
      </c>
      <c r="N30" s="594">
        <f t="shared" si="34"/>
        <v>0.13818385701837971</v>
      </c>
      <c r="O30" s="592">
        <f t="shared" si="4"/>
        <v>0.13818385701837974</v>
      </c>
      <c r="P30" s="594">
        <f t="shared" si="35"/>
        <v>7.0863516419681916E-2</v>
      </c>
      <c r="Q30" s="592">
        <f t="shared" si="5"/>
        <v>5.4919225225253485E-2</v>
      </c>
      <c r="R30" s="366"/>
      <c r="S30" s="34"/>
      <c r="T30" s="456"/>
      <c r="U30" s="605"/>
      <c r="W30" s="29"/>
      <c r="X30" s="50"/>
      <c r="Y30" s="50"/>
      <c r="Z30" s="27"/>
      <c r="AA30" s="29"/>
      <c r="AB30" s="33"/>
      <c r="AD30" s="33"/>
      <c r="AE30" s="891"/>
      <c r="AF30" s="891"/>
      <c r="AG30" s="892"/>
    </row>
    <row r="31" spans="2:33" ht="27.95" customHeight="1" x14ac:dyDescent="0.2">
      <c r="B31" s="209" t="s">
        <v>219</v>
      </c>
      <c r="C31" s="456" t="s">
        <v>220</v>
      </c>
      <c r="D31" s="415" t="s">
        <v>97</v>
      </c>
      <c r="E31" s="416" t="s">
        <v>357</v>
      </c>
      <c r="F31" s="416">
        <v>250</v>
      </c>
      <c r="G31" s="477">
        <v>250</v>
      </c>
      <c r="H31" s="591">
        <v>0.67948354682339451</v>
      </c>
      <c r="I31" s="592">
        <v>0.2549307385340755</v>
      </c>
      <c r="J31" s="593">
        <f t="shared" si="0"/>
        <v>0.46223370532203711</v>
      </c>
      <c r="K31" s="593">
        <f t="shared" si="1"/>
        <v>0.17342227111161598</v>
      </c>
      <c r="L31" s="594">
        <f t="shared" si="2"/>
        <v>0.33897138390282722</v>
      </c>
      <c r="M31" s="592">
        <f t="shared" si="3"/>
        <v>0.1271763321485184</v>
      </c>
      <c r="N31" s="594">
        <f t="shared" si="34"/>
        <v>0.31659842830276513</v>
      </c>
      <c r="O31" s="592">
        <f t="shared" si="4"/>
        <v>0.11878237747370958</v>
      </c>
      <c r="P31" s="594">
        <f t="shared" si="35"/>
        <v>0.16235816836039238</v>
      </c>
      <c r="Q31" s="592">
        <f t="shared" si="5"/>
        <v>4.7208380790833289E-2</v>
      </c>
      <c r="R31" s="366"/>
      <c r="S31" s="34">
        <v>3</v>
      </c>
      <c r="T31" s="456" t="s">
        <v>369</v>
      </c>
      <c r="U31" s="605" t="s">
        <v>370</v>
      </c>
      <c r="W31" s="29"/>
      <c r="X31" s="50"/>
      <c r="Y31" s="50"/>
      <c r="Z31" s="27"/>
      <c r="AA31" s="29"/>
      <c r="AB31" s="33"/>
      <c r="AD31" s="33"/>
      <c r="AE31" s="891"/>
      <c r="AF31" s="891"/>
      <c r="AG31" s="892"/>
    </row>
    <row r="32" spans="2:33" ht="27.95" customHeight="1" thickBot="1" x14ac:dyDescent="0.25">
      <c r="B32" s="358" t="s">
        <v>219</v>
      </c>
      <c r="C32" s="459" t="s">
        <v>220</v>
      </c>
      <c r="D32" s="359" t="s">
        <v>100</v>
      </c>
      <c r="E32" s="360" t="s">
        <v>357</v>
      </c>
      <c r="F32" s="360">
        <v>250</v>
      </c>
      <c r="G32" s="475">
        <v>250</v>
      </c>
      <c r="H32" s="599">
        <f>I31</f>
        <v>0.2549307385340755</v>
      </c>
      <c r="I32" s="600">
        <f>I31</f>
        <v>0.2549307385340755</v>
      </c>
      <c r="J32" s="601">
        <f t="shared" si="0"/>
        <v>0.17342227111161598</v>
      </c>
      <c r="K32" s="601">
        <f t="shared" si="1"/>
        <v>0.17342227111161598</v>
      </c>
      <c r="L32" s="602">
        <f t="shared" si="2"/>
        <v>0.1271763321485184</v>
      </c>
      <c r="M32" s="600">
        <f t="shared" si="3"/>
        <v>0.1271763321485184</v>
      </c>
      <c r="N32" s="602">
        <f t="shared" si="34"/>
        <v>0.11878237747370958</v>
      </c>
      <c r="O32" s="600">
        <f t="shared" si="4"/>
        <v>0.11878237747370958</v>
      </c>
      <c r="P32" s="602">
        <f t="shared" si="35"/>
        <v>6.0914039730107478E-2</v>
      </c>
      <c r="Q32" s="600">
        <f t="shared" si="5"/>
        <v>4.7208380790833289E-2</v>
      </c>
      <c r="R32" s="367"/>
      <c r="S32" s="361"/>
      <c r="T32" s="459"/>
      <c r="U32" s="607"/>
      <c r="W32" s="29"/>
      <c r="X32" s="50"/>
      <c r="Y32" s="50"/>
      <c r="Z32" s="27"/>
      <c r="AA32" s="29"/>
      <c r="AB32" s="28"/>
      <c r="AD32" s="33"/>
      <c r="AE32" s="891"/>
      <c r="AF32" s="891"/>
      <c r="AG32" s="892"/>
    </row>
    <row r="34" spans="2:2" ht="15" x14ac:dyDescent="0.25">
      <c r="B34" s="627" t="s">
        <v>371</v>
      </c>
    </row>
  </sheetData>
  <sheetProtection sheet="1" objects="1" scenarios="1" formatCells="0" formatColumns="0" formatRows="0"/>
  <autoFilter ref="B5:U32" xr:uid="{DF55C41C-CB75-4CC6-8CF8-B72C31F8B4B7}">
    <sortState xmlns:xlrd2="http://schemas.microsoft.com/office/spreadsheetml/2017/richdata2" ref="B6:Y32">
      <sortCondition descending="1" ref="Y5:Y32"/>
    </sortState>
  </autoFilter>
  <mergeCells count="18">
    <mergeCell ref="AF4:AF6"/>
    <mergeCell ref="AG4:AG6"/>
    <mergeCell ref="AE4:AE6"/>
    <mergeCell ref="AG29:AG32"/>
    <mergeCell ref="AE29:AE32"/>
    <mergeCell ref="AF29:AF32"/>
    <mergeCell ref="F3:G3"/>
    <mergeCell ref="F4:G4"/>
    <mergeCell ref="H3:I3"/>
    <mergeCell ref="N3:O3"/>
    <mergeCell ref="P3:Q3"/>
    <mergeCell ref="H4:I4"/>
    <mergeCell ref="N4:O4"/>
    <mergeCell ref="P4:Q4"/>
    <mergeCell ref="L3:M3"/>
    <mergeCell ref="L4:M4"/>
    <mergeCell ref="J3:K3"/>
    <mergeCell ref="J4:K4"/>
  </mergeCells>
  <conditionalFormatting sqref="H6:K8 N6:Q32 I9:K9 I9:I13 H10:K12 I13:K13 K13:K20 H14:K20 I21:K21 H22:K24 I25:K25 K25:K26 H26:K32">
    <cfRule type="cellIs" dxfId="7" priority="26" operator="lessThan">
      <formula>0.01</formula>
    </cfRule>
    <cfRule type="cellIs" dxfId="6" priority="27" operator="between">
      <formula>0.01</formula>
      <formula>1</formula>
    </cfRule>
    <cfRule type="cellIs" dxfId="5" priority="28" operator="greaterThanOrEqual">
      <formula>1</formula>
    </cfRule>
  </conditionalFormatting>
  <conditionalFormatting sqref="H6:Q32">
    <cfRule type="cellIs" dxfId="4" priority="18" operator="lessThan">
      <formula>0.1</formula>
    </cfRule>
    <cfRule type="cellIs" dxfId="3" priority="19" operator="between">
      <formula>0.1</formula>
      <formula>0.999</formula>
    </cfRule>
    <cfRule type="cellIs" dxfId="2" priority="20" operator="between">
      <formula>1</formula>
      <formula>9.999</formula>
    </cfRule>
    <cfRule type="cellIs" dxfId="1" priority="21" operator="between">
      <formula>10</formula>
      <formula>9999.999</formula>
    </cfRule>
    <cfRule type="expression" dxfId="0" priority="22">
      <formula>"&gt;=10000"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EE2DC-4EE0-4CF0-B381-0DF510B873A9}">
  <sheetPr>
    <tabColor theme="1"/>
  </sheetPr>
  <dimension ref="A1:M42"/>
  <sheetViews>
    <sheetView workbookViewId="0"/>
  </sheetViews>
  <sheetFormatPr defaultRowHeight="15" x14ac:dyDescent="0.25"/>
  <cols>
    <col min="2" max="2" width="78.28515625" customWidth="1"/>
    <col min="5" max="5" width="36.140625" customWidth="1"/>
    <col min="8" max="8" width="37.140625" customWidth="1"/>
    <col min="9" max="9" width="11.28515625" customWidth="1"/>
    <col min="10" max="10" width="11" bestFit="1" customWidth="1"/>
    <col min="12" max="12" width="48.28515625" customWidth="1"/>
  </cols>
  <sheetData>
    <row r="1" spans="1:13" ht="15.75" thickBot="1" x14ac:dyDescent="0.3">
      <c r="B1" s="70" t="s">
        <v>372</v>
      </c>
      <c r="E1" s="72" t="s">
        <v>373</v>
      </c>
      <c r="H1" s="72" t="s">
        <v>374</v>
      </c>
    </row>
    <row r="2" spans="1:13" x14ac:dyDescent="0.25">
      <c r="A2" s="26"/>
      <c r="B2" s="618" t="s">
        <v>321</v>
      </c>
      <c r="E2" s="75" t="s">
        <v>375</v>
      </c>
      <c r="H2" s="233">
        <v>5</v>
      </c>
    </row>
    <row r="3" spans="1:13" ht="15.75" thickBot="1" x14ac:dyDescent="0.3">
      <c r="A3" s="26"/>
      <c r="B3" s="619" t="s">
        <v>322</v>
      </c>
      <c r="E3" s="76" t="s">
        <v>376</v>
      </c>
      <c r="H3" s="233">
        <v>10</v>
      </c>
    </row>
    <row r="4" spans="1:13" x14ac:dyDescent="0.25">
      <c r="A4" s="26"/>
      <c r="B4" s="620" t="s">
        <v>323</v>
      </c>
      <c r="H4" s="234">
        <v>20</v>
      </c>
    </row>
    <row r="5" spans="1:13" ht="15.75" thickBot="1" x14ac:dyDescent="0.3">
      <c r="A5" s="26"/>
      <c r="B5" s="620" t="s">
        <v>324</v>
      </c>
      <c r="H5" s="150"/>
    </row>
    <row r="6" spans="1:13" x14ac:dyDescent="0.25">
      <c r="A6" s="26"/>
      <c r="B6" s="620" t="s">
        <v>326</v>
      </c>
      <c r="E6" s="622" t="s">
        <v>74</v>
      </c>
      <c r="H6" s="149"/>
    </row>
    <row r="7" spans="1:13" ht="15.75" thickBot="1" x14ac:dyDescent="0.3">
      <c r="A7" s="26"/>
      <c r="B7" s="619" t="s">
        <v>327</v>
      </c>
      <c r="E7" s="623" t="s">
        <v>228</v>
      </c>
    </row>
    <row r="8" spans="1:13" ht="15.75" thickBot="1" x14ac:dyDescent="0.3">
      <c r="A8" s="26"/>
      <c r="B8" s="619" t="s">
        <v>328</v>
      </c>
      <c r="E8" s="624" t="s">
        <v>76</v>
      </c>
      <c r="H8" s="72" t="s">
        <v>19</v>
      </c>
    </row>
    <row r="9" spans="1:13" x14ac:dyDescent="0.25">
      <c r="B9" s="619" t="s">
        <v>75</v>
      </c>
      <c r="H9" s="73" t="s">
        <v>97</v>
      </c>
    </row>
    <row r="10" spans="1:13" ht="15.75" thickBot="1" x14ac:dyDescent="0.3">
      <c r="B10" s="619" t="s">
        <v>329</v>
      </c>
      <c r="E10" s="71"/>
      <c r="H10" s="74" t="s">
        <v>100</v>
      </c>
      <c r="L10" s="16"/>
    </row>
    <row r="11" spans="1:13" ht="15.75" thickBot="1" x14ac:dyDescent="0.3">
      <c r="B11" s="619" t="s">
        <v>330</v>
      </c>
    </row>
    <row r="12" spans="1:13" x14ac:dyDescent="0.25">
      <c r="B12" s="619" t="s">
        <v>331</v>
      </c>
      <c r="E12" s="72" t="s">
        <v>377</v>
      </c>
      <c r="H12" s="27"/>
    </row>
    <row r="13" spans="1:13" x14ac:dyDescent="0.25">
      <c r="B13" s="619" t="s">
        <v>332</v>
      </c>
      <c r="E13" s="73">
        <v>0.5</v>
      </c>
      <c r="H13" s="151" t="s">
        <v>378</v>
      </c>
      <c r="I13" s="151"/>
      <c r="J13" s="151"/>
      <c r="K13" s="151"/>
      <c r="M13" s="27"/>
    </row>
    <row r="14" spans="1:13" ht="15.75" thickBot="1" x14ac:dyDescent="0.3">
      <c r="B14" s="619" t="s">
        <v>208</v>
      </c>
      <c r="E14" s="74">
        <v>0.99</v>
      </c>
      <c r="H14" s="151"/>
      <c r="I14" s="151"/>
      <c r="J14" s="151"/>
      <c r="K14" s="151"/>
    </row>
    <row r="15" spans="1:13" ht="15.75" thickBot="1" x14ac:dyDescent="0.3">
      <c r="B15" s="619" t="s">
        <v>227</v>
      </c>
      <c r="H15" s="350" t="s">
        <v>379</v>
      </c>
      <c r="I15" s="351">
        <v>98.96</v>
      </c>
      <c r="J15" s="350" t="s">
        <v>280</v>
      </c>
      <c r="K15" s="151"/>
    </row>
    <row r="16" spans="1:13" ht="15.75" thickBot="1" x14ac:dyDescent="0.3">
      <c r="B16" s="619" t="s">
        <v>334</v>
      </c>
      <c r="E16" s="70" t="s">
        <v>380</v>
      </c>
      <c r="H16" s="152" t="s">
        <v>283</v>
      </c>
      <c r="I16" s="153">
        <v>24.45</v>
      </c>
      <c r="J16" s="152" t="s">
        <v>284</v>
      </c>
      <c r="K16" s="151"/>
    </row>
    <row r="17" spans="2:12" x14ac:dyDescent="0.25">
      <c r="B17" s="619" t="s">
        <v>220</v>
      </c>
      <c r="E17" s="75">
        <v>10</v>
      </c>
      <c r="H17" s="151"/>
      <c r="I17" s="151"/>
      <c r="J17" s="151"/>
      <c r="K17" s="151"/>
    </row>
    <row r="18" spans="2:12" ht="15.75" thickBot="1" x14ac:dyDescent="0.3">
      <c r="B18" s="621" t="s">
        <v>335</v>
      </c>
      <c r="E18" s="75">
        <v>25</v>
      </c>
      <c r="H18" s="158" t="s">
        <v>381</v>
      </c>
      <c r="I18" s="159">
        <v>100</v>
      </c>
      <c r="J18" s="158" t="s">
        <v>382</v>
      </c>
      <c r="K18" s="151"/>
    </row>
    <row r="19" spans="2:12" ht="15.75" thickBot="1" x14ac:dyDescent="0.3">
      <c r="E19" s="75">
        <v>50</v>
      </c>
      <c r="H19" s="152"/>
      <c r="I19" s="154">
        <f>I18/I16*MW</f>
        <v>404.74437627811858</v>
      </c>
      <c r="J19" s="152" t="s">
        <v>383</v>
      </c>
      <c r="K19" s="151"/>
    </row>
    <row r="20" spans="2:12" ht="15.75" thickBot="1" x14ac:dyDescent="0.3">
      <c r="E20" s="75">
        <v>1000</v>
      </c>
      <c r="H20" s="211"/>
      <c r="I20" s="212"/>
      <c r="J20" s="211"/>
      <c r="K20" s="151"/>
    </row>
    <row r="21" spans="2:12" ht="15.75" thickBot="1" x14ac:dyDescent="0.3">
      <c r="E21" s="76">
        <v>10000</v>
      </c>
      <c r="H21" s="215" t="s">
        <v>384</v>
      </c>
      <c r="I21" s="216"/>
      <c r="J21" s="217"/>
      <c r="K21" s="151"/>
    </row>
    <row r="22" spans="2:12" ht="15.75" thickBot="1" x14ac:dyDescent="0.3">
      <c r="H22" s="213" t="s">
        <v>385</v>
      </c>
      <c r="I22" s="218">
        <v>1000</v>
      </c>
      <c r="J22" s="214" t="s">
        <v>386</v>
      </c>
      <c r="K22" s="151"/>
    </row>
    <row r="23" spans="2:12" ht="15.75" thickBot="1" x14ac:dyDescent="0.3">
      <c r="E23" s="210"/>
      <c r="H23" s="151"/>
      <c r="I23" s="151"/>
      <c r="J23" s="151"/>
      <c r="K23" s="151"/>
      <c r="L23" s="16"/>
    </row>
    <row r="24" spans="2:12" ht="16.5" thickBot="1" x14ac:dyDescent="0.3">
      <c r="H24" s="155" t="s">
        <v>387</v>
      </c>
      <c r="I24" s="156" t="s">
        <v>388</v>
      </c>
      <c r="J24" s="156" t="s">
        <v>389</v>
      </c>
      <c r="K24" s="156" t="s">
        <v>390</v>
      </c>
      <c r="L24" s="16"/>
    </row>
    <row r="25" spans="2:12" ht="16.5" thickTop="1" thickBot="1" x14ac:dyDescent="0.3">
      <c r="H25" s="152" t="s">
        <v>391</v>
      </c>
      <c r="I25" s="153" t="s">
        <v>392</v>
      </c>
      <c r="J25" s="153">
        <v>8</v>
      </c>
      <c r="K25" s="157" t="s">
        <v>393</v>
      </c>
    </row>
    <row r="26" spans="2:12" ht="15.75" thickBot="1" x14ac:dyDescent="0.3">
      <c r="H26" s="152" t="s">
        <v>394</v>
      </c>
      <c r="I26" s="153" t="s">
        <v>395</v>
      </c>
      <c r="J26" s="153">
        <v>24</v>
      </c>
      <c r="K26" s="157" t="s">
        <v>393</v>
      </c>
    </row>
    <row r="27" spans="2:12" ht="15.75" thickBot="1" x14ac:dyDescent="0.3">
      <c r="H27" s="152" t="s">
        <v>396</v>
      </c>
      <c r="I27" s="153" t="s">
        <v>397</v>
      </c>
      <c r="J27" s="153">
        <v>260</v>
      </c>
      <c r="K27" s="157" t="s">
        <v>398</v>
      </c>
    </row>
    <row r="28" spans="2:12" ht="15.75" thickBot="1" x14ac:dyDescent="0.3">
      <c r="H28" s="152" t="s">
        <v>399</v>
      </c>
      <c r="I28" s="153" t="s">
        <v>400</v>
      </c>
      <c r="J28" s="342">
        <v>365</v>
      </c>
      <c r="K28" s="157" t="s">
        <v>398</v>
      </c>
    </row>
    <row r="29" spans="2:12" ht="15.75" thickBot="1" x14ac:dyDescent="0.3">
      <c r="H29" s="152" t="s">
        <v>401</v>
      </c>
      <c r="I29" s="153" t="s">
        <v>402</v>
      </c>
      <c r="J29" s="153">
        <v>31</v>
      </c>
      <c r="K29" s="157" t="s">
        <v>403</v>
      </c>
    </row>
    <row r="30" spans="2:12" ht="15.75" thickBot="1" x14ac:dyDescent="0.3">
      <c r="H30" s="152" t="s">
        <v>404</v>
      </c>
      <c r="I30" s="153" t="s">
        <v>405</v>
      </c>
      <c r="J30" s="153">
        <v>40</v>
      </c>
      <c r="K30" s="157" t="s">
        <v>403</v>
      </c>
    </row>
    <row r="31" spans="2:12" ht="15.75" thickBot="1" x14ac:dyDescent="0.3">
      <c r="H31" s="152" t="s">
        <v>406</v>
      </c>
      <c r="I31" s="153" t="s">
        <v>407</v>
      </c>
      <c r="J31" s="153">
        <v>78</v>
      </c>
      <c r="K31" s="157" t="s">
        <v>403</v>
      </c>
    </row>
    <row r="32" spans="2:12" ht="26.25" thickBot="1" x14ac:dyDescent="0.3">
      <c r="H32" s="152" t="s">
        <v>408</v>
      </c>
      <c r="I32" s="153" t="s">
        <v>409</v>
      </c>
      <c r="J32" s="343">
        <f>WY_mid*EF_C*ED_24</f>
        <v>271560</v>
      </c>
      <c r="K32" s="157" t="s">
        <v>410</v>
      </c>
    </row>
    <row r="33" spans="8:11" ht="26.25" thickBot="1" x14ac:dyDescent="0.3">
      <c r="H33" s="152" t="s">
        <v>411</v>
      </c>
      <c r="I33" s="153" t="s">
        <v>412</v>
      </c>
      <c r="J33" s="343">
        <f>WY_high*EF_C*ED_24</f>
        <v>350400</v>
      </c>
      <c r="K33" s="157" t="s">
        <v>410</v>
      </c>
    </row>
    <row r="34" spans="8:11" ht="26.25" thickBot="1" x14ac:dyDescent="0.3">
      <c r="H34" s="152" t="s">
        <v>413</v>
      </c>
      <c r="I34" s="153" t="s">
        <v>414</v>
      </c>
      <c r="J34" s="343">
        <f>LT*EF_C*ED_24</f>
        <v>683280</v>
      </c>
      <c r="K34" s="157" t="s">
        <v>410</v>
      </c>
    </row>
    <row r="35" spans="8:11" ht="26.25" thickBot="1" x14ac:dyDescent="0.3">
      <c r="H35" s="152" t="s">
        <v>415</v>
      </c>
      <c r="I35" s="153" t="s">
        <v>416</v>
      </c>
      <c r="J35" s="344">
        <f>EF_C*WY_mid</f>
        <v>11315</v>
      </c>
      <c r="K35" s="157" t="s">
        <v>417</v>
      </c>
    </row>
    <row r="36" spans="8:11" ht="26.25" thickBot="1" x14ac:dyDescent="0.3">
      <c r="H36" s="152" t="s">
        <v>418</v>
      </c>
      <c r="I36" s="153" t="s">
        <v>419</v>
      </c>
      <c r="J36" s="344">
        <f>EF_C*WY_high</f>
        <v>14600</v>
      </c>
      <c r="K36" s="157" t="s">
        <v>417</v>
      </c>
    </row>
    <row r="37" spans="8:11" ht="15.75" thickBot="1" x14ac:dyDescent="0.3">
      <c r="H37" s="152" t="s">
        <v>420</v>
      </c>
      <c r="I37" s="153" t="s">
        <v>421</v>
      </c>
      <c r="J37" s="345">
        <f>EF_C*LT</f>
        <v>28470</v>
      </c>
      <c r="K37" s="157" t="s">
        <v>417</v>
      </c>
    </row>
    <row r="38" spans="8:11" ht="26.25" thickBot="1" x14ac:dyDescent="0.3">
      <c r="H38" s="152" t="s">
        <v>422</v>
      </c>
      <c r="I38" s="153" t="s">
        <v>423</v>
      </c>
      <c r="J38" s="345">
        <f>1.25/0.6125</f>
        <v>2.0408163265306123</v>
      </c>
      <c r="K38" s="157"/>
    </row>
    <row r="39" spans="8:11" ht="26.25" thickBot="1" x14ac:dyDescent="0.3">
      <c r="H39" s="152" t="s">
        <v>424</v>
      </c>
      <c r="I39" s="153" t="s">
        <v>425</v>
      </c>
      <c r="J39" s="343">
        <f>30*ED_24</f>
        <v>720</v>
      </c>
      <c r="K39" s="157" t="s">
        <v>410</v>
      </c>
    </row>
    <row r="40" spans="8:11" ht="15.75" thickBot="1" x14ac:dyDescent="0.3">
      <c r="H40" s="152" t="s">
        <v>426</v>
      </c>
      <c r="I40" s="153" t="s">
        <v>427</v>
      </c>
      <c r="J40" s="343">
        <v>22</v>
      </c>
      <c r="K40" s="157" t="s">
        <v>398</v>
      </c>
    </row>
    <row r="41" spans="8:11" ht="26.25" thickBot="1" x14ac:dyDescent="0.3">
      <c r="H41" s="152" t="s">
        <v>428</v>
      </c>
      <c r="I41" s="153" t="s">
        <v>429</v>
      </c>
      <c r="J41" s="344">
        <f>30</f>
        <v>30</v>
      </c>
      <c r="K41" s="157" t="s">
        <v>417</v>
      </c>
    </row>
    <row r="42" spans="8:11" ht="15.75" thickBot="1" x14ac:dyDescent="0.3">
      <c r="H42" s="152" t="s">
        <v>430</v>
      </c>
      <c r="I42" s="153" t="s">
        <v>431</v>
      </c>
      <c r="J42" s="153">
        <v>24</v>
      </c>
      <c r="K42" s="157" t="s">
        <v>393</v>
      </c>
    </row>
  </sheetData>
  <sheetProtection sheet="1" objects="1" scenarios="1" formatCells="0" formatColumns="0" formatRows="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1240-2A0D-4766-9250-85744E11E255}">
  <sheetPr>
    <tabColor theme="1"/>
  </sheetPr>
  <dimension ref="B3:E23"/>
  <sheetViews>
    <sheetView workbookViewId="0"/>
  </sheetViews>
  <sheetFormatPr defaultColWidth="9.140625" defaultRowHeight="15" x14ac:dyDescent="0.25"/>
  <cols>
    <col min="1" max="1" width="4.7109375" style="2" customWidth="1"/>
    <col min="2" max="2" width="33" style="2" customWidth="1"/>
    <col min="3" max="3" width="10.42578125" style="2" customWidth="1"/>
    <col min="4" max="4" width="12.42578125" style="2" customWidth="1"/>
    <col min="5" max="5" width="16.5703125" style="2" bestFit="1" customWidth="1"/>
    <col min="6" max="16384" width="9.140625" style="2"/>
  </cols>
  <sheetData>
    <row r="3" spans="2:5" ht="18.75" x14ac:dyDescent="0.3">
      <c r="B3" s="1" t="s">
        <v>432</v>
      </c>
    </row>
    <row r="4" spans="2:5" ht="15.75" thickBot="1" x14ac:dyDescent="0.3"/>
    <row r="5" spans="2:5" ht="45.75" thickBot="1" x14ac:dyDescent="0.3">
      <c r="C5" s="251" t="s">
        <v>433</v>
      </c>
      <c r="D5" s="252" t="s">
        <v>434</v>
      </c>
      <c r="E5" s="252" t="s">
        <v>435</v>
      </c>
    </row>
    <row r="6" spans="2:5" x14ac:dyDescent="0.25">
      <c r="B6" s="110" t="s">
        <v>436</v>
      </c>
      <c r="C6" s="248">
        <v>80</v>
      </c>
      <c r="D6" s="249">
        <f>AVERAGE(65.9,71.9,74.8,77.1)</f>
        <v>72.425000000000011</v>
      </c>
      <c r="E6" s="250"/>
    </row>
    <row r="7" spans="2:5" ht="17.25" x14ac:dyDescent="0.25">
      <c r="B7" s="110" t="s">
        <v>437</v>
      </c>
      <c r="C7" s="247">
        <f>C8/2</f>
        <v>535</v>
      </c>
      <c r="D7" s="204">
        <f>D8/2</f>
        <v>445</v>
      </c>
      <c r="E7" s="202" t="s">
        <v>98</v>
      </c>
    </row>
    <row r="8" spans="2:5" ht="15" customHeight="1" x14ac:dyDescent="0.25">
      <c r="B8" s="110" t="s">
        <v>438</v>
      </c>
      <c r="C8" s="208">
        <v>1070</v>
      </c>
      <c r="D8" s="203">
        <v>890</v>
      </c>
      <c r="E8" s="202" t="s">
        <v>101</v>
      </c>
    </row>
    <row r="9" spans="2:5" ht="17.25" customHeight="1" x14ac:dyDescent="0.25">
      <c r="B9" s="110" t="s">
        <v>439</v>
      </c>
      <c r="C9" s="201">
        <v>40</v>
      </c>
      <c r="D9" s="204">
        <v>40</v>
      </c>
      <c r="E9" s="202" t="s">
        <v>98</v>
      </c>
    </row>
    <row r="10" spans="2:5" ht="30" x14ac:dyDescent="0.25">
      <c r="B10" s="110" t="s">
        <v>440</v>
      </c>
      <c r="C10" s="201">
        <v>31</v>
      </c>
      <c r="D10" s="204">
        <v>31</v>
      </c>
      <c r="E10" s="202" t="s">
        <v>101</v>
      </c>
    </row>
    <row r="11" spans="2:5" ht="15.75" thickBot="1" x14ac:dyDescent="0.3">
      <c r="B11" s="111" t="s">
        <v>441</v>
      </c>
      <c r="C11" s="205">
        <v>78</v>
      </c>
      <c r="D11" s="206">
        <v>78</v>
      </c>
      <c r="E11" s="207"/>
    </row>
    <row r="12" spans="2:5" x14ac:dyDescent="0.25">
      <c r="B12" s="894"/>
      <c r="C12" s="894"/>
      <c r="D12" s="895"/>
      <c r="E12" s="895"/>
    </row>
    <row r="13" spans="2:5" x14ac:dyDescent="0.25">
      <c r="B13" s="665"/>
      <c r="C13" s="665"/>
      <c r="D13" s="665"/>
      <c r="E13" s="665"/>
    </row>
    <row r="14" spans="2:5" x14ac:dyDescent="0.25">
      <c r="B14" s="46" t="s">
        <v>442</v>
      </c>
    </row>
    <row r="15" spans="2:5" x14ac:dyDescent="0.25">
      <c r="B15" s="47" t="s">
        <v>443</v>
      </c>
    </row>
    <row r="16" spans="2:5" x14ac:dyDescent="0.25">
      <c r="B16" s="2" t="s">
        <v>444</v>
      </c>
    </row>
    <row r="17" spans="2:5" x14ac:dyDescent="0.25">
      <c r="B17" s="2" t="s">
        <v>445</v>
      </c>
    </row>
    <row r="18" spans="2:5" x14ac:dyDescent="0.25">
      <c r="B18" s="2" t="s">
        <v>446</v>
      </c>
    </row>
    <row r="19" spans="2:5" x14ac:dyDescent="0.25">
      <c r="B19" s="2" t="s">
        <v>447</v>
      </c>
    </row>
    <row r="20" spans="2:5" x14ac:dyDescent="0.25">
      <c r="B20" s="2" t="s">
        <v>448</v>
      </c>
    </row>
    <row r="23" spans="2:5" ht="78" customHeight="1" x14ac:dyDescent="0.25">
      <c r="B23" s="893" t="s">
        <v>449</v>
      </c>
      <c r="C23" s="893"/>
      <c r="D23" s="893"/>
      <c r="E23" s="893"/>
    </row>
  </sheetData>
  <sheetProtection sheet="1" objects="1" scenarios="1" formatCells="0" formatColumns="0" formatRows="0"/>
  <mergeCells count="2">
    <mergeCell ref="B23:E23"/>
    <mergeCell ref="B12:E12"/>
  </mergeCells>
  <phoneticPr fontId="4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C5E6-FBC2-4B72-8208-0297D949E5B3}">
  <dimension ref="A1:B13"/>
  <sheetViews>
    <sheetView workbookViewId="0">
      <selection sqref="A1:B1"/>
    </sheetView>
  </sheetViews>
  <sheetFormatPr defaultRowHeight="15" x14ac:dyDescent="0.25"/>
  <cols>
    <col min="1" max="1" width="27.7109375" customWidth="1"/>
    <col min="2" max="2" width="110.28515625" customWidth="1"/>
  </cols>
  <sheetData>
    <row r="1" spans="1:2" x14ac:dyDescent="0.25">
      <c r="A1" s="666" t="s">
        <v>4</v>
      </c>
      <c r="B1" s="666"/>
    </row>
    <row r="2" spans="1:2" s="253" customFormat="1" x14ac:dyDescent="0.25">
      <c r="A2" s="667" t="s">
        <v>5</v>
      </c>
      <c r="B2" s="667"/>
    </row>
    <row r="3" spans="1:2" s="253" customFormat="1" ht="15.75" thickBot="1" x14ac:dyDescent="0.3">
      <c r="A3" s="254" t="s">
        <v>6</v>
      </c>
      <c r="B3" s="255"/>
    </row>
    <row r="4" spans="1:2" s="256" customFormat="1" ht="77.25" customHeight="1" thickTop="1" x14ac:dyDescent="0.25">
      <c r="A4" s="668" t="s">
        <v>7</v>
      </c>
      <c r="B4" s="669"/>
    </row>
    <row r="5" spans="1:2" s="253" customFormat="1" x14ac:dyDescent="0.25">
      <c r="A5" s="670"/>
      <c r="B5" s="671"/>
    </row>
    <row r="6" spans="1:2" s="253" customFormat="1" x14ac:dyDescent="0.25">
      <c r="A6" s="257" t="s">
        <v>8</v>
      </c>
      <c r="B6" s="258" t="s">
        <v>9</v>
      </c>
    </row>
    <row r="7" spans="1:2" s="253" customFormat="1" ht="156.75" x14ac:dyDescent="0.25">
      <c r="A7" s="259" t="s">
        <v>10</v>
      </c>
      <c r="B7" s="371" t="s">
        <v>11</v>
      </c>
    </row>
    <row r="8" spans="1:2" s="253" customFormat="1" ht="42.75" x14ac:dyDescent="0.25">
      <c r="A8" s="260" t="s">
        <v>12</v>
      </c>
      <c r="B8" s="371" t="s">
        <v>13</v>
      </c>
    </row>
    <row r="9" spans="1:2" s="253" customFormat="1" ht="99.75" x14ac:dyDescent="0.25">
      <c r="A9" s="260" t="s">
        <v>14</v>
      </c>
      <c r="B9" s="371" t="s">
        <v>15</v>
      </c>
    </row>
    <row r="10" spans="1:2" s="253" customFormat="1" ht="75.75" thickBot="1" x14ac:dyDescent="0.3">
      <c r="A10" s="261" t="s">
        <v>16</v>
      </c>
      <c r="B10" s="372" t="s">
        <v>17</v>
      </c>
    </row>
    <row r="11" spans="1:2" ht="15.75" thickTop="1" x14ac:dyDescent="0.25">
      <c r="A11" s="262"/>
      <c r="B11" s="263"/>
    </row>
    <row r="13" spans="1:2" x14ac:dyDescent="0.25">
      <c r="B13" s="264"/>
    </row>
  </sheetData>
  <sheetProtection sheet="1" objects="1" scenarios="1" formatCells="0" formatColumns="0" formatRows="0"/>
  <mergeCells count="4">
    <mergeCell ref="A1:B1"/>
    <mergeCell ref="A2:B2"/>
    <mergeCell ref="A4:B4"/>
    <mergeCell ref="A5:B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9ED66-3813-40A4-86A2-7FA0757E6A9F}">
  <dimension ref="A1:C31"/>
  <sheetViews>
    <sheetView workbookViewId="0"/>
  </sheetViews>
  <sheetFormatPr defaultRowHeight="15" x14ac:dyDescent="0.25"/>
  <cols>
    <col min="1" max="1" width="54.140625" style="17" bestFit="1" customWidth="1"/>
    <col min="2" max="2" width="49.7109375" style="17" bestFit="1" customWidth="1"/>
    <col min="3" max="3" width="94.85546875" style="17" customWidth="1"/>
    <col min="4" max="4" width="29.28515625" customWidth="1"/>
  </cols>
  <sheetData>
    <row r="1" spans="1:3" x14ac:dyDescent="0.25">
      <c r="A1" s="48" t="s">
        <v>18</v>
      </c>
    </row>
    <row r="2" spans="1:3" x14ac:dyDescent="0.25">
      <c r="A2" s="422" t="s">
        <v>19</v>
      </c>
      <c r="B2" s="422" t="s">
        <v>20</v>
      </c>
      <c r="C2" s="422" t="s">
        <v>21</v>
      </c>
    </row>
    <row r="3" spans="1:3" ht="15.75" x14ac:dyDescent="0.25">
      <c r="A3" s="672" t="s">
        <v>22</v>
      </c>
      <c r="B3" s="672"/>
      <c r="C3" s="672"/>
    </row>
    <row r="4" spans="1:3" ht="26.25" x14ac:dyDescent="0.25">
      <c r="A4" s="423" t="s">
        <v>23</v>
      </c>
      <c r="B4" s="424" t="s">
        <v>24</v>
      </c>
      <c r="C4" s="425" t="s">
        <v>25</v>
      </c>
    </row>
    <row r="5" spans="1:3" ht="102.75" x14ac:dyDescent="0.25">
      <c r="A5" s="423" t="s">
        <v>26</v>
      </c>
      <c r="B5" s="423" t="s">
        <v>27</v>
      </c>
      <c r="C5" s="425" t="s">
        <v>28</v>
      </c>
    </row>
    <row r="6" spans="1:3" ht="51.75" x14ac:dyDescent="0.25">
      <c r="A6" s="423" t="s">
        <v>29</v>
      </c>
      <c r="B6" s="423" t="s">
        <v>30</v>
      </c>
      <c r="C6" s="425" t="s">
        <v>31</v>
      </c>
    </row>
    <row r="7" spans="1:3" ht="51.75" x14ac:dyDescent="0.25">
      <c r="A7" s="423" t="s">
        <v>32</v>
      </c>
      <c r="B7" s="423" t="s">
        <v>33</v>
      </c>
      <c r="C7" s="425" t="s">
        <v>34</v>
      </c>
    </row>
    <row r="8" spans="1:3" x14ac:dyDescent="0.25">
      <c r="A8" s="673" t="s">
        <v>35</v>
      </c>
      <c r="B8" s="673"/>
      <c r="C8" s="673"/>
    </row>
    <row r="9" spans="1:3" x14ac:dyDescent="0.25">
      <c r="A9" s="672" t="s">
        <v>36</v>
      </c>
      <c r="B9" s="672"/>
      <c r="C9" s="672"/>
    </row>
    <row r="10" spans="1:3" x14ac:dyDescent="0.25">
      <c r="A10" s="426" t="s">
        <v>37</v>
      </c>
      <c r="B10" s="427" t="s">
        <v>38</v>
      </c>
      <c r="C10" s="428"/>
    </row>
    <row r="11" spans="1:3" x14ac:dyDescent="0.25">
      <c r="A11" s="426" t="s">
        <v>39</v>
      </c>
      <c r="B11" s="427" t="s">
        <v>38</v>
      </c>
      <c r="C11" s="428"/>
    </row>
    <row r="12" spans="1:3" ht="26.25" x14ac:dyDescent="0.25">
      <c r="A12" s="427" t="s">
        <v>40</v>
      </c>
      <c r="B12" s="427" t="s">
        <v>41</v>
      </c>
      <c r="C12" s="426" t="s">
        <v>42</v>
      </c>
    </row>
    <row r="13" spans="1:3" ht="26.25" x14ac:dyDescent="0.25">
      <c r="A13" s="427" t="s">
        <v>43</v>
      </c>
      <c r="B13" s="427" t="s">
        <v>44</v>
      </c>
      <c r="C13" s="426" t="s">
        <v>42</v>
      </c>
    </row>
    <row r="14" spans="1:3" x14ac:dyDescent="0.25">
      <c r="A14" s="672" t="s">
        <v>45</v>
      </c>
      <c r="B14" s="672"/>
      <c r="C14" s="672"/>
    </row>
    <row r="15" spans="1:3" ht="15.75" x14ac:dyDescent="0.25">
      <c r="A15" s="427" t="s">
        <v>46</v>
      </c>
      <c r="B15" s="427" t="s">
        <v>38</v>
      </c>
      <c r="C15" s="426"/>
    </row>
    <row r="16" spans="1:3" ht="26.25" x14ac:dyDescent="0.25">
      <c r="A16" s="427" t="s">
        <v>47</v>
      </c>
      <c r="B16" s="427" t="s">
        <v>48</v>
      </c>
      <c r="C16" s="426" t="s">
        <v>49</v>
      </c>
    </row>
    <row r="17" spans="1:3" x14ac:dyDescent="0.25">
      <c r="A17" s="423"/>
      <c r="B17" s="423"/>
      <c r="C17" s="425"/>
    </row>
    <row r="18" spans="1:3" x14ac:dyDescent="0.25">
      <c r="A18" s="672" t="s">
        <v>50</v>
      </c>
      <c r="B18" s="672"/>
      <c r="C18" s="672"/>
    </row>
    <row r="19" spans="1:3" ht="69" x14ac:dyDescent="0.25">
      <c r="A19" s="427" t="s">
        <v>51</v>
      </c>
      <c r="B19" s="427" t="s">
        <v>52</v>
      </c>
      <c r="C19" s="425" t="s">
        <v>53</v>
      </c>
    </row>
    <row r="20" spans="1:3" x14ac:dyDescent="0.25">
      <c r="A20" s="427" t="s">
        <v>54</v>
      </c>
      <c r="B20" s="427" t="s">
        <v>55</v>
      </c>
      <c r="C20" s="429" t="s">
        <v>56</v>
      </c>
    </row>
    <row r="21" spans="1:3" ht="77.25" x14ac:dyDescent="0.25">
      <c r="A21" s="427" t="s">
        <v>57</v>
      </c>
      <c r="B21" s="427" t="s">
        <v>58</v>
      </c>
      <c r="C21" s="425" t="s">
        <v>59</v>
      </c>
    </row>
    <row r="22" spans="1:3" ht="39" x14ac:dyDescent="0.25">
      <c r="A22" s="423" t="s">
        <v>60</v>
      </c>
      <c r="B22" s="423" t="s">
        <v>61</v>
      </c>
      <c r="C22" s="425" t="s">
        <v>62</v>
      </c>
    </row>
    <row r="23" spans="1:3" ht="39" x14ac:dyDescent="0.25">
      <c r="A23" s="423" t="s">
        <v>63</v>
      </c>
      <c r="B23" s="423" t="s">
        <v>61</v>
      </c>
      <c r="C23" s="425" t="s">
        <v>64</v>
      </c>
    </row>
    <row r="24" spans="1:3" x14ac:dyDescent="0.25">
      <c r="A24" s="672" t="s">
        <v>65</v>
      </c>
      <c r="B24" s="672"/>
      <c r="C24" s="672"/>
    </row>
    <row r="25" spans="1:3" x14ac:dyDescent="0.25">
      <c r="A25" s="426" t="s">
        <v>66</v>
      </c>
      <c r="B25" s="427" t="s">
        <v>38</v>
      </c>
      <c r="C25" s="428"/>
    </row>
    <row r="26" spans="1:3" x14ac:dyDescent="0.25">
      <c r="A26" s="426" t="s">
        <v>39</v>
      </c>
      <c r="B26" s="427" t="s">
        <v>38</v>
      </c>
      <c r="C26" s="428"/>
    </row>
    <row r="27" spans="1:3" ht="26.25" x14ac:dyDescent="0.25">
      <c r="A27" s="427" t="s">
        <v>40</v>
      </c>
      <c r="B27" s="427" t="s">
        <v>67</v>
      </c>
      <c r="C27" s="426" t="s">
        <v>42</v>
      </c>
    </row>
    <row r="28" spans="1:3" ht="26.25" x14ac:dyDescent="0.25">
      <c r="A28" s="427" t="s">
        <v>43</v>
      </c>
      <c r="B28" s="427" t="s">
        <v>68</v>
      </c>
      <c r="C28" s="426" t="s">
        <v>42</v>
      </c>
    </row>
    <row r="29" spans="1:3" x14ac:dyDescent="0.25">
      <c r="A29" s="672" t="s">
        <v>45</v>
      </c>
      <c r="B29" s="672"/>
      <c r="C29" s="672"/>
    </row>
    <row r="30" spans="1:3" ht="15.75" x14ac:dyDescent="0.25">
      <c r="A30" s="427" t="s">
        <v>69</v>
      </c>
      <c r="B30" s="427" t="s">
        <v>38</v>
      </c>
      <c r="C30" s="426"/>
    </row>
    <row r="31" spans="1:3" ht="26.25" x14ac:dyDescent="0.25">
      <c r="A31" s="427" t="s">
        <v>47</v>
      </c>
      <c r="B31" s="427" t="s">
        <v>70</v>
      </c>
      <c r="C31" s="426" t="s">
        <v>49</v>
      </c>
    </row>
  </sheetData>
  <sheetProtection sheet="1" objects="1" scenarios="1" formatCells="0" formatColumns="0" formatRows="0"/>
  <mergeCells count="7">
    <mergeCell ref="A29:C29"/>
    <mergeCell ref="A3:C3"/>
    <mergeCell ref="A18:C18"/>
    <mergeCell ref="A8:C8"/>
    <mergeCell ref="A9:C9"/>
    <mergeCell ref="A24:C24"/>
    <mergeCell ref="A14:C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S99"/>
  <sheetViews>
    <sheetView zoomScale="70" zoomScaleNormal="70" workbookViewId="0"/>
  </sheetViews>
  <sheetFormatPr defaultColWidth="8.85546875" defaultRowHeight="15" x14ac:dyDescent="0.25"/>
  <cols>
    <col min="1" max="1" width="2.28515625" style="12" customWidth="1"/>
    <col min="2" max="2" width="5.5703125" style="11" bestFit="1" customWidth="1"/>
    <col min="3" max="3" width="31.85546875" style="12" customWidth="1"/>
    <col min="4" max="4" width="16" style="11" bestFit="1" customWidth="1"/>
    <col min="5" max="5" width="19.7109375" style="12" customWidth="1"/>
    <col min="6" max="6" width="19.28515625" style="12" customWidth="1"/>
    <col min="7" max="7" width="21" style="12" customWidth="1"/>
    <col min="8" max="8" width="22.28515625" style="12" customWidth="1"/>
    <col min="9" max="9" width="23" style="12" customWidth="1"/>
    <col min="10" max="11" width="19.85546875" style="12" hidden="1" customWidth="1"/>
    <col min="12" max="12" width="4.42578125" style="12" customWidth="1"/>
    <col min="13" max="13" width="7.28515625" style="12" customWidth="1"/>
    <col min="14" max="14" width="37.5703125" style="12" customWidth="1"/>
    <col min="15" max="15" width="18" style="12" customWidth="1"/>
    <col min="16" max="16" width="18" style="12" bestFit="1" customWidth="1"/>
    <col min="17" max="17" width="22.28515625" style="12" customWidth="1"/>
    <col min="18" max="18" width="21" style="12" customWidth="1"/>
    <col min="19" max="19" width="22" style="12" customWidth="1"/>
    <col min="20" max="16384" width="8.85546875" style="12"/>
  </cols>
  <sheetData>
    <row r="1" spans="1:19" ht="15.75" thickBot="1" x14ac:dyDescent="0.3"/>
    <row r="2" spans="1:19" s="14" customFormat="1" ht="21" customHeight="1" thickBot="1" x14ac:dyDescent="0.3">
      <c r="B2" s="19"/>
      <c r="C2" s="643" t="s">
        <v>71</v>
      </c>
      <c r="D2" s="226"/>
      <c r="E2" s="190"/>
      <c r="N2" s="718" t="s">
        <v>72</v>
      </c>
      <c r="O2" s="719"/>
    </row>
    <row r="3" spans="1:19" s="14" customFormat="1" ht="56.25" customHeight="1" x14ac:dyDescent="0.25">
      <c r="B3" s="19"/>
      <c r="C3" s="225" t="s">
        <v>73</v>
      </c>
      <c r="D3" s="227"/>
      <c r="E3" s="191"/>
      <c r="N3" s="725" t="s">
        <v>74</v>
      </c>
      <c r="O3" s="726"/>
    </row>
    <row r="4" spans="1:19" s="14" customFormat="1" ht="50.45" customHeight="1" thickBot="1" x14ac:dyDescent="0.3">
      <c r="B4" s="19"/>
      <c r="C4" s="414" t="s">
        <v>75</v>
      </c>
      <c r="D4" s="228"/>
      <c r="E4" s="189"/>
      <c r="N4" s="720" t="s">
        <v>76</v>
      </c>
      <c r="O4" s="721"/>
    </row>
    <row r="5" spans="1:19" s="14" customFormat="1" ht="21" x14ac:dyDescent="0.25">
      <c r="A5" s="53"/>
      <c r="B5" s="19"/>
      <c r="E5" s="21"/>
      <c r="F5" s="724"/>
      <c r="G5" s="724"/>
      <c r="H5" s="646"/>
      <c r="I5" s="646"/>
      <c r="J5" s="646"/>
      <c r="K5" s="646"/>
      <c r="L5" s="646"/>
      <c r="Q5" s="68"/>
      <c r="R5" s="65"/>
      <c r="S5" s="54"/>
    </row>
    <row r="6" spans="1:19" s="14" customFormat="1" ht="21" x14ac:dyDescent="0.25">
      <c r="B6" s="19"/>
      <c r="C6" s="54" t="s">
        <v>77</v>
      </c>
      <c r="D6" s="19"/>
      <c r="E6" s="21"/>
      <c r="F6" s="21"/>
      <c r="G6" s="21"/>
      <c r="H6" s="21"/>
      <c r="I6" s="21"/>
      <c r="J6" s="21"/>
      <c r="K6" s="21"/>
      <c r="L6" s="21"/>
      <c r="N6" s="54" t="s">
        <v>72</v>
      </c>
      <c r="O6" s="12"/>
      <c r="P6" s="12"/>
      <c r="Q6" s="68"/>
      <c r="R6" s="65"/>
      <c r="S6" s="12"/>
    </row>
    <row r="7" spans="1:19" ht="21.75" thickBot="1" x14ac:dyDescent="0.3">
      <c r="C7" s="13" t="s">
        <v>78</v>
      </c>
      <c r="F7" s="193"/>
      <c r="G7" s="193"/>
      <c r="H7" s="193"/>
      <c r="I7" s="104"/>
      <c r="J7" s="104"/>
      <c r="K7" s="104"/>
      <c r="L7" s="104"/>
      <c r="N7" s="13" t="s">
        <v>78</v>
      </c>
      <c r="Q7" s="68"/>
      <c r="R7" s="65"/>
    </row>
    <row r="8" spans="1:19" ht="25.5" x14ac:dyDescent="0.25">
      <c r="C8" s="698" t="s">
        <v>79</v>
      </c>
      <c r="D8" s="686" t="s">
        <v>80</v>
      </c>
      <c r="E8" s="632" t="s">
        <v>81</v>
      </c>
      <c r="F8" s="632" t="s">
        <v>82</v>
      </c>
      <c r="G8" s="632" t="s">
        <v>83</v>
      </c>
      <c r="H8" s="632" t="s">
        <v>84</v>
      </c>
      <c r="I8" s="628" t="s">
        <v>85</v>
      </c>
      <c r="J8" s="659"/>
      <c r="K8" s="659"/>
      <c r="L8" s="659"/>
      <c r="M8" s="659"/>
      <c r="N8" s="698" t="s">
        <v>79</v>
      </c>
      <c r="O8" s="690" t="s">
        <v>80</v>
      </c>
      <c r="P8" s="632" t="s">
        <v>86</v>
      </c>
      <c r="Q8" s="632" t="s">
        <v>87</v>
      </c>
      <c r="R8" s="632" t="s">
        <v>88</v>
      </c>
      <c r="S8" s="628" t="s">
        <v>89</v>
      </c>
    </row>
    <row r="9" spans="1:19" ht="36.75" customHeight="1" thickBot="1" x14ac:dyDescent="0.3">
      <c r="C9" s="699"/>
      <c r="D9" s="687"/>
      <c r="E9" s="633" t="s">
        <v>90</v>
      </c>
      <c r="F9" s="633" t="s">
        <v>91</v>
      </c>
      <c r="G9" s="633" t="s">
        <v>92</v>
      </c>
      <c r="H9" s="633" t="s">
        <v>92</v>
      </c>
      <c r="I9" s="629" t="s">
        <v>93</v>
      </c>
      <c r="J9" s="659"/>
      <c r="K9" s="659"/>
      <c r="L9" s="659"/>
      <c r="M9" s="659"/>
      <c r="N9" s="699"/>
      <c r="O9" s="691"/>
      <c r="P9" s="633" t="s">
        <v>94</v>
      </c>
      <c r="Q9" s="633" t="s">
        <v>95</v>
      </c>
      <c r="R9" s="633" t="s">
        <v>96</v>
      </c>
      <c r="S9" s="629" t="s">
        <v>96</v>
      </c>
    </row>
    <row r="10" spans="1:19" x14ac:dyDescent="0.25">
      <c r="C10" s="77" t="s">
        <v>97</v>
      </c>
      <c r="D10" s="700" t="s">
        <v>98</v>
      </c>
      <c r="E10" s="99">
        <f>SUMIFS('Inhalation Exposure'!$H:$H,'Inhalation Exposure'!$C:$C,$C$4,'Inhalation Exposure'!$D:$D,$C10)</f>
        <v>6.5815860705619036</v>
      </c>
      <c r="F10" s="99">
        <f>SUMIFS('Inhalation Exposure'!$J:$J,'Inhalation Exposure'!$C:$C,$C$4,'Inhalation Exposure'!$D:$D,$C10)</f>
        <v>4.4772694357563969</v>
      </c>
      <c r="G10" s="99">
        <f>SUMIFS('Inhalation Exposure'!$L:$L,'Inhalation Exposure'!$C:$C,$C$4,'Inhalation Exposure'!$D:$D,$C10)</f>
        <v>3.2833309195546914</v>
      </c>
      <c r="H10" s="240">
        <f>SUMIFS('Inhalation Exposure'!$N:$N,'Inhalation Exposure'!$C:$C,$C$4,'Inhalation Exposure'!$D:$D,$C10)</f>
        <v>1.570110925415942</v>
      </c>
      <c r="I10" s="100">
        <f>SUMIFS('Inhalation Exposure'!$P:$P,'Inhalation Exposure'!$C:$C,$C$4,'Inhalation Exposure'!$D:$D,$C10)</f>
        <v>0.80518508995689331</v>
      </c>
      <c r="J10" s="105"/>
      <c r="K10" s="105"/>
      <c r="L10" s="105"/>
      <c r="M10" s="105"/>
      <c r="N10" s="722" t="s">
        <v>99</v>
      </c>
      <c r="O10" s="129" t="s">
        <v>98</v>
      </c>
      <c r="P10" s="97">
        <f>SUMIFS('Dermal Crosswalk'!$M:$M, 'Dermal Crosswalk'!$B:$B,$C$4, 'Dermal Crosswalk'!$W:$W, $N$4)</f>
        <v>5.5424405346835997</v>
      </c>
      <c r="Q10" s="97">
        <f>SUMIFS('Dermal Crosswalk'!$N:$N, 'Dermal Crosswalk'!$B:$B,$C$4, 'Dermal Crosswalk'!$W:$W, $N$4)</f>
        <v>6.928050668354499E-2</v>
      </c>
      <c r="R10" s="97">
        <f>SUMIFS('Dermal Crosswalk'!$O:$O, 'Dermal Crosswalk'!$B:$B,$C$4, 'Dermal Crosswalk'!$W:$W, $N$4)</f>
        <v>5.0805704901266326E-2</v>
      </c>
      <c r="S10" s="144">
        <f>SUMIFS('Dermal Crosswalk'!$P:$P, 'Dermal Crosswalk'!$B:$B,$C$4, 'Dermal Crosswalk'!$W:$W, $N$4)</f>
        <v>1.840429198003965E-2</v>
      </c>
    </row>
    <row r="11" spans="1:19" ht="15.75" thickBot="1" x14ac:dyDescent="0.3">
      <c r="C11" s="658" t="s">
        <v>100</v>
      </c>
      <c r="D11" s="701"/>
      <c r="E11" s="78">
        <f>SUMIFS('Inhalation Exposure'!$H:$H,'Inhalation Exposure'!$C:$C,$C$4,'Inhalation Exposure'!$D:$D,$C11)</f>
        <v>0</v>
      </c>
      <c r="F11" s="78">
        <f>SUMIFS('Inhalation Exposure'!$J:$J,'Inhalation Exposure'!$C:$C,$C$4,'Inhalation Exposure'!$D:$D,$C11)</f>
        <v>0</v>
      </c>
      <c r="G11" s="78">
        <f>SUMIFS('Inhalation Exposure'!$L:$L,'Inhalation Exposure'!$C:$C,$C$4,'Inhalation Exposure'!$D:$D,$C11)</f>
        <v>0</v>
      </c>
      <c r="H11" s="78">
        <f>SUMIFS('Inhalation Exposure'!$N:$N,'Inhalation Exposure'!$C:$C,$C$4,'Inhalation Exposure'!$D:$D,$C11)</f>
        <v>0</v>
      </c>
      <c r="I11" s="101">
        <f>SUMIFS('Inhalation Exposure'!$P:$P,'Inhalation Exposure'!$C:$C,$C$4,'Inhalation Exposure'!$D:$D,$C11)</f>
        <v>0</v>
      </c>
      <c r="J11" s="105"/>
      <c r="K11" s="105"/>
      <c r="L11" s="105"/>
      <c r="M11" s="105"/>
      <c r="N11" s="723"/>
      <c r="O11" s="127" t="s">
        <v>101</v>
      </c>
      <c r="P11" s="96">
        <f>SUMIFS('Dermal Crosswalk'!$R:$R, 'Dermal Crosswalk'!$B:$B,$C$4, 'Dermal Crosswalk'!$W:$W, $N$4)</f>
        <v>3.2429359153521489</v>
      </c>
      <c r="Q11" s="96">
        <f>SUMIFS('Dermal Crosswalk'!$S:$S, 'Dermal Crosswalk'!$B:$B,$C$4, 'Dermal Crosswalk'!$W:$W, $N$4)</f>
        <v>4.0536698941901858E-2</v>
      </c>
      <c r="R11" s="96">
        <f>SUMIFS('Dermal Crosswalk'!$T:$T, 'Dermal Crosswalk'!$B:$B,$C$4, 'Dermal Crosswalk'!$W:$W, $N$4)</f>
        <v>2.9726912557394694E-2</v>
      </c>
      <c r="S11" s="145">
        <f>SUMIFS('Dermal Crosswalk'!$U:$U, 'Dermal Crosswalk'!$B:$B,$C$4, 'Dermal Crosswalk'!$W:$W, $N$4)</f>
        <v>7.9798999063804311E-3</v>
      </c>
    </row>
    <row r="12" spans="1:19" ht="15" customHeight="1" x14ac:dyDescent="0.25">
      <c r="C12" s="658" t="s">
        <v>97</v>
      </c>
      <c r="D12" s="701" t="s">
        <v>101</v>
      </c>
      <c r="E12" s="78">
        <f>SUMIFS('Inhalation Exposure'!$I:$I,'Inhalation Exposure'!$C:$C,$C$4,'Inhalation Exposure'!$D:$D,$C12)</f>
        <v>1.7292271011445295</v>
      </c>
      <c r="F12" s="78">
        <f>SUMIFS('Inhalation Exposure'!$K:$K,'Inhalation Exposure'!$C:$C,$C$4,'Inhalation Exposure'!$D:$D,$C12)</f>
        <v>1.1763449667649861</v>
      </c>
      <c r="G12" s="78">
        <f>SUMIFS('Inhalation Exposure'!$M:$M,'Inhalation Exposure'!$C:$C,$C$4,'Inhalation Exposure'!$D:$D,$C12)</f>
        <v>0.86265297562765653</v>
      </c>
      <c r="H12" s="78">
        <f>SUMIFS('Inhalation Exposure'!$O:$O,'Inhalation Exposure'!$C:$C,$C$4,'Inhalation Exposure'!$D:$D,$C12)</f>
        <v>8.379443598873873E-2</v>
      </c>
      <c r="I12" s="101">
        <f>SUMIFS('Inhalation Exposure'!$Q:$Q,'Inhalation Exposure'!$C:$C,$C$4,'Inhalation Exposure'!$D:$D,$C12)</f>
        <v>3.3302916867319239E-2</v>
      </c>
      <c r="J12" s="105"/>
      <c r="K12" s="105"/>
      <c r="L12" s="105"/>
      <c r="M12" s="105"/>
      <c r="N12" s="18"/>
      <c r="O12" s="635"/>
      <c r="P12" s="21"/>
      <c r="Q12" s="14"/>
      <c r="R12" s="635"/>
      <c r="S12" s="14"/>
    </row>
    <row r="13" spans="1:19" ht="15.75" thickBot="1" x14ac:dyDescent="0.3">
      <c r="C13" s="645" t="s">
        <v>100</v>
      </c>
      <c r="D13" s="702"/>
      <c r="E13" s="241">
        <f>SUMIFS('Inhalation Exposure'!$I:$I,'Inhalation Exposure'!$C:$C,$C$4,'Inhalation Exposure'!$D:$D,$C13)</f>
        <v>0</v>
      </c>
      <c r="F13" s="241">
        <f>SUMIFS('Inhalation Exposure'!$K:$K,'Inhalation Exposure'!$C:$C,$C$4,'Inhalation Exposure'!$D:$D,$C13)</f>
        <v>0</v>
      </c>
      <c r="G13" s="241">
        <f>SUMIFS('Inhalation Exposure'!$M:$M,'Inhalation Exposure'!$C:$C,$C$4,'Inhalation Exposure'!$D:$D,$C13)</f>
        <v>0</v>
      </c>
      <c r="H13" s="102">
        <f>SUMIFS('Inhalation Exposure'!$O:$O,'Inhalation Exposure'!$C:$C,$C$4,'Inhalation Exposure'!$D:$D,$C13)</f>
        <v>0</v>
      </c>
      <c r="I13" s="103">
        <f>SUMIFS('Inhalation Exposure'!$Q:$Q,'Inhalation Exposure'!$C:$C,$C$4,'Inhalation Exposure'!$D:$D,$C13)</f>
        <v>0</v>
      </c>
      <c r="J13" s="105"/>
      <c r="K13" s="105"/>
      <c r="L13" s="105"/>
      <c r="M13" s="105"/>
      <c r="N13" s="18"/>
      <c r="O13" s="635"/>
      <c r="P13" s="21"/>
      <c r="Q13" s="14"/>
      <c r="R13" s="635"/>
      <c r="S13" s="14"/>
    </row>
    <row r="14" spans="1:19" s="14" customFormat="1" x14ac:dyDescent="0.25">
      <c r="B14" s="19"/>
      <c r="C14" s="18"/>
      <c r="D14" s="635"/>
      <c r="E14" s="21"/>
      <c r="F14" s="635"/>
      <c r="G14" s="635"/>
      <c r="H14" s="635"/>
      <c r="I14" s="635"/>
      <c r="J14" s="635"/>
      <c r="K14" s="635"/>
      <c r="L14" s="635"/>
      <c r="N14" s="18"/>
      <c r="O14" s="635"/>
      <c r="P14" s="21"/>
      <c r="R14" s="635"/>
    </row>
    <row r="15" spans="1:19" s="14" customFormat="1" ht="36" customHeight="1" thickBot="1" x14ac:dyDescent="0.3">
      <c r="B15" s="19"/>
      <c r="C15" s="20" t="s">
        <v>102</v>
      </c>
      <c r="D15" s="635"/>
      <c r="E15" s="21"/>
      <c r="G15" s="635"/>
      <c r="N15" s="59" t="s">
        <v>103</v>
      </c>
      <c r="O15" s="59"/>
      <c r="P15" s="59"/>
      <c r="Q15" s="61"/>
      <c r="R15" s="20"/>
    </row>
    <row r="16" spans="1:19" s="14" customFormat="1" ht="27" customHeight="1" x14ac:dyDescent="0.25">
      <c r="B16" s="19"/>
      <c r="C16" s="684" t="s">
        <v>104</v>
      </c>
      <c r="D16" s="686" t="s">
        <v>105</v>
      </c>
      <c r="E16" s="674" t="s">
        <v>80</v>
      </c>
      <c r="F16" s="708" t="s">
        <v>106</v>
      </c>
      <c r="G16" s="684" t="s">
        <v>107</v>
      </c>
      <c r="H16" s="676"/>
      <c r="I16" s="659"/>
      <c r="J16" s="688" t="str">
        <f>_xlfn.CONCAT("Respirator Scenario: APF of ",$G$4)</f>
        <v xml:space="preserve">Respirator Scenario: APF of </v>
      </c>
      <c r="K16" s="697"/>
      <c r="L16" s="659"/>
      <c r="N16" s="684" t="s">
        <v>104</v>
      </c>
      <c r="O16" s="686" t="s">
        <v>108</v>
      </c>
      <c r="P16" s="674" t="s">
        <v>80</v>
      </c>
      <c r="Q16" s="676" t="s">
        <v>106</v>
      </c>
      <c r="R16" s="400" t="s">
        <v>109</v>
      </c>
      <c r="S16" s="67"/>
    </row>
    <row r="17" spans="1:19" s="14" customFormat="1" ht="51.75" customHeight="1" thickBot="1" x14ac:dyDescent="0.3">
      <c r="B17" s="19"/>
      <c r="C17" s="685"/>
      <c r="D17" s="687"/>
      <c r="E17" s="675"/>
      <c r="F17" s="709"/>
      <c r="G17" s="631" t="s">
        <v>110</v>
      </c>
      <c r="H17" s="629" t="s">
        <v>111</v>
      </c>
      <c r="I17" s="659"/>
      <c r="J17" s="553" t="s">
        <v>110</v>
      </c>
      <c r="K17" s="638" t="s">
        <v>111</v>
      </c>
      <c r="L17" s="659"/>
      <c r="M17" s="21"/>
      <c r="N17" s="685"/>
      <c r="O17" s="687"/>
      <c r="P17" s="675"/>
      <c r="Q17" s="677"/>
      <c r="R17" s="401" t="s">
        <v>112</v>
      </c>
    </row>
    <row r="18" spans="1:19" s="14" customFormat="1" ht="34.5" customHeight="1" x14ac:dyDescent="0.25">
      <c r="B18" s="703" t="s">
        <v>113</v>
      </c>
      <c r="C18" s="678" t="str">
        <f>INDEX('Health Data'!$D:$D, MATCH($B18, 'Health Data'!$F:$F, 0)) &amp; "; "  &amp; INDEX('Health Data'!$E:$E, MATCH($B18, 'Health Data'!$F:$F, 0))</f>
        <v>Degeneration with necrosis of the olfactory mucosa; Dow Chemical, 2006</v>
      </c>
      <c r="D18" s="717">
        <f>INDEX('Health Data'!$G:$G,MATCH(B18,'Health Data'!$F:$F,0))</f>
        <v>10.14</v>
      </c>
      <c r="E18" s="129" t="s">
        <v>98</v>
      </c>
      <c r="F18" s="389">
        <f>INDEX('Health Data'!$H:$H,MATCH(B18,'Health Data'!$F:$F,0))</f>
        <v>30</v>
      </c>
      <c r="G18" s="391">
        <f>IFERROR(D18/$F$10, "")</f>
        <v>2.2647732385770376</v>
      </c>
      <c r="H18" s="90" t="str">
        <f>IFERROR(D18/$F$11, "")</f>
        <v/>
      </c>
      <c r="I18" s="58"/>
      <c r="J18" s="355">
        <f>IFERROR(G18*$G$4,"")</f>
        <v>0</v>
      </c>
      <c r="K18" s="375" t="str">
        <f>IFERROR(H18*$G$4,"")</f>
        <v/>
      </c>
      <c r="L18" s="58"/>
      <c r="M18" s="21" t="s">
        <v>114</v>
      </c>
      <c r="N18" s="678" t="str">
        <f>INDEX('Health Data'!$D:$D, MATCH($M18, 'Health Data'!$F:$F, 0)) &amp; "; "  &amp; INDEX('Health Data'!$E:$E, MATCH($M18, 'Health Data'!$F:$F, 0))</f>
        <v>Increased kidney weight; Renal system; Storer et al. 1984</v>
      </c>
      <c r="O18" s="680">
        <f>INDEX('Health Data'!$G:$G,MATCH(M18,'Health Data'!$F:$F,0))</f>
        <v>19.899999999999999</v>
      </c>
      <c r="P18" s="221" t="s">
        <v>98</v>
      </c>
      <c r="Q18" s="222">
        <f>INDEX('Health Data'!$H:$H,MATCH(M18,'Health Data'!$F:$F,0))</f>
        <v>30</v>
      </c>
      <c r="R18" s="402">
        <f>IFERROR(O18/$Q$10, "")</f>
        <v>287.23808402409537</v>
      </c>
    </row>
    <row r="19" spans="1:19" s="14" customFormat="1" ht="34.5" customHeight="1" thickBot="1" x14ac:dyDescent="0.3">
      <c r="B19" s="703"/>
      <c r="C19" s="679"/>
      <c r="D19" s="681"/>
      <c r="E19" s="127" t="s">
        <v>101</v>
      </c>
      <c r="F19" s="390">
        <f>INDEX('Health Data'!$H:$H,MATCH(B18,'Health Data'!$F:$F,0))</f>
        <v>30</v>
      </c>
      <c r="G19" s="392">
        <f>IFERROR(D18/$F$12, "")</f>
        <v>8.6199204200155357</v>
      </c>
      <c r="H19" s="164" t="str">
        <f>IFERROR(D18/$F$13, "")</f>
        <v/>
      </c>
      <c r="I19" s="58"/>
      <c r="J19" s="383">
        <f>IFERROR(G19*$G$4,"")</f>
        <v>0</v>
      </c>
      <c r="K19" s="376" t="str">
        <f>IFERROR(H19*$G$4,"")</f>
        <v/>
      </c>
      <c r="L19" s="58"/>
      <c r="M19" s="21"/>
      <c r="N19" s="679"/>
      <c r="O19" s="681"/>
      <c r="P19" s="131" t="s">
        <v>101</v>
      </c>
      <c r="Q19" s="223">
        <f>INDEX('Health Data'!$H:$H,MATCH(M18,'Health Data'!$F:$F,0))</f>
        <v>30</v>
      </c>
      <c r="R19" s="403">
        <f>IFERROR(O18/$Q$11,"")</f>
        <v>490.91318532180293</v>
      </c>
    </row>
    <row r="20" spans="1:19" s="14" customFormat="1" x14ac:dyDescent="0.25">
      <c r="B20" s="635"/>
      <c r="C20" s="640"/>
      <c r="D20" s="12"/>
      <c r="E20" s="42"/>
      <c r="F20" s="66"/>
      <c r="G20" s="58"/>
      <c r="H20" s="58"/>
      <c r="I20" s="58"/>
      <c r="M20" s="219"/>
      <c r="N20" s="640"/>
      <c r="O20" s="12"/>
      <c r="P20" s="12"/>
      <c r="Q20" s="66"/>
      <c r="R20" s="12"/>
      <c r="S20" s="58"/>
    </row>
    <row r="21" spans="1:19" s="14" customFormat="1" ht="39.75" customHeight="1" thickBot="1" x14ac:dyDescent="0.3">
      <c r="B21" s="635"/>
      <c r="C21" s="59" t="s">
        <v>115</v>
      </c>
      <c r="D21" s="59"/>
      <c r="E21" s="60"/>
      <c r="F21" s="61"/>
      <c r="G21" s="61"/>
      <c r="H21" s="61"/>
      <c r="I21" s="10"/>
      <c r="J21" s="61"/>
      <c r="K21" s="61"/>
      <c r="L21" s="10"/>
      <c r="N21" s="20" t="s">
        <v>116</v>
      </c>
      <c r="O21" s="20"/>
      <c r="P21" s="20"/>
      <c r="Q21" s="10"/>
      <c r="R21" s="20"/>
    </row>
    <row r="22" spans="1:19" s="14" customFormat="1" ht="28.5" customHeight="1" x14ac:dyDescent="0.25">
      <c r="B22" s="635"/>
      <c r="C22" s="684" t="s">
        <v>104</v>
      </c>
      <c r="D22" s="686" t="s">
        <v>105</v>
      </c>
      <c r="E22" s="674" t="s">
        <v>80</v>
      </c>
      <c r="F22" s="708" t="s">
        <v>106</v>
      </c>
      <c r="G22" s="684" t="s">
        <v>117</v>
      </c>
      <c r="H22" s="676"/>
      <c r="I22" s="659"/>
      <c r="J22" s="688" t="str">
        <f>_xlfn.CONCAT("Respirator Scenario: APF of ",$G$4)</f>
        <v xml:space="preserve">Respirator Scenario: APF of </v>
      </c>
      <c r="K22" s="689"/>
      <c r="L22" s="659"/>
      <c r="N22" s="684" t="s">
        <v>104</v>
      </c>
      <c r="O22" s="686" t="s">
        <v>108</v>
      </c>
      <c r="P22" s="690" t="s">
        <v>80</v>
      </c>
      <c r="Q22" s="676" t="s">
        <v>106</v>
      </c>
      <c r="R22" s="656" t="s">
        <v>117</v>
      </c>
    </row>
    <row r="23" spans="1:19" s="14" customFormat="1" ht="15.75" thickBot="1" x14ac:dyDescent="0.3">
      <c r="B23" s="635"/>
      <c r="C23" s="707"/>
      <c r="D23" s="687"/>
      <c r="E23" s="675"/>
      <c r="F23" s="709"/>
      <c r="G23" s="637" t="s">
        <v>110</v>
      </c>
      <c r="H23" s="395" t="s">
        <v>111</v>
      </c>
      <c r="I23" s="659"/>
      <c r="J23" s="553" t="s">
        <v>110</v>
      </c>
      <c r="K23" s="638" t="s">
        <v>111</v>
      </c>
      <c r="L23" s="659"/>
      <c r="M23" s="21"/>
      <c r="N23" s="685"/>
      <c r="O23" s="687"/>
      <c r="P23" s="691"/>
      <c r="Q23" s="677"/>
      <c r="R23" s="448" t="s">
        <v>112</v>
      </c>
    </row>
    <row r="24" spans="1:19" s="14" customFormat="1" ht="36" customHeight="1" x14ac:dyDescent="0.25">
      <c r="B24" s="703" t="s">
        <v>118</v>
      </c>
      <c r="C24" s="678" t="str">
        <f>INDEX('Health Data'!$D:$D, MATCH($B24, 'Health Data'!$F:$F, 0)) &amp; "; "  &amp; INDEX('Health Data'!$E:$E, MATCH($B24, 'Health Data'!$F:$F, 0))</f>
        <v>Decrease in sperm concentration; Zhang et al. 2017</v>
      </c>
      <c r="D24" s="710">
        <f>INDEX('Health Data'!$G:$G,MATCH(B24,'Health Data'!$F:$F,0))</f>
        <v>22</v>
      </c>
      <c r="E24" s="224" t="s">
        <v>98</v>
      </c>
      <c r="F24" s="393">
        <f>INDEX('Health Data'!$H:$H,MATCH(B24,'Health Data'!$F:$F,0))</f>
        <v>30</v>
      </c>
      <c r="G24" s="396">
        <f>IFERROR(D24/$G$10, "")</f>
        <v>6.7005125401687495</v>
      </c>
      <c r="H24" s="397" t="str">
        <f>IFERROR(D24/$G$11, "")</f>
        <v/>
      </c>
      <c r="I24" s="388"/>
      <c r="J24" s="384">
        <f>IFERROR(G24*$G$4,"")</f>
        <v>0</v>
      </c>
      <c r="K24" s="377" t="str">
        <f>IFERROR(H24*$G$4,"")</f>
        <v/>
      </c>
      <c r="L24" s="58"/>
      <c r="M24" s="21" t="s">
        <v>119</v>
      </c>
      <c r="N24" s="692" t="str">
        <f>INDEX('Health Data'!$D:$D, MATCH($M24, 'Health Data'!$F:$F, 0)) &amp; "; "  &amp; INDEX('Health Data'!$E:$E, MATCH($M24, 'Health Data'!$F:$F, 0))</f>
        <v>Increased relative kidney weight ; NTP, 1991</v>
      </c>
      <c r="O24" s="714">
        <f>INDEX('Health Data'!$G:$G,MATCH(M24,'Health Data'!$F:$F,0))</f>
        <v>9.1</v>
      </c>
      <c r="P24" s="125" t="s">
        <v>98</v>
      </c>
      <c r="Q24" s="450">
        <f>INDEX('Health Data'!$H:$H,MATCH(M24,'Health Data'!$F:$F,0))</f>
        <v>30</v>
      </c>
      <c r="R24" s="449">
        <f>IFERROR(O24/$R$10, "")</f>
        <v>179.11374357829612</v>
      </c>
    </row>
    <row r="25" spans="1:19" s="22" customFormat="1" ht="36" customHeight="1" thickBot="1" x14ac:dyDescent="0.3">
      <c r="A25" s="14"/>
      <c r="B25" s="703"/>
      <c r="C25" s="679"/>
      <c r="D25" s="711"/>
      <c r="E25" s="131" t="s">
        <v>101</v>
      </c>
      <c r="F25" s="394">
        <f>INDEX('Health Data'!$H:$H,MATCH(B24,'Health Data'!$F:$F,0))</f>
        <v>30</v>
      </c>
      <c r="G25" s="398">
        <f>IFERROR(D24/$G$12, "")</f>
        <v>25.502723136140634</v>
      </c>
      <c r="H25" s="370" t="str">
        <f>IFERROR(D24/$G$13, "")</f>
        <v/>
      </c>
      <c r="I25" s="388"/>
      <c r="J25" s="385">
        <f>IFERROR(G25*$G$4,"")</f>
        <v>0</v>
      </c>
      <c r="K25" s="378" t="str">
        <f>IFERROR(H25*$G$4,"")</f>
        <v/>
      </c>
      <c r="L25" s="58"/>
      <c r="M25" s="21"/>
      <c r="N25" s="693"/>
      <c r="O25" s="715"/>
      <c r="P25" s="143" t="s">
        <v>101</v>
      </c>
      <c r="Q25" s="445">
        <f>INDEX('Health Data'!$H:$H,MATCH(M24,'Health Data'!$F:$F,0))</f>
        <v>30</v>
      </c>
      <c r="R25" s="443">
        <f>IFERROR(O24/$R$11,"")</f>
        <v>306.11991684068573</v>
      </c>
    </row>
    <row r="26" spans="1:19" s="22" customFormat="1" ht="36" customHeight="1" x14ac:dyDescent="0.25">
      <c r="A26" s="14"/>
      <c r="B26" s="635"/>
      <c r="C26" s="640"/>
      <c r="D26" s="439"/>
      <c r="E26" s="112"/>
      <c r="F26" s="447"/>
      <c r="G26" s="388"/>
      <c r="H26" s="440"/>
      <c r="I26" s="388"/>
      <c r="J26" s="440"/>
      <c r="K26" s="440"/>
      <c r="L26" s="58"/>
      <c r="M26" s="21"/>
      <c r="N26" s="694" t="s">
        <v>120</v>
      </c>
      <c r="O26" s="715"/>
      <c r="P26" s="143" t="s">
        <v>98</v>
      </c>
      <c r="Q26" s="445">
        <v>100</v>
      </c>
      <c r="R26" s="443">
        <f>IFERROR(O24/$R$10, "")</f>
        <v>179.11374357829612</v>
      </c>
    </row>
    <row r="27" spans="1:19" s="22" customFormat="1" ht="36" customHeight="1" thickBot="1" x14ac:dyDescent="0.3">
      <c r="A27" s="14"/>
      <c r="B27" s="635"/>
      <c r="C27" s="640"/>
      <c r="D27" s="439"/>
      <c r="E27" s="112"/>
      <c r="F27" s="447"/>
      <c r="G27" s="388"/>
      <c r="H27" s="440"/>
      <c r="I27" s="388"/>
      <c r="J27" s="440"/>
      <c r="K27" s="440"/>
      <c r="L27" s="58"/>
      <c r="M27" s="21"/>
      <c r="N27" s="695"/>
      <c r="O27" s="716"/>
      <c r="P27" s="127" t="s">
        <v>101</v>
      </c>
      <c r="Q27" s="223">
        <v>100</v>
      </c>
      <c r="R27" s="444">
        <f>IFERROR(O24/$R$11,"")</f>
        <v>306.11991684068573</v>
      </c>
    </row>
    <row r="28" spans="1:19" s="14" customFormat="1" x14ac:dyDescent="0.25">
      <c r="B28" s="635"/>
      <c r="C28" s="640"/>
      <c r="D28" s="12"/>
      <c r="E28" s="42"/>
      <c r="F28" s="66"/>
      <c r="G28" s="58"/>
      <c r="H28" s="58"/>
      <c r="I28" s="58"/>
      <c r="M28" s="219"/>
      <c r="N28" s="640"/>
      <c r="O28" s="12"/>
      <c r="P28" s="12"/>
      <c r="Q28" s="66"/>
      <c r="R28" s="12"/>
      <c r="S28" s="58"/>
    </row>
    <row r="29" spans="1:19" s="14" customFormat="1" ht="39.75" customHeight="1" thickBot="1" x14ac:dyDescent="0.3">
      <c r="B29" s="635"/>
      <c r="C29" s="59" t="s">
        <v>121</v>
      </c>
      <c r="D29" s="59"/>
      <c r="E29" s="60"/>
      <c r="F29" s="61"/>
      <c r="G29" s="61"/>
      <c r="H29" s="61"/>
      <c r="I29" s="10"/>
      <c r="J29" s="61"/>
      <c r="K29" s="61"/>
      <c r="L29" s="10"/>
      <c r="N29" s="20" t="s">
        <v>122</v>
      </c>
      <c r="O29" s="20"/>
      <c r="P29" s="20"/>
      <c r="Q29" s="10"/>
      <c r="R29" s="20"/>
    </row>
    <row r="30" spans="1:19" s="14" customFormat="1" ht="28.5" customHeight="1" x14ac:dyDescent="0.25">
      <c r="B30" s="635"/>
      <c r="C30" s="684" t="s">
        <v>104</v>
      </c>
      <c r="D30" s="686" t="s">
        <v>105</v>
      </c>
      <c r="E30" s="674" t="s">
        <v>80</v>
      </c>
      <c r="F30" s="708" t="s">
        <v>106</v>
      </c>
      <c r="G30" s="684" t="s">
        <v>109</v>
      </c>
      <c r="H30" s="676"/>
      <c r="I30" s="659"/>
      <c r="J30" s="688" t="str">
        <f>_xlfn.CONCAT("Respirator Scenario: APF of ",$G$4)</f>
        <v xml:space="preserve">Respirator Scenario: APF of </v>
      </c>
      <c r="K30" s="689"/>
      <c r="L30" s="659"/>
      <c r="N30" s="684" t="s">
        <v>104</v>
      </c>
      <c r="O30" s="686" t="s">
        <v>108</v>
      </c>
      <c r="P30" s="690" t="s">
        <v>80</v>
      </c>
      <c r="Q30" s="676" t="s">
        <v>106</v>
      </c>
      <c r="R30" s="656" t="s">
        <v>109</v>
      </c>
    </row>
    <row r="31" spans="1:19" s="14" customFormat="1" ht="15.75" thickBot="1" x14ac:dyDescent="0.3">
      <c r="B31" s="635"/>
      <c r="C31" s="707"/>
      <c r="D31" s="687"/>
      <c r="E31" s="675"/>
      <c r="F31" s="709"/>
      <c r="G31" s="637" t="s">
        <v>110</v>
      </c>
      <c r="H31" s="395" t="s">
        <v>111</v>
      </c>
      <c r="I31" s="659"/>
      <c r="J31" s="553" t="s">
        <v>110</v>
      </c>
      <c r="K31" s="638" t="s">
        <v>111</v>
      </c>
      <c r="L31" s="659"/>
      <c r="M31" s="21"/>
      <c r="N31" s="685"/>
      <c r="O31" s="687"/>
      <c r="P31" s="691"/>
      <c r="Q31" s="677"/>
      <c r="R31" s="448" t="s">
        <v>112</v>
      </c>
    </row>
    <row r="32" spans="1:19" s="14" customFormat="1" ht="35.25" customHeight="1" x14ac:dyDescent="0.25">
      <c r="B32" s="703" t="s">
        <v>123</v>
      </c>
      <c r="C32" s="678" t="str">
        <f>INDEX('Health Data'!$D:$D, MATCH($B32, 'Health Data'!$F:$F, 0)) &amp; "; "  &amp; INDEX('Health Data'!$E:$E, MATCH($B32, 'Health Data'!$F:$F, 0))</f>
        <v>Decrease in sperm concentration; Zhang et al. 2017</v>
      </c>
      <c r="D32" s="680">
        <f>INDEX('Health Data'!$G:$G,MATCH(B32,'Health Data'!$F:$F,0))</f>
        <v>22</v>
      </c>
      <c r="E32" s="224" t="s">
        <v>98</v>
      </c>
      <c r="F32" s="393">
        <f>INDEX('Health Data'!$H:$H,MATCH(B32,'Health Data'!$F:$F,0))</f>
        <v>300</v>
      </c>
      <c r="G32" s="399">
        <f>IFERROR(D32/$H$10, "")</f>
        <v>14.011748879571631</v>
      </c>
      <c r="H32" s="90" t="str">
        <f>IFERROR(D32/$H$11, "")</f>
        <v/>
      </c>
      <c r="I32" s="58"/>
      <c r="J32" s="148">
        <f>IFERROR(G32*$G$4,"")</f>
        <v>0</v>
      </c>
      <c r="K32" s="379" t="str">
        <f>IFERROR(H32*$G$4,"")</f>
        <v/>
      </c>
      <c r="L32" s="58"/>
      <c r="M32" s="21" t="s">
        <v>124</v>
      </c>
      <c r="N32" s="693" t="str">
        <f>INDEX('Health Data'!$D:$D, MATCH($M32, 'Health Data'!$F:$F, 0)) &amp; "; "  &amp; INDEX('Health Data'!$E:$E, MATCH($M32, 'Health Data'!$F:$F, 0))</f>
        <v>Increased relative kidney weight; NTP, 1991</v>
      </c>
      <c r="O32" s="714">
        <f>INDEX('Health Data'!$G:$G,MATCH(M32,'Health Data'!$F:$F,0))</f>
        <v>9.1</v>
      </c>
      <c r="P32" s="125" t="s">
        <v>98</v>
      </c>
      <c r="Q32" s="450">
        <f>INDEX('Health Data'!$H:$H,MATCH(M32,'Health Data'!$F:$F,0))</f>
        <v>300</v>
      </c>
      <c r="R32" s="449">
        <f>IFERROR(O32/$S$10, "")</f>
        <v>494.44988211822505</v>
      </c>
    </row>
    <row r="33" spans="1:19" s="22" customFormat="1" ht="35.25" customHeight="1" thickBot="1" x14ac:dyDescent="0.3">
      <c r="A33" s="14"/>
      <c r="B33" s="703"/>
      <c r="C33" s="679"/>
      <c r="D33" s="681"/>
      <c r="E33" s="131" t="s">
        <v>101</v>
      </c>
      <c r="F33" s="394">
        <f>INDEX('Health Data'!$H:$H,MATCH(B32,'Health Data'!$F:$F,0))</f>
        <v>300</v>
      </c>
      <c r="G33" s="163">
        <f>IFERROR(D32/$H$12, "")</f>
        <v>262.54726510667865</v>
      </c>
      <c r="H33" s="164" t="str">
        <f>IFERROR(D32/$H$13, "")</f>
        <v/>
      </c>
      <c r="I33" s="58"/>
      <c r="J33" s="383">
        <f>IFERROR(G33*$G$4,"")</f>
        <v>0</v>
      </c>
      <c r="K33" s="376" t="str">
        <f>IFERROR(H33*$G$4,"")</f>
        <v/>
      </c>
      <c r="L33" s="58"/>
      <c r="M33" s="21"/>
      <c r="N33" s="713"/>
      <c r="O33" s="715"/>
      <c r="P33" s="143" t="s">
        <v>101</v>
      </c>
      <c r="Q33" s="445">
        <f>INDEX('Health Data'!$H:$H,MATCH(M32,'Health Data'!$F:$F,0))</f>
        <v>300</v>
      </c>
      <c r="R33" s="443">
        <f>IFERROR(O32/$S$11,"")</f>
        <v>1140.3651808619777</v>
      </c>
    </row>
    <row r="34" spans="1:19" s="22" customFormat="1" ht="35.25" customHeight="1" x14ac:dyDescent="0.25">
      <c r="A34" s="14"/>
      <c r="B34" s="635"/>
      <c r="C34" s="640"/>
      <c r="D34" s="441"/>
      <c r="E34" s="112"/>
      <c r="F34" s="447"/>
      <c r="G34" s="442"/>
      <c r="H34" s="442"/>
      <c r="I34" s="58"/>
      <c r="J34" s="442"/>
      <c r="K34" s="442"/>
      <c r="L34" s="58"/>
      <c r="M34" s="21"/>
      <c r="N34" s="713"/>
      <c r="O34" s="715"/>
      <c r="P34" s="143" t="s">
        <v>98</v>
      </c>
      <c r="Q34" s="445">
        <v>1000</v>
      </c>
      <c r="R34" s="443">
        <f>IFERROR(O32/$S$10, "")</f>
        <v>494.44988211822505</v>
      </c>
    </row>
    <row r="35" spans="1:19" s="22" customFormat="1" ht="35.25" customHeight="1" thickBot="1" x14ac:dyDescent="0.3">
      <c r="A35" s="14"/>
      <c r="B35" s="635"/>
      <c r="C35" s="640"/>
      <c r="D35" s="441"/>
      <c r="E35" s="112"/>
      <c r="F35" s="447"/>
      <c r="G35" s="442"/>
      <c r="H35" s="442"/>
      <c r="I35" s="58"/>
      <c r="J35" s="442"/>
      <c r="K35" s="442"/>
      <c r="L35" s="58"/>
      <c r="M35" s="21"/>
      <c r="N35" s="679"/>
      <c r="O35" s="716"/>
      <c r="P35" s="127" t="s">
        <v>101</v>
      </c>
      <c r="Q35" s="223">
        <v>1000</v>
      </c>
      <c r="R35" s="444">
        <f>IFERROR(O32/$S$11,"")</f>
        <v>1140.3651808619777</v>
      </c>
    </row>
    <row r="36" spans="1:19" s="22" customFormat="1" x14ac:dyDescent="0.25">
      <c r="B36" s="21"/>
      <c r="C36" s="65"/>
      <c r="D36" s="42"/>
      <c r="E36" s="58"/>
      <c r="F36" s="12"/>
      <c r="G36" s="58"/>
      <c r="H36" s="43"/>
      <c r="I36" s="43"/>
      <c r="M36" s="14"/>
      <c r="N36" s="65"/>
      <c r="O36" s="65"/>
      <c r="P36" s="65"/>
      <c r="Q36" s="58"/>
      <c r="R36" s="42"/>
      <c r="S36" s="43"/>
    </row>
    <row r="37" spans="1:19" s="22" customFormat="1" x14ac:dyDescent="0.25">
      <c r="B37" s="21"/>
      <c r="C37" s="65"/>
      <c r="D37" s="42"/>
      <c r="E37" s="58"/>
      <c r="F37" s="12"/>
      <c r="G37" s="58"/>
      <c r="H37" s="43"/>
      <c r="I37" s="43"/>
      <c r="M37" s="14"/>
      <c r="N37" s="65"/>
      <c r="O37" s="65"/>
      <c r="P37" s="65"/>
      <c r="Q37" s="58"/>
      <c r="R37" s="42"/>
      <c r="S37" s="43"/>
    </row>
    <row r="38" spans="1:19" s="22" customFormat="1" ht="15.75" thickBot="1" x14ac:dyDescent="0.3">
      <c r="B38" s="635"/>
      <c r="C38" s="640"/>
      <c r="D38" s="12"/>
      <c r="E38" s="42"/>
      <c r="F38" s="43"/>
      <c r="G38" s="58"/>
      <c r="H38" s="58"/>
      <c r="I38" s="58"/>
      <c r="M38" s="12"/>
      <c r="N38" s="640"/>
      <c r="O38" s="640"/>
      <c r="P38" s="640"/>
      <c r="Q38" s="42"/>
      <c r="R38" s="12"/>
      <c r="S38" s="58"/>
    </row>
    <row r="39" spans="1:19" s="22" customFormat="1" ht="37.5" customHeight="1" thickBot="1" x14ac:dyDescent="0.3">
      <c r="B39" s="11"/>
      <c r="C39" s="20" t="s">
        <v>125</v>
      </c>
      <c r="D39" s="14"/>
      <c r="E39" s="10"/>
      <c r="F39" s="12"/>
      <c r="G39" s="682" t="s">
        <v>126</v>
      </c>
      <c r="H39" s="683"/>
      <c r="I39" s="659"/>
      <c r="J39" s="688" t="str">
        <f>_xlfn.CONCAT("Respirator Scenario: APF of ",$G$4)</f>
        <v xml:space="preserve">Respirator Scenario: APF of </v>
      </c>
      <c r="K39" s="697"/>
      <c r="L39" s="659"/>
      <c r="M39" s="14"/>
      <c r="N39" s="20"/>
      <c r="O39" s="20"/>
      <c r="Q39" s="10"/>
      <c r="R39" s="659"/>
      <c r="S39" s="10"/>
    </row>
    <row r="40" spans="1:19" s="22" customFormat="1" ht="15.75" thickBot="1" x14ac:dyDescent="0.25">
      <c r="B40" s="11"/>
      <c r="C40" s="64" t="s">
        <v>127</v>
      </c>
      <c r="D40" s="88" t="s">
        <v>128</v>
      </c>
      <c r="E40" s="88" t="s">
        <v>80</v>
      </c>
      <c r="F40" s="89" t="s">
        <v>129</v>
      </c>
      <c r="G40" s="64" t="s">
        <v>130</v>
      </c>
      <c r="H40" s="235" t="s">
        <v>131</v>
      </c>
      <c r="I40" s="659"/>
      <c r="J40" s="374" t="s">
        <v>130</v>
      </c>
      <c r="K40" s="380" t="s">
        <v>131</v>
      </c>
      <c r="L40" s="659"/>
      <c r="M40" s="14"/>
      <c r="N40" s="659"/>
      <c r="O40" s="634"/>
      <c r="P40" s="122"/>
      <c r="Q40" s="446"/>
      <c r="R40" s="659"/>
    </row>
    <row r="41" spans="1:19" s="14" customFormat="1" ht="23.25" customHeight="1" x14ac:dyDescent="0.25">
      <c r="A41" s="22"/>
      <c r="B41" s="635" t="s">
        <v>132</v>
      </c>
      <c r="C41" s="678" t="str">
        <f>INDEX('Health Data'!$D:$D, MATCH($B41, 'Health Data'!$F:$F, 0)) &amp; "; "  &amp; INDEX('Health Data'!$E:$E, MATCH($B41, 'Health Data'!$F:$F, 0))</f>
        <v>Result of combined cancer modeling; Nagano, 2006</v>
      </c>
      <c r="D41" s="704">
        <f>INDEX('Health Data'!$I:$I,MATCH(B41,'Health Data'!$F:$F,0))</f>
        <v>9.4999999999999998E-3</v>
      </c>
      <c r="E41" s="655" t="s">
        <v>98</v>
      </c>
      <c r="F41" s="87" t="s">
        <v>133</v>
      </c>
      <c r="G41" s="236">
        <f>IFERROR(I10*D41, "")</f>
        <v>7.6492583545904862E-3</v>
      </c>
      <c r="H41" s="237">
        <f>IFERROR(I11*D41, "")</f>
        <v>0</v>
      </c>
      <c r="I41" s="640"/>
      <c r="J41" s="386" t="str">
        <f>IFERROR(G41/$G$4,"")</f>
        <v/>
      </c>
      <c r="K41" s="381" t="str">
        <f>IFERROR(H41/$G$4,"")</f>
        <v/>
      </c>
      <c r="L41" s="640"/>
      <c r="N41" s="712"/>
      <c r="O41" s="706"/>
      <c r="P41" s="113"/>
      <c r="Q41" s="696"/>
      <c r="R41" s="11"/>
    </row>
    <row r="42" spans="1:19" s="14" customFormat="1" ht="24" customHeight="1" thickBot="1" x14ac:dyDescent="0.3">
      <c r="B42" s="635"/>
      <c r="C42" s="679"/>
      <c r="D42" s="705"/>
      <c r="E42" s="63" t="s">
        <v>101</v>
      </c>
      <c r="F42" s="404" t="s">
        <v>133</v>
      </c>
      <c r="G42" s="238">
        <f>IFERROR(I12*D41, "")</f>
        <v>3.1637771023953278E-4</v>
      </c>
      <c r="H42" s="239">
        <f>IFERROR(I13*D41, "")</f>
        <v>0</v>
      </c>
      <c r="I42" s="640"/>
      <c r="J42" s="387" t="str">
        <f>IFERROR(G42/$G$4,"")</f>
        <v/>
      </c>
      <c r="K42" s="382" t="str">
        <f>IFERROR(H42/$G$4,"")</f>
        <v/>
      </c>
      <c r="L42" s="640"/>
      <c r="N42" s="712"/>
      <c r="O42" s="706"/>
      <c r="P42" s="113"/>
      <c r="Q42" s="696"/>
      <c r="R42" s="11"/>
      <c r="S42" s="12"/>
    </row>
    <row r="43" spans="1:19" s="14" customFormat="1" x14ac:dyDescent="0.25">
      <c r="B43" s="635"/>
      <c r="C43" s="18"/>
      <c r="D43" s="113"/>
      <c r="E43" s="113"/>
      <c r="F43" s="634"/>
      <c r="G43" s="188"/>
      <c r="H43" s="640"/>
      <c r="I43" s="188"/>
      <c r="J43" s="640"/>
      <c r="K43" s="640"/>
      <c r="L43" s="640"/>
      <c r="N43" s="18"/>
      <c r="O43" s="113"/>
      <c r="P43" s="112"/>
      <c r="Q43" s="634"/>
      <c r="R43" s="11"/>
      <c r="S43" s="11"/>
    </row>
    <row r="44" spans="1:19" s="14" customFormat="1" x14ac:dyDescent="0.25">
      <c r="B44" s="635"/>
      <c r="C44" s="18"/>
      <c r="D44" s="113"/>
      <c r="E44" s="113"/>
      <c r="F44" s="634"/>
      <c r="G44" s="188"/>
      <c r="H44" s="640"/>
      <c r="I44" s="188"/>
      <c r="J44" s="640"/>
      <c r="K44" s="640"/>
      <c r="L44" s="640"/>
      <c r="N44" s="18"/>
      <c r="O44" s="113"/>
      <c r="P44" s="112"/>
      <c r="Q44" s="634"/>
      <c r="R44" s="11"/>
      <c r="S44" s="11"/>
    </row>
    <row r="45" spans="1:19" s="22" customFormat="1" x14ac:dyDescent="0.25">
      <c r="A45" s="14"/>
      <c r="B45" s="19"/>
      <c r="C45" s="12"/>
      <c r="D45" s="11"/>
      <c r="E45" s="12"/>
      <c r="F45" s="12"/>
      <c r="G45" s="12"/>
      <c r="H45" s="12"/>
      <c r="I45" s="12"/>
      <c r="J45" s="12"/>
      <c r="K45" s="12"/>
      <c r="L45" s="12"/>
      <c r="M45" s="14"/>
      <c r="N45" s="12"/>
      <c r="O45" s="12"/>
      <c r="P45" s="12"/>
      <c r="Q45" s="12"/>
      <c r="R45" s="12"/>
      <c r="S45" s="14"/>
    </row>
    <row r="46" spans="1:19" s="22" customFormat="1" x14ac:dyDescent="0.25">
      <c r="B46" s="11"/>
      <c r="C46" s="12"/>
      <c r="D46" s="11"/>
      <c r="E46" s="12"/>
      <c r="F46" s="12"/>
      <c r="G46" s="12"/>
      <c r="H46" s="12"/>
      <c r="I46" s="12"/>
      <c r="J46" s="12"/>
      <c r="K46" s="12"/>
      <c r="L46" s="12"/>
      <c r="M46" s="14"/>
      <c r="N46" s="12"/>
      <c r="O46" s="12"/>
      <c r="P46" s="12"/>
      <c r="Q46" s="12"/>
      <c r="R46" s="14"/>
    </row>
    <row r="47" spans="1:19" s="14" customFormat="1" x14ac:dyDescent="0.25">
      <c r="A47" s="22"/>
      <c r="B47" s="11"/>
      <c r="C47" s="12"/>
      <c r="D47" s="11"/>
      <c r="E47" s="12"/>
      <c r="F47" s="12"/>
      <c r="G47" s="12"/>
      <c r="H47" s="12"/>
      <c r="I47" s="12"/>
      <c r="J47" s="12"/>
      <c r="K47" s="12"/>
      <c r="L47" s="12"/>
      <c r="N47" s="12"/>
      <c r="O47" s="12"/>
      <c r="P47" s="12"/>
      <c r="Q47" s="12"/>
      <c r="R47" s="12"/>
    </row>
    <row r="48" spans="1:19" s="14" customFormat="1" x14ac:dyDescent="0.25">
      <c r="B48" s="11"/>
      <c r="C48" s="12"/>
      <c r="D48" s="11"/>
      <c r="E48" s="12"/>
      <c r="F48" s="12"/>
      <c r="G48" s="12"/>
      <c r="H48" s="12"/>
      <c r="I48" s="12"/>
      <c r="J48" s="12"/>
      <c r="K48" s="12"/>
      <c r="L48" s="12"/>
      <c r="M48" s="12"/>
      <c r="N48" s="12"/>
      <c r="O48" s="12"/>
      <c r="P48" s="12"/>
      <c r="Q48" s="12"/>
      <c r="R48" s="12"/>
    </row>
    <row r="49" spans="1:18" x14ac:dyDescent="0.25">
      <c r="A49" s="14"/>
    </row>
    <row r="55" spans="1:18" x14ac:dyDescent="0.25">
      <c r="H55" s="14"/>
      <c r="I55" s="14"/>
      <c r="J55" s="14"/>
      <c r="K55" s="14"/>
      <c r="L55" s="14"/>
    </row>
    <row r="60" spans="1:18" x14ac:dyDescent="0.25">
      <c r="N60" s="14"/>
      <c r="O60" s="14"/>
      <c r="P60" s="14"/>
      <c r="Q60" s="14"/>
    </row>
    <row r="61" spans="1:18" x14ac:dyDescent="0.25">
      <c r="C61" s="14"/>
      <c r="D61" s="19"/>
      <c r="E61" s="14"/>
      <c r="F61" s="14"/>
      <c r="G61" s="14"/>
    </row>
    <row r="63" spans="1:18" x14ac:dyDescent="0.25">
      <c r="B63" s="19"/>
    </row>
    <row r="64" spans="1:18" x14ac:dyDescent="0.25">
      <c r="B64" s="36"/>
      <c r="R64" s="14"/>
    </row>
    <row r="65" spans="1:18" x14ac:dyDescent="0.25">
      <c r="B65" s="36"/>
      <c r="H65" s="25"/>
      <c r="I65" s="25"/>
      <c r="J65" s="25"/>
      <c r="K65" s="25"/>
      <c r="L65" s="25"/>
      <c r="M65" s="14"/>
    </row>
    <row r="66" spans="1:18" s="14" customFormat="1" x14ac:dyDescent="0.25">
      <c r="A66" s="12"/>
      <c r="B66" s="36"/>
      <c r="C66" s="12"/>
      <c r="D66" s="11"/>
      <c r="E66" s="12"/>
      <c r="F66" s="12"/>
      <c r="G66" s="12"/>
      <c r="H66" s="25"/>
      <c r="I66" s="25"/>
      <c r="J66" s="25"/>
      <c r="K66" s="25"/>
      <c r="L66" s="25"/>
      <c r="M66" s="12"/>
      <c r="N66" s="12"/>
      <c r="O66" s="12"/>
      <c r="P66" s="12"/>
      <c r="Q66" s="12"/>
      <c r="R66" s="12"/>
    </row>
    <row r="67" spans="1:18" x14ac:dyDescent="0.25">
      <c r="A67" s="14"/>
      <c r="B67" s="36"/>
      <c r="H67" s="24"/>
      <c r="I67" s="24"/>
      <c r="J67" s="24"/>
      <c r="K67" s="24"/>
      <c r="L67" s="24"/>
    </row>
    <row r="68" spans="1:18" x14ac:dyDescent="0.25">
      <c r="B68" s="36"/>
      <c r="H68" s="24"/>
      <c r="I68" s="24"/>
      <c r="J68" s="24"/>
      <c r="K68" s="24"/>
      <c r="L68" s="24"/>
    </row>
    <row r="69" spans="1:18" x14ac:dyDescent="0.25">
      <c r="B69" s="36"/>
    </row>
    <row r="70" spans="1:18" x14ac:dyDescent="0.25">
      <c r="B70" s="36"/>
      <c r="C70" s="35"/>
      <c r="D70" s="36"/>
      <c r="E70" s="35"/>
      <c r="N70" s="24"/>
      <c r="O70" s="24"/>
      <c r="P70" s="24"/>
      <c r="Q70" s="24"/>
    </row>
    <row r="71" spans="1:18" x14ac:dyDescent="0.25">
      <c r="B71" s="36"/>
      <c r="E71" s="37"/>
      <c r="F71" s="24"/>
      <c r="G71" s="25"/>
      <c r="N71" s="24"/>
      <c r="O71" s="24"/>
      <c r="P71" s="24"/>
      <c r="Q71" s="24"/>
    </row>
    <row r="73" spans="1:18" x14ac:dyDescent="0.25">
      <c r="P73" s="11"/>
    </row>
    <row r="77" spans="1:18" x14ac:dyDescent="0.25">
      <c r="P77" s="69"/>
    </row>
    <row r="95" spans="3:16" x14ac:dyDescent="0.25">
      <c r="C95" s="92" t="s">
        <v>134</v>
      </c>
      <c r="D95" s="92" t="s">
        <v>135</v>
      </c>
      <c r="N95" s="92" t="s">
        <v>136</v>
      </c>
      <c r="O95" s="92" t="s">
        <v>98</v>
      </c>
      <c r="P95" s="92" t="s">
        <v>101</v>
      </c>
    </row>
    <row r="96" spans="3:16" x14ac:dyDescent="0.25">
      <c r="C96" s="93" t="s">
        <v>137</v>
      </c>
      <c r="D96" s="91">
        <f>H42</f>
        <v>0</v>
      </c>
      <c r="E96" s="12" t="str">
        <f>K42</f>
        <v/>
      </c>
      <c r="N96" s="93">
        <f>R40</f>
        <v>0</v>
      </c>
      <c r="O96" s="91">
        <f>R41</f>
        <v>0</v>
      </c>
      <c r="P96" s="165">
        <f>R42</f>
        <v>0</v>
      </c>
    </row>
    <row r="97" spans="3:5" x14ac:dyDescent="0.25">
      <c r="C97" s="93" t="s">
        <v>138</v>
      </c>
      <c r="D97" s="91">
        <f>H41</f>
        <v>0</v>
      </c>
      <c r="E97" s="12" t="str">
        <f>K41</f>
        <v/>
      </c>
    </row>
    <row r="98" spans="3:5" x14ac:dyDescent="0.25">
      <c r="C98" s="93" t="s">
        <v>139</v>
      </c>
      <c r="D98" s="91">
        <f>G42</f>
        <v>3.1637771023953278E-4</v>
      </c>
      <c r="E98" s="12" t="str">
        <f>J42</f>
        <v/>
      </c>
    </row>
    <row r="99" spans="3:5" x14ac:dyDescent="0.25">
      <c r="C99" s="93" t="s">
        <v>140</v>
      </c>
      <c r="D99" s="91">
        <f>G41</f>
        <v>7.6492583545904862E-3</v>
      </c>
      <c r="E99" s="12" t="str">
        <f>J41</f>
        <v/>
      </c>
    </row>
  </sheetData>
  <sheetProtection sheet="1" objects="1" scenarios="1" formatCells="0" formatColumns="0" formatRows="0"/>
  <dataConsolidate link="1"/>
  <mergeCells count="64">
    <mergeCell ref="N2:O2"/>
    <mergeCell ref="F30:F31"/>
    <mergeCell ref="N4:O4"/>
    <mergeCell ref="O8:O9"/>
    <mergeCell ref="N10:N11"/>
    <mergeCell ref="N8:N9"/>
    <mergeCell ref="J30:K30"/>
    <mergeCell ref="F5:G5"/>
    <mergeCell ref="J16:K16"/>
    <mergeCell ref="N3:O3"/>
    <mergeCell ref="O24:O27"/>
    <mergeCell ref="E16:E17"/>
    <mergeCell ref="G16:H16"/>
    <mergeCell ref="F16:F17"/>
    <mergeCell ref="C16:C17"/>
    <mergeCell ref="E30:E31"/>
    <mergeCell ref="C18:C19"/>
    <mergeCell ref="D30:D31"/>
    <mergeCell ref="C30:C31"/>
    <mergeCell ref="D18:D19"/>
    <mergeCell ref="D41:D42"/>
    <mergeCell ref="O41:O42"/>
    <mergeCell ref="C22:C23"/>
    <mergeCell ref="D22:D23"/>
    <mergeCell ref="E22:E23"/>
    <mergeCell ref="F22:F23"/>
    <mergeCell ref="C24:C25"/>
    <mergeCell ref="D24:D25"/>
    <mergeCell ref="C41:C42"/>
    <mergeCell ref="N41:N42"/>
    <mergeCell ref="N32:N35"/>
    <mergeCell ref="O32:O35"/>
    <mergeCell ref="C8:C9"/>
    <mergeCell ref="D8:D9"/>
    <mergeCell ref="D10:D11"/>
    <mergeCell ref="D12:D13"/>
    <mergeCell ref="B32:B33"/>
    <mergeCell ref="C32:C33"/>
    <mergeCell ref="D32:D33"/>
    <mergeCell ref="D16:D17"/>
    <mergeCell ref="B18:B19"/>
    <mergeCell ref="B24:B25"/>
    <mergeCell ref="Q41:Q42"/>
    <mergeCell ref="J39:K39"/>
    <mergeCell ref="P30:P31"/>
    <mergeCell ref="Q30:Q31"/>
    <mergeCell ref="N30:N31"/>
    <mergeCell ref="O30:O31"/>
    <mergeCell ref="P16:P17"/>
    <mergeCell ref="Q16:Q17"/>
    <mergeCell ref="N18:N19"/>
    <mergeCell ref="O18:O19"/>
    <mergeCell ref="G39:H39"/>
    <mergeCell ref="N16:N17"/>
    <mergeCell ref="O16:O17"/>
    <mergeCell ref="J22:K22"/>
    <mergeCell ref="N22:N23"/>
    <mergeCell ref="O22:O23"/>
    <mergeCell ref="P22:P23"/>
    <mergeCell ref="Q22:Q23"/>
    <mergeCell ref="G30:H30"/>
    <mergeCell ref="G22:H22"/>
    <mergeCell ref="N24:N25"/>
    <mergeCell ref="N26:N27"/>
  </mergeCells>
  <conditionalFormatting sqref="E10:I13 G41:K42">
    <cfRule type="cellIs" dxfId="102" priority="27" operator="equal">
      <formula>0</formula>
    </cfRule>
  </conditionalFormatting>
  <conditionalFormatting sqref="G10:G13">
    <cfRule type="cellIs" dxfId="101" priority="3" operator="greaterThanOrEqual">
      <formula>100</formula>
    </cfRule>
    <cfRule type="cellIs" dxfId="100" priority="4" operator="between">
      <formula>10</formula>
      <formula>100</formula>
    </cfRule>
    <cfRule type="cellIs" dxfId="99" priority="5" operator="lessThanOrEqual">
      <formula>0.01</formula>
    </cfRule>
    <cfRule type="cellIs" dxfId="98" priority="6" operator="greaterThan">
      <formula>0.01</formula>
    </cfRule>
    <cfRule type="containsBlanks" dxfId="97" priority="7" stopIfTrue="1">
      <formula>LEN(TRIM(G10))=0</formula>
    </cfRule>
    <cfRule type="cellIs" dxfId="96" priority="10" operator="equal">
      <formula>0</formula>
    </cfRule>
    <cfRule type="cellIs" dxfId="95" priority="11" operator="lessThanOrEqual">
      <formula>0.01</formula>
    </cfRule>
    <cfRule type="cellIs" dxfId="94" priority="12" operator="greaterThan">
      <formula>0.01</formula>
    </cfRule>
  </conditionalFormatting>
  <conditionalFormatting sqref="G18:K19 G24:K27 G32:K35">
    <cfRule type="cellIs" dxfId="93" priority="33" operator="lessThan">
      <formula>$F18</formula>
    </cfRule>
  </conditionalFormatting>
  <conditionalFormatting sqref="G24:K27 R24:R27 P10:S11 E10:F13 H10:I13 G18:K19 R18:R19 G32:K35 R32:R35 G41:K42 R41:R42">
    <cfRule type="cellIs" dxfId="92" priority="23" operator="lessThanOrEqual">
      <formula>0.1</formula>
    </cfRule>
  </conditionalFormatting>
  <conditionalFormatting sqref="G24:K27">
    <cfRule type="cellIs" dxfId="91" priority="17" operator="lessThanOrEqual">
      <formula>0.01</formula>
    </cfRule>
    <cfRule type="cellIs" dxfId="90" priority="18" operator="greaterThan">
      <formula>0.01</formula>
    </cfRule>
    <cfRule type="containsBlanks" dxfId="89" priority="19" stopIfTrue="1">
      <formula>LEN(TRIM(G24))=0</formula>
    </cfRule>
    <cfRule type="cellIs" dxfId="88" priority="20" operator="lessThan">
      <formula>$F24</formula>
    </cfRule>
  </conditionalFormatting>
  <conditionalFormatting sqref="G41:K42 R41:R42">
    <cfRule type="cellIs" dxfId="87" priority="238" operator="greaterThan">
      <formula>0.0001</formula>
    </cfRule>
    <cfRule type="cellIs" dxfId="86" priority="240" operator="between">
      <formula>0.000001</formula>
      <formula>0.0001</formula>
    </cfRule>
  </conditionalFormatting>
  <conditionalFormatting sqref="P10:S11 E10:F13 H10:I13 G18:K19 R18:R19 G24:K27 R24:R27 G32:K35 R32:R35 G41:K42 R41:R42">
    <cfRule type="cellIs" dxfId="85" priority="1" operator="greaterThanOrEqual">
      <formula>10000</formula>
    </cfRule>
    <cfRule type="cellIs" dxfId="84" priority="2" operator="greaterThanOrEqual">
      <formula>10</formula>
    </cfRule>
    <cfRule type="cellIs" dxfId="83" priority="8" operator="between">
      <formula>1</formula>
      <formula>9.999</formula>
    </cfRule>
    <cfRule type="cellIs" dxfId="82" priority="9" operator="between">
      <formula>0.1</formula>
      <formula>0.999</formula>
    </cfRule>
    <cfRule type="containsBlanks" dxfId="81" priority="24" stopIfTrue="1">
      <formula>LEN(TRIM(E10))=0</formula>
    </cfRule>
  </conditionalFormatting>
  <conditionalFormatting sqref="R18:R19 R24:R27 R32:R35">
    <cfRule type="cellIs" dxfId="80" priority="25" operator="lessThan">
      <formula>$Q18</formula>
    </cfRule>
  </conditionalFormatting>
  <conditionalFormatting sqref="R24:R27">
    <cfRule type="cellIs" dxfId="79" priority="13" operator="lessThanOrEqual">
      <formula>0.01</formula>
    </cfRule>
    <cfRule type="cellIs" dxfId="78" priority="14" operator="greaterThan">
      <formula>0.01</formula>
    </cfRule>
    <cfRule type="containsBlanks" dxfId="77" priority="15" stopIfTrue="1">
      <formula>LEN(TRIM(R24))=0</formula>
    </cfRule>
    <cfRule type="cellIs" dxfId="76" priority="16" operator="lessThan">
      <formula>$Q24</formula>
    </cfRule>
  </conditionalFormatting>
  <dataValidations count="1">
    <dataValidation allowBlank="1" showErrorMessage="1" sqref="P8:P9 C8 C12:C13 N8 E8:E9 F8" xr:uid="{00000000-0002-0000-0200-000005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5526D17-97EC-4AA5-A666-8D2A0F9CF0D6}">
          <x14:formula1>
            <xm:f>'List Values'!$H$2:$H$4</xm:f>
          </x14:formula1>
          <xm:sqref>H4</xm:sqref>
        </x14:dataValidation>
        <x14:dataValidation type="list" allowBlank="1" showInputMessage="1" showErrorMessage="1" xr:uid="{B0688B23-6125-49FA-9B9F-BE3A00B4E2DD}">
          <x14:formula1>
            <xm:f>'List Values'!$E$17:$E$21</xm:f>
          </x14:formula1>
          <xm:sqref>G4</xm:sqref>
        </x14:dataValidation>
        <x14:dataValidation type="list" allowBlank="1" showInputMessage="1" showErrorMessage="1" xr:uid="{E646F688-4C07-4837-87F1-F40D5CDC3045}">
          <x14:formula1>
            <xm:f>'List Values'!$E$7:$E$8</xm:f>
          </x14:formula1>
          <xm:sqref>N4:O4</xm:sqref>
        </x14:dataValidation>
        <x14:dataValidation type="list" allowBlank="1" showInputMessage="1" showErrorMessage="1" xr:uid="{7A257FB3-03C7-4DEF-9441-F0399894DF14}">
          <x14:formula1>
            <xm:f>'List Values'!$B$2:$B$18</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E7FE-9D99-4B66-A2F9-D57F9F4A70CF}">
  <sheetPr>
    <tabColor rgb="FF92D050"/>
  </sheetPr>
  <dimension ref="A1:AC160"/>
  <sheetViews>
    <sheetView zoomScale="80" zoomScaleNormal="80" workbookViewId="0">
      <selection sqref="A1:R1"/>
    </sheetView>
  </sheetViews>
  <sheetFormatPr defaultColWidth="9.28515625" defaultRowHeight="15" x14ac:dyDescent="0.25"/>
  <cols>
    <col min="1" max="1" width="2.7109375" style="2" customWidth="1"/>
    <col min="2" max="2" width="7.42578125" style="266" customWidth="1"/>
    <col min="3" max="3" width="11.28515625" style="266" customWidth="1"/>
    <col min="4" max="4" width="10" style="266" customWidth="1"/>
    <col min="5" max="5" width="15.28515625" style="2" customWidth="1"/>
    <col min="6" max="6" width="19.28515625" style="2" customWidth="1"/>
    <col min="7" max="7" width="17.28515625" style="2" customWidth="1"/>
    <col min="8" max="8" width="16.7109375" style="2" customWidth="1"/>
    <col min="9" max="10" width="11.28515625" style="2" customWidth="1"/>
    <col min="11" max="11" width="13.28515625" style="2" customWidth="1"/>
    <col min="12" max="12" width="14.28515625" style="2" customWidth="1"/>
    <col min="13" max="13" width="15.28515625" style="2" customWidth="1"/>
    <col min="14" max="14" width="12.7109375" style="2" customWidth="1"/>
    <col min="15" max="16" width="12.5703125" style="2" hidden="1" customWidth="1"/>
    <col min="17" max="17" width="14.140625" style="2" hidden="1" customWidth="1"/>
    <col min="18" max="18" width="12.7109375" style="2" hidden="1" customWidth="1"/>
    <col min="19" max="19" width="9.28515625" style="2"/>
    <col min="20" max="21" width="16.5703125" style="2" hidden="1" customWidth="1"/>
    <col min="22" max="22" width="19.42578125" style="2" hidden="1" customWidth="1"/>
    <col min="23" max="23" width="21" style="2" hidden="1" customWidth="1"/>
    <col min="24" max="24" width="9.28515625" style="2" hidden="1" customWidth="1"/>
    <col min="25" max="25" width="11.140625" style="2" customWidth="1"/>
    <col min="26" max="28" width="14.28515625" style="2" customWidth="1"/>
    <col min="29" max="29" width="12.7109375" style="2" customWidth="1"/>
    <col min="30" max="16384" width="9.28515625" style="2"/>
  </cols>
  <sheetData>
    <row r="1" spans="1:29" x14ac:dyDescent="0.25">
      <c r="A1" s="749"/>
      <c r="B1" s="749"/>
      <c r="C1" s="749"/>
      <c r="D1" s="749"/>
      <c r="E1" s="749"/>
      <c r="F1" s="749"/>
      <c r="G1" s="749"/>
      <c r="H1" s="749"/>
      <c r="I1" s="749"/>
      <c r="J1" s="749"/>
      <c r="K1" s="749"/>
      <c r="L1" s="749"/>
      <c r="M1" s="749"/>
      <c r="N1" s="749"/>
      <c r="O1" s="749"/>
      <c r="P1" s="749"/>
      <c r="Q1" s="749"/>
      <c r="R1" s="749"/>
    </row>
    <row r="2" spans="1:29" ht="15.75" thickBot="1" x14ac:dyDescent="0.3">
      <c r="B2" s="265" t="s">
        <v>141</v>
      </c>
    </row>
    <row r="3" spans="1:29" ht="15.75" thickBot="1" x14ac:dyDescent="0.3">
      <c r="K3" s="750" t="s">
        <v>142</v>
      </c>
      <c r="L3" s="751"/>
      <c r="M3" s="751"/>
      <c r="N3" s="751"/>
      <c r="O3" s="751"/>
      <c r="P3" s="751"/>
      <c r="Q3" s="751"/>
      <c r="R3" s="752"/>
    </row>
    <row r="4" spans="1:29" ht="30.75" thickBot="1" x14ac:dyDescent="0.3">
      <c r="J4" s="44" t="s">
        <v>143</v>
      </c>
      <c r="K4" s="407">
        <f>'Health Data'!H7</f>
        <v>30</v>
      </c>
      <c r="L4" s="407">
        <f>'Health Data'!H8</f>
        <v>30</v>
      </c>
      <c r="M4" s="407">
        <f>'Health Data'!H9</f>
        <v>300</v>
      </c>
      <c r="N4" s="268">
        <f>'Health Data'!Q12</f>
        <v>1E-4</v>
      </c>
      <c r="O4" s="651"/>
      <c r="P4" s="651"/>
      <c r="Q4" s="651"/>
      <c r="R4" s="652"/>
    </row>
    <row r="5" spans="1:29" ht="15.75" thickBot="1" x14ac:dyDescent="0.3">
      <c r="J5" s="44" t="s">
        <v>72</v>
      </c>
      <c r="K5" s="267">
        <f>'Health Data'!H15</f>
        <v>30</v>
      </c>
      <c r="L5" s="267">
        <f>'Health Data'!H16</f>
        <v>30</v>
      </c>
      <c r="M5" s="584">
        <f>'Health Data'!H18</f>
        <v>300</v>
      </c>
      <c r="N5" s="585" t="s">
        <v>144</v>
      </c>
      <c r="O5" s="267">
        <f>K5</f>
        <v>30</v>
      </c>
      <c r="P5" s="267">
        <f>'Health Data'!J8</f>
        <v>0</v>
      </c>
      <c r="Q5" s="267">
        <f>M5</f>
        <v>300</v>
      </c>
      <c r="R5" s="268" t="str">
        <f>N5</f>
        <v>--</v>
      </c>
      <c r="W5" s="269" t="s">
        <v>145</v>
      </c>
      <c r="X5" s="406">
        <v>10</v>
      </c>
    </row>
    <row r="6" spans="1:29" ht="16.5" thickBot="1" x14ac:dyDescent="0.3">
      <c r="E6" s="270"/>
      <c r="W6" s="271" t="s">
        <v>146</v>
      </c>
      <c r="X6" s="406">
        <v>5</v>
      </c>
    </row>
    <row r="7" spans="1:29" ht="15.75" thickBot="1" x14ac:dyDescent="0.3">
      <c r="B7" s="753" t="s">
        <v>147</v>
      </c>
      <c r="C7" s="753" t="s">
        <v>148</v>
      </c>
      <c r="D7" s="753" t="s">
        <v>149</v>
      </c>
      <c r="E7" s="755" t="s">
        <v>150</v>
      </c>
      <c r="F7" s="757" t="s">
        <v>151</v>
      </c>
      <c r="G7" s="757" t="s">
        <v>152</v>
      </c>
      <c r="H7" s="757" t="s">
        <v>148</v>
      </c>
      <c r="I7" s="757" t="s">
        <v>153</v>
      </c>
      <c r="J7" s="757" t="s">
        <v>80</v>
      </c>
      <c r="K7" s="759" t="s">
        <v>154</v>
      </c>
      <c r="L7" s="760"/>
      <c r="M7" s="760"/>
      <c r="N7" s="761"/>
      <c r="O7" s="759" t="s">
        <v>155</v>
      </c>
      <c r="P7" s="760"/>
      <c r="Q7" s="760"/>
      <c r="R7" s="761"/>
      <c r="T7" s="762" t="s">
        <v>156</v>
      </c>
      <c r="U7" s="763"/>
      <c r="V7" s="763"/>
      <c r="W7" s="764"/>
    </row>
    <row r="8" spans="1:29" ht="77.25" thickBot="1" x14ac:dyDescent="0.3">
      <c r="A8" s="272"/>
      <c r="B8" s="754"/>
      <c r="C8" s="754"/>
      <c r="D8" s="754"/>
      <c r="E8" s="756"/>
      <c r="F8" s="758"/>
      <c r="G8" s="758"/>
      <c r="H8" s="758"/>
      <c r="I8" s="758"/>
      <c r="J8" s="758"/>
      <c r="K8" s="273" t="str">
        <f>"Acute Non-cancer (bench­mark MOE = " &amp; K4 &amp; " (inhalation); " &amp; K5 &amp; " (dermal))"</f>
        <v>Acute Non-cancer (bench­mark MOE = 30 (inhalation); 30 (dermal))</v>
      </c>
      <c r="L8" s="273" t="str">
        <f xml:space="preserve"> "Intermediate (bench­mark MOE = " &amp; L4 &amp; " (inhalation); " &amp; L5 &amp; " (dermal))"</f>
        <v>Intermediate (bench­mark MOE = 30 (inhalation); 30 (dermal))</v>
      </c>
      <c r="M8" s="273" t="str">
        <f xml:space="preserve"> "Chronic Non-cancer (bench­mark MOE = " &amp; M4 &amp; " (inhalation); " &amp; M5 &amp; " (dermal))"</f>
        <v>Chronic Non-cancer (bench­mark MOE = 300 (inhalation); 300 (dermal))</v>
      </c>
      <c r="N8" s="273" t="s">
        <v>157</v>
      </c>
      <c r="O8" s="273" t="str">
        <f>"Acute Non-cancer (bench­mark MOE = " &amp; O5 &amp; ")"</f>
        <v>Acute Non-cancer (bench­mark MOE = 30)</v>
      </c>
      <c r="P8" s="273" t="str">
        <f xml:space="preserve"> "Intermediate Non-cancer (bench­mark MOE =" &amp; P5 &amp; ")"</f>
        <v>Intermediate Non-cancer (bench­mark MOE =0)</v>
      </c>
      <c r="Q8" s="273" t="str">
        <f xml:space="preserve"> "Chronic Non-cancer (bench­mark MOE =" &amp; Q5 &amp; ")"</f>
        <v>Chronic Non-cancer (bench­mark MOE =300)</v>
      </c>
      <c r="R8" s="273" t="s">
        <v>157</v>
      </c>
      <c r="T8" s="653" t="s">
        <v>158</v>
      </c>
      <c r="U8" s="273" t="s">
        <v>159</v>
      </c>
      <c r="V8" s="273" t="s">
        <v>160</v>
      </c>
      <c r="W8" s="273" t="s">
        <v>161</v>
      </c>
      <c r="Z8" s="274" t="s">
        <v>162</v>
      </c>
      <c r="AA8" s="275" t="s">
        <v>163</v>
      </c>
      <c r="AB8" s="275" t="s">
        <v>164</v>
      </c>
      <c r="AC8" s="276" t="s">
        <v>165</v>
      </c>
    </row>
    <row r="9" spans="1:29" ht="15.75" customHeight="1" thickBot="1" x14ac:dyDescent="0.3">
      <c r="B9" s="277" t="s">
        <v>166</v>
      </c>
      <c r="C9" s="278" t="s">
        <v>97</v>
      </c>
      <c r="D9" s="278" t="s">
        <v>167</v>
      </c>
      <c r="E9" s="743" t="s">
        <v>168</v>
      </c>
      <c r="F9" s="743" t="s">
        <v>169</v>
      </c>
      <c r="G9" s="746" t="s">
        <v>170</v>
      </c>
      <c r="H9" s="731" t="s">
        <v>171</v>
      </c>
      <c r="I9" s="731" t="s">
        <v>143</v>
      </c>
      <c r="J9" s="734" t="s">
        <v>101</v>
      </c>
      <c r="K9" s="727">
        <f>IFERROR(VLOOKUP($D9,$Y$9:$AC$10,2,FALSE)/IF($D9="Inhalation",IF($J9="Central Tendency",SUMIFS('Inhalation Exposure'!$K$6:$K$32,'Inhalation Exposure'!$B$6:$B$32,$B9,'Inhalation Exposure'!$D$6:$D$32,$C9),SUMIFS('Inhalation Exposure'!$J$6:$J$32,'Inhalation Exposure'!$B$6:$B$32,$B9,'Inhalation Exposure'!$D$6:$D$32,$C9)),IF($J9="Central Tendency",VLOOKUP($B9,'Dermal Crosswalk'!$A$6:$V$39,19,FALSE),VLOOKUP($B9,'Dermal Crosswalk'!$A$6:$V$39,14,FALSE))),"--")</f>
        <v>1910.5407354001443</v>
      </c>
      <c r="L9" s="727">
        <f>IFERROR(VLOOKUP($D9,$Y$9:$AC$10,3,FALSE)/IF($D9="Inhalation",IF($J9="Central Tendency",SUMIFS('Inhalation Exposure'!$M$6:$M$32,'Inhalation Exposure'!$B$6:$B$32,$B9,'Inhalation Exposure'!$D$6:$D$32,$C9),SUMIFS('Inhalation Exposure'!$L$6:$L$32,'Inhalation Exposure'!$B$6:$B$32,$B9,'Inhalation Exposure'!$D$6:$D$32,$C9)),IF($J9="Central Tendency",VLOOKUP($B9,'Dermal Crosswalk'!$A$6:$V$39,20,FALSE),VLOOKUP($B9,'Dermal Crosswalk'!$A$6:$V$39,15,FALSE))),"--")</f>
        <v>5652.4873828406635</v>
      </c>
      <c r="M9" s="727">
        <f>IFERROR(VLOOKUP($D9,$Y$9:$AC$10,4,FALSE)/IF($D9="Inhalation",IF($J9="Central Tendency",SUMIFS('Inhalation Exposure'!$O$6:$O$32,'Inhalation Exposure'!$B$6:$B$32,$B9,'Inhalation Exposure'!$D$6:$D$32,$C9),SUMIFS('Inhalation Exposure'!$N$6:$N$32,'Inhalation Exposure'!$B$6:$B$32,$B9,'Inhalation Exposure'!$D$6:$D$32,$C9)),IF($J9="Central Tendency",VLOOKUP($B9,'Dermal Crosswalk'!$A$6:$V$39,21,FALSE),VLOOKUP($B9,'Dermal Crosswalk'!$A$6:$V$39,16,FALSE))),"--")</f>
        <v>6051.9298245614027</v>
      </c>
      <c r="N9" s="729">
        <f>IFERROR(VLOOKUP(D9,$Y$9:$AC$10,5,FALSE)*IF($D9="Inhalation",IF($J9="Central Tendency",SUMIFS('Inhalation Exposure'!$Q$6:$Q$32,'Inhalation Exposure'!$B$6:$B$32,$B9,'Inhalation Exposure'!$D$6:$D$32,$C9),SUMIFS('Inhalation Exposure'!$P$6:$P$32,'Inhalation Exposure'!$B$6:$B$32,$B9,'Inhalation Exposure'!$D$6:$D$32,$C9)),IF($J9="Central Tendency",VLOOKUP($B9,'Dermal Crosswalk'!$A$6:$V$39,22,FALSE),VLOOKUP($B9,'Dermal Crosswalk'!$A$6:$V$39,17,FALSE))),"--")</f>
        <v>1.3725225667189953E-5</v>
      </c>
      <c r="O9" s="279">
        <f>IFERROR(K9*T9, "--")</f>
        <v>19105.407354001443</v>
      </c>
      <c r="P9" s="279">
        <f>IFERROR(L9*U9, "--")</f>
        <v>56524.873828406635</v>
      </c>
      <c r="Q9" s="279">
        <f>IFERROR(M9*V9, "--")</f>
        <v>60519.298245614031</v>
      </c>
      <c r="R9" s="280">
        <f>IFERROR(N9/W9, "--")</f>
        <v>1.3725225667189953E-6</v>
      </c>
      <c r="T9" s="281">
        <v>10</v>
      </c>
      <c r="U9" s="282">
        <v>10</v>
      </c>
      <c r="V9" s="282">
        <v>10</v>
      </c>
      <c r="W9" s="283">
        <v>10</v>
      </c>
      <c r="Y9" s="284" t="s">
        <v>167</v>
      </c>
      <c r="Z9" s="285">
        <f>'Health Data'!G7</f>
        <v>10.14</v>
      </c>
      <c r="AA9" s="373">
        <f>'Health Data'!G8</f>
        <v>22</v>
      </c>
      <c r="AB9" s="285">
        <f>'Health Data'!G9</f>
        <v>22</v>
      </c>
      <c r="AC9" s="286">
        <f>'Health Data'!I10</f>
        <v>9.4999999999999998E-3</v>
      </c>
    </row>
    <row r="10" spans="1:29" ht="15.75" thickBot="1" x14ac:dyDescent="0.3">
      <c r="B10" s="277" t="s">
        <v>166</v>
      </c>
      <c r="C10" s="278" t="s">
        <v>97</v>
      </c>
      <c r="D10" s="278" t="s">
        <v>167</v>
      </c>
      <c r="E10" s="744"/>
      <c r="F10" s="744"/>
      <c r="G10" s="747"/>
      <c r="H10" s="732"/>
      <c r="I10" s="732"/>
      <c r="J10" s="735"/>
      <c r="K10" s="728"/>
      <c r="L10" s="728"/>
      <c r="M10" s="728"/>
      <c r="N10" s="730"/>
      <c r="O10" s="648" t="str">
        <f>CONCATENATE("(APF ",T9,")")</f>
        <v>(APF 10)</v>
      </c>
      <c r="P10" s="648" t="str">
        <f>CONCATENATE("(APF ",U9,")")</f>
        <v>(APF 10)</v>
      </c>
      <c r="Q10" s="648" t="str">
        <f>CONCATENATE("(APF ",V9,")")</f>
        <v>(APF 10)</v>
      </c>
      <c r="R10" s="648" t="str">
        <f>CONCATENATE("(APF ",W9,")")</f>
        <v>(APF 10)</v>
      </c>
      <c r="T10" s="287" t="s">
        <v>172</v>
      </c>
      <c r="U10" s="288" t="s">
        <v>172</v>
      </c>
      <c r="V10" s="288" t="s">
        <v>172</v>
      </c>
      <c r="W10" s="289" t="s">
        <v>172</v>
      </c>
      <c r="Y10" s="284" t="s">
        <v>72</v>
      </c>
      <c r="Z10" s="285">
        <f>'Health Data'!G15</f>
        <v>19.899999999999999</v>
      </c>
      <c r="AA10" s="285">
        <f>'Health Data'!G16</f>
        <v>9.1</v>
      </c>
      <c r="AB10" s="285">
        <f>'Health Data'!G18</f>
        <v>9.1</v>
      </c>
      <c r="AC10" s="451" t="s">
        <v>173</v>
      </c>
    </row>
    <row r="11" spans="1:29" ht="15.75" thickBot="1" x14ac:dyDescent="0.3">
      <c r="B11" s="277" t="s">
        <v>166</v>
      </c>
      <c r="C11" s="278" t="s">
        <v>97</v>
      </c>
      <c r="D11" s="278" t="s">
        <v>167</v>
      </c>
      <c r="E11" s="744"/>
      <c r="F11" s="744"/>
      <c r="G11" s="747"/>
      <c r="H11" s="732"/>
      <c r="I11" s="732"/>
      <c r="J11" s="734" t="s">
        <v>174</v>
      </c>
      <c r="K11" s="727">
        <f>IFERROR(VLOOKUP($D11,$Y$9:$AC$10,2,FALSE)/IF($D11="Inhalation",IF($J11="Central Tendency",SUMIFS('Inhalation Exposure'!$K$6:$K$32,'Inhalation Exposure'!$B$6:$B$32,$B11,'Inhalation Exposure'!$D$6:$D$32,$C11),SUMIFS('Inhalation Exposure'!$J$6:$J$32,'Inhalation Exposure'!$B$6:$B$32,$B11,'Inhalation Exposure'!$D$6:$D$32,$C11)),IF($J11="Central Tendency",VLOOKUP($B11,'Dermal Crosswalk'!$A$6:$V$39,19,FALSE),VLOOKUP($B11,'Dermal Crosswalk'!$A$6:$V$39,14,FALSE))),"--")</f>
        <v>20.297029253568752</v>
      </c>
      <c r="L11" s="727">
        <f>IFERROR(VLOOKUP($D11,$Y$9:$AC$10,3,FALSE)/IF($D11="Inhalation",IF($J11="Central Tendency",SUMIFS('Inhalation Exposure'!$M$6:$M$32,'Inhalation Exposure'!$B$6:$B$32,$B11,'Inhalation Exposure'!$D$6:$D$32,$C11),SUMIFS('Inhalation Exposure'!$L$6:$L$32,'Inhalation Exposure'!$B$6:$B$32,$B11,'Inhalation Exposure'!$D$6:$D$32,$C11)),IF($J11="Central Tendency",VLOOKUP($B11,'Dermal Crosswalk'!$A$6:$V$39,20,FALSE),VLOOKUP($B11,'Dermal Crosswalk'!$A$6:$V$39,15,FALSE))),"--")</f>
        <v>60.050382407008136</v>
      </c>
      <c r="M11" s="727">
        <f>IFERROR(VLOOKUP($D11,$Y$9:$AC$10,4,FALSE)/IF($D11="Inhalation",IF($J11="Central Tendency",SUMIFS('Inhalation Exposure'!$O$6:$O$32,'Inhalation Exposure'!$B$6:$B$32,$B11,'Inhalation Exposure'!$D$6:$D$32,$C11),SUMIFS('Inhalation Exposure'!$N$6:$N$32,'Inhalation Exposure'!$B$6:$B$32,$B11,'Inhalation Exposure'!$D$6:$D$32,$C11)),IF($J11="Central Tendency",VLOOKUP($B11,'Dermal Crosswalk'!$A$6:$V$39,21,FALSE),VLOOKUP($B11,'Dermal Crosswalk'!$A$6:$V$39,16,FALSE))),"--")</f>
        <v>64.293942763770062</v>
      </c>
      <c r="N11" s="729">
        <f>IFERROR(VLOOKUP(D11,$Y$9:$AC$10,5,FALSE)*IF($D11="Inhalation",IF($J11="Central Tendency",SUMIFS('Inhalation Exposure'!$Q$6:$Q$32,'Inhalation Exposure'!$B$6:$B$32,$B11,'Inhalation Exposure'!$D$6:$D$32,$C11),SUMIFS('Inhalation Exposure'!$P$6:$P$32,'Inhalation Exposure'!$B$6:$B$32,$B11,'Inhalation Exposure'!$D$6:$D$32,$C11)),IF($J11="Central Tendency",VLOOKUP($B11,'Dermal Crosswalk'!$A$6:$V$39,22,FALSE),VLOOKUP($B11,'Dermal Crosswalk'!$A$6:$V$39,17,FALSE))),"--")</f>
        <v>1.6670230907021516E-3</v>
      </c>
      <c r="O11" s="279">
        <f>IFERROR(K11*T11, "--")</f>
        <v>202.97029253568752</v>
      </c>
      <c r="P11" s="279">
        <f>IFERROR(L11*U11, "--")</f>
        <v>600.50382407008135</v>
      </c>
      <c r="Q11" s="279">
        <f>IFERROR(M11*V11, "--")</f>
        <v>642.93942763770065</v>
      </c>
      <c r="R11" s="280">
        <f>IFERROR(N11/W11, "--")</f>
        <v>3.334046181404303E-5</v>
      </c>
      <c r="T11" s="290">
        <v>10</v>
      </c>
      <c r="U11" s="291">
        <v>10</v>
      </c>
      <c r="V11" s="291">
        <v>10</v>
      </c>
      <c r="W11" s="292">
        <v>50</v>
      </c>
      <c r="AC11" s="293"/>
    </row>
    <row r="12" spans="1:29" ht="15.75" thickBot="1" x14ac:dyDescent="0.3">
      <c r="B12" s="277" t="s">
        <v>166</v>
      </c>
      <c r="C12" s="278" t="s">
        <v>97</v>
      </c>
      <c r="D12" s="278" t="s">
        <v>167</v>
      </c>
      <c r="E12" s="744"/>
      <c r="F12" s="744"/>
      <c r="G12" s="747"/>
      <c r="H12" s="733"/>
      <c r="I12" s="733"/>
      <c r="J12" s="736"/>
      <c r="K12" s="728"/>
      <c r="L12" s="728"/>
      <c r="M12" s="728"/>
      <c r="N12" s="730"/>
      <c r="O12" s="649" t="str">
        <f>CONCATENATE("(APF ",T11,")")</f>
        <v>(APF 10)</v>
      </c>
      <c r="P12" s="649" t="str">
        <f>CONCATENATE("(APF ",U11,")")</f>
        <v>(APF 10)</v>
      </c>
      <c r="Q12" s="649" t="str">
        <f>CONCATENATE("(APF ",V11,")")</f>
        <v>(APF 10)</v>
      </c>
      <c r="R12" s="649" t="str">
        <f>CONCATENATE("(APF ",W11,")")</f>
        <v>(APF 50)</v>
      </c>
      <c r="T12" s="295" t="s">
        <v>172</v>
      </c>
      <c r="U12" s="296" t="s">
        <v>172</v>
      </c>
      <c r="V12" s="296" t="s">
        <v>172</v>
      </c>
      <c r="W12" s="297" t="s">
        <v>172</v>
      </c>
    </row>
    <row r="13" spans="1:29" ht="15.75" thickBot="1" x14ac:dyDescent="0.3">
      <c r="B13" s="277" t="s">
        <v>175</v>
      </c>
      <c r="C13" s="278" t="s">
        <v>97</v>
      </c>
      <c r="D13" s="278" t="s">
        <v>167</v>
      </c>
      <c r="E13" s="744"/>
      <c r="F13" s="744"/>
      <c r="G13" s="747"/>
      <c r="H13" s="731" t="s">
        <v>176</v>
      </c>
      <c r="I13" s="731" t="s">
        <v>143</v>
      </c>
      <c r="J13" s="734" t="s">
        <v>101</v>
      </c>
      <c r="K13" s="727">
        <f>IFERROR(VLOOKUP($D13,$Y$9:$AC$10,2,FALSE)/IF($D13="Inhalation",IF($J13="Central Tendency",SUMIFS('Inhalation Exposure'!$K$6:$K$32,'Inhalation Exposure'!$B$6:$B$32,$B13,'Inhalation Exposure'!$D$6:$D$32,$C13),SUMIFS('Inhalation Exposure'!$J$6:$J$32,'Inhalation Exposure'!$B$6:$B$32,$B13,'Inhalation Exposure'!$D$6:$D$32,$C13)),IF($J13="Central Tendency",VLOOKUP($B13,'Dermal Crosswalk'!$A$6:$V$39,19,FALSE),VLOOKUP($B13,'Dermal Crosswalk'!$A$6:$V$39,14,FALSE))),"--")</f>
        <v>7.9834679758982379</v>
      </c>
      <c r="L13" s="727">
        <f>IFERROR(VLOOKUP($D13,$Y$9:$AC$10,3,FALSE)/IF($D13="Inhalation",IF($J13="Central Tendency",SUMIFS('Inhalation Exposure'!$M$6:$M$32,'Inhalation Exposure'!$B$6:$B$32,$B13,'Inhalation Exposure'!$D$6:$D$32,$C13),SUMIFS('Inhalation Exposure'!$L$6:$L$32,'Inhalation Exposure'!$B$6:$B$32,$B13,'Inhalation Exposure'!$D$6:$D$32,$C13)),IF($J13="Central Tendency",VLOOKUP($B13,'Dermal Crosswalk'!$A$6:$V$39,20,FALSE),VLOOKUP($B13,'Dermal Crosswalk'!$A$6:$V$39,15,FALSE))),"--")</f>
        <v>519.63401026556573</v>
      </c>
      <c r="M13" s="727" t="str">
        <f>IFERROR(VLOOKUP($D13,$Y$9:$AC$10,4,FALSE)/IF($D13="Inhalation",IF($J13="Central Tendency",SUMIFS('Inhalation Exposure'!$O$6:$O$32,'Inhalation Exposure'!$B$6:$B$32,$B13,'Inhalation Exposure'!$D$6:$D$32,$C13),SUMIFS('Inhalation Exposure'!$N$6:$N$32,'Inhalation Exposure'!$B$6:$B$32,$B13,'Inhalation Exposure'!$D$6:$D$32,$C13)),IF($J13="Central Tendency",VLOOKUP($B13,'Dermal Crosswalk'!$A$6:$V$39,21,FALSE),VLOOKUP($B13,'Dermal Crosswalk'!$A$6:$V$39,16,FALSE))),"--")</f>
        <v>--</v>
      </c>
      <c r="N13" s="765" t="s">
        <v>144</v>
      </c>
      <c r="O13" s="650"/>
      <c r="P13" s="650"/>
      <c r="Q13" s="650"/>
      <c r="R13" s="650"/>
      <c r="T13" s="287"/>
      <c r="U13" s="288"/>
      <c r="V13" s="288"/>
      <c r="W13" s="289"/>
    </row>
    <row r="14" spans="1:29" ht="15.75" thickBot="1" x14ac:dyDescent="0.3">
      <c r="B14" s="277" t="s">
        <v>175</v>
      </c>
      <c r="C14" s="278" t="s">
        <v>97</v>
      </c>
      <c r="D14" s="278" t="s">
        <v>167</v>
      </c>
      <c r="E14" s="744"/>
      <c r="F14" s="744"/>
      <c r="G14" s="747"/>
      <c r="H14" s="732"/>
      <c r="I14" s="732"/>
      <c r="J14" s="735"/>
      <c r="K14" s="728"/>
      <c r="L14" s="728"/>
      <c r="M14" s="728"/>
      <c r="N14" s="730"/>
      <c r="O14" s="650"/>
      <c r="P14" s="650"/>
      <c r="Q14" s="650"/>
      <c r="R14" s="650"/>
      <c r="T14" s="287"/>
      <c r="U14" s="288"/>
      <c r="V14" s="288"/>
      <c r="W14" s="289"/>
    </row>
    <row r="15" spans="1:29" ht="15.75" thickBot="1" x14ac:dyDescent="0.3">
      <c r="B15" s="277" t="s">
        <v>175</v>
      </c>
      <c r="C15" s="278" t="s">
        <v>97</v>
      </c>
      <c r="D15" s="278" t="s">
        <v>167</v>
      </c>
      <c r="E15" s="744"/>
      <c r="F15" s="744"/>
      <c r="G15" s="747"/>
      <c r="H15" s="732"/>
      <c r="I15" s="732"/>
      <c r="J15" s="734" t="s">
        <v>174</v>
      </c>
      <c r="K15" s="727">
        <f>IFERROR(VLOOKUP($D15,$Y$9:$AC$10,2,FALSE)/IF($D15="Inhalation",IF($J15="Central Tendency",SUMIFS('Inhalation Exposure'!$K$6:$K$32,'Inhalation Exposure'!$B$6:$B$32,$B15,'Inhalation Exposure'!$D$6:$D$32,$C15),SUMIFS('Inhalation Exposure'!$J$6:$J$32,'Inhalation Exposure'!$B$6:$B$32,$B15,'Inhalation Exposure'!$D$6:$D$32,$C15)),IF($J15="Central Tendency",VLOOKUP($B15,'Dermal Crosswalk'!$A$6:$V$39,19,FALSE),VLOOKUP($B15,'Dermal Crosswalk'!$A$6:$V$39,14,FALSE))),"--")</f>
        <v>7.7432727272727275</v>
      </c>
      <c r="L15" s="727">
        <f>IFERROR(VLOOKUP($D15,$Y$9:$AC$10,3,FALSE)/IF($D15="Inhalation",IF($J15="Central Tendency",SUMIFS('Inhalation Exposure'!$M$6:$M$32,'Inhalation Exposure'!$B$6:$B$32,$B15,'Inhalation Exposure'!$D$6:$D$32,$C15),SUMIFS('Inhalation Exposure'!$L$6:$L$32,'Inhalation Exposure'!$B$6:$B$32,$B15,'Inhalation Exposure'!$D$6:$D$32,$C15)),IF($J15="Central Tendency",VLOOKUP($B15,'Dermal Crosswalk'!$A$6:$V$39,20,FALSE),VLOOKUP($B15,'Dermal Crosswalk'!$A$6:$V$39,15,FALSE))),"--")</f>
        <v>504</v>
      </c>
      <c r="M15" s="727" t="str">
        <f>IFERROR(VLOOKUP($D15,$Y$9:$AC$10,4,FALSE)/IF($D15="Inhalation",IF($J15="Central Tendency",SUMIFS('Inhalation Exposure'!$O$6:$O$32,'Inhalation Exposure'!$B$6:$B$32,$B15,'Inhalation Exposure'!$D$6:$D$32,$C15),SUMIFS('Inhalation Exposure'!$N$6:$N$32,'Inhalation Exposure'!$B$6:$B$32,$B15,'Inhalation Exposure'!$D$6:$D$32,$C15)),IF($J15="Central Tendency",VLOOKUP($B15,'Dermal Crosswalk'!$A$6:$V$39,21,FALSE),VLOOKUP($B15,'Dermal Crosswalk'!$A$6:$V$39,16,FALSE))),"--")</f>
        <v>--</v>
      </c>
      <c r="N15" s="765" t="s">
        <v>144</v>
      </c>
      <c r="O15" s="650"/>
      <c r="P15" s="650"/>
      <c r="Q15" s="650"/>
      <c r="R15" s="650"/>
      <c r="T15" s="287"/>
      <c r="U15" s="288"/>
      <c r="V15" s="288"/>
      <c r="W15" s="289"/>
    </row>
    <row r="16" spans="1:29" ht="15.75" thickBot="1" x14ac:dyDescent="0.3">
      <c r="B16" s="277" t="s">
        <v>175</v>
      </c>
      <c r="C16" s="278" t="s">
        <v>97</v>
      </c>
      <c r="D16" s="278" t="s">
        <v>167</v>
      </c>
      <c r="E16" s="744"/>
      <c r="F16" s="744"/>
      <c r="G16" s="747"/>
      <c r="H16" s="733"/>
      <c r="I16" s="733"/>
      <c r="J16" s="736"/>
      <c r="K16" s="728"/>
      <c r="L16" s="728"/>
      <c r="M16" s="728"/>
      <c r="N16" s="730"/>
      <c r="O16" s="650"/>
      <c r="P16" s="650"/>
      <c r="Q16" s="650"/>
      <c r="R16" s="650"/>
      <c r="T16" s="287"/>
      <c r="U16" s="288"/>
      <c r="V16" s="288"/>
      <c r="W16" s="289"/>
    </row>
    <row r="17" spans="2:29" ht="15.6" customHeight="1" thickBot="1" x14ac:dyDescent="0.3">
      <c r="B17" s="277" t="s">
        <v>177</v>
      </c>
      <c r="C17" s="278" t="s">
        <v>97</v>
      </c>
      <c r="D17" s="278" t="s">
        <v>167</v>
      </c>
      <c r="E17" s="744"/>
      <c r="F17" s="744"/>
      <c r="G17" s="747"/>
      <c r="H17" s="731" t="s">
        <v>178</v>
      </c>
      <c r="I17" s="731" t="s">
        <v>143</v>
      </c>
      <c r="J17" s="734" t="s">
        <v>101</v>
      </c>
      <c r="K17" s="727">
        <f>IFERROR(VLOOKUP($D17,$Y$9:$AC$10,2,FALSE)/IF($D17="Inhalation",IF($J17="Central Tendency",SUMIFS('Inhalation Exposure'!$K$6:$K$32,'Inhalation Exposure'!$B$6:$B$32,$B17,'Inhalation Exposure'!$D$6:$D$32,$C17),SUMIFS('Inhalation Exposure'!$J$6:$J$32,'Inhalation Exposure'!$B$6:$B$32,$B17,'Inhalation Exposure'!$D$6:$D$32,$C17)),IF($J17="Central Tendency",VLOOKUP($B17,'Dermal Crosswalk'!$A$6:$V$39,19,FALSE),VLOOKUP($B17,'Dermal Crosswalk'!$A$6:$V$39,14,FALSE))),"--")</f>
        <v>187.69108079748165</v>
      </c>
      <c r="L17" s="727">
        <f>IFERROR(VLOOKUP($D17,$Y$9:$AC$10,3,FALSE)/IF($D17="Inhalation",IF($J17="Central Tendency",SUMIFS('Inhalation Exposure'!$M$6:$M$32,'Inhalation Exposure'!$B$6:$B$32,$B17,'Inhalation Exposure'!$D$6:$D$32,$C17),SUMIFS('Inhalation Exposure'!$L$6:$L$32,'Inhalation Exposure'!$B$6:$B$32,$B17,'Inhalation Exposure'!$D$6:$D$32,$C17)),IF($J17="Central Tendency",VLOOKUP($B17,'Dermal Crosswalk'!$A$6:$V$39,20,FALSE),VLOOKUP($B17,'Dermal Crosswalk'!$A$6:$V$39,15,FALSE))),"--")</f>
        <v>555.29905561385101</v>
      </c>
      <c r="M17" s="727">
        <f>IFERROR(VLOOKUP($D17,$Y$9:$AC$10,4,FALSE)/IF($D17="Inhalation",IF($J17="Central Tendency",SUMIFS('Inhalation Exposure'!$O$6:$O$32,'Inhalation Exposure'!$B$6:$B$32,$B17,'Inhalation Exposure'!$D$6:$D$32,$C17),SUMIFS('Inhalation Exposure'!$N$6:$N$32,'Inhalation Exposure'!$B$6:$B$32,$B17,'Inhalation Exposure'!$D$6:$D$32,$C17)),IF($J17="Central Tendency",VLOOKUP($B17,'Dermal Crosswalk'!$A$6:$V$39,21,FALSE),VLOOKUP($B17,'Dermal Crosswalk'!$A$6:$V$39,16,FALSE))),"--")</f>
        <v>594.54018887722987</v>
      </c>
      <c r="N17" s="729">
        <f>IFERROR(VLOOKUP(D17,$Y$9:$AC$10,5,FALSE)*IF($D17="Inhalation",IF($J17="Central Tendency",SUMIFS('Inhalation Exposure'!$Q$6:$Q$32,'Inhalation Exposure'!$B$6:$B$32,$B17,'Inhalation Exposure'!$D$6:$D$32,$C17),SUMIFS('Inhalation Exposure'!$P$6:$P$32,'Inhalation Exposure'!$B$6:$B$32,$B17,'Inhalation Exposure'!$D$6:$D$32,$C17)),IF($J17="Central Tendency",VLOOKUP($B17,'Dermal Crosswalk'!$A$6:$V$39,22,FALSE),VLOOKUP($B17,'Dermal Crosswalk'!$A$6:$V$39,17,FALSE))),"--")</f>
        <v>1.3971150162441748E-4</v>
      </c>
      <c r="O17" s="650"/>
      <c r="P17" s="650"/>
      <c r="Q17" s="650"/>
      <c r="R17" s="650"/>
      <c r="T17" s="287"/>
      <c r="U17" s="288"/>
      <c r="V17" s="288"/>
      <c r="W17" s="289"/>
    </row>
    <row r="18" spans="2:29" ht="15.75" thickBot="1" x14ac:dyDescent="0.3">
      <c r="B18" s="277" t="s">
        <v>177</v>
      </c>
      <c r="C18" s="278" t="s">
        <v>97</v>
      </c>
      <c r="D18" s="278" t="s">
        <v>167</v>
      </c>
      <c r="E18" s="744"/>
      <c r="F18" s="744"/>
      <c r="G18" s="747"/>
      <c r="H18" s="732"/>
      <c r="I18" s="732"/>
      <c r="J18" s="735"/>
      <c r="K18" s="728"/>
      <c r="L18" s="728"/>
      <c r="M18" s="728"/>
      <c r="N18" s="730"/>
      <c r="O18" s="650"/>
      <c r="P18" s="650"/>
      <c r="Q18" s="650"/>
      <c r="R18" s="650"/>
      <c r="T18" s="287"/>
      <c r="U18" s="288"/>
      <c r="V18" s="288"/>
      <c r="W18" s="289"/>
    </row>
    <row r="19" spans="2:29" ht="15.75" thickBot="1" x14ac:dyDescent="0.3">
      <c r="B19" s="277" t="s">
        <v>177</v>
      </c>
      <c r="C19" s="278" t="s">
        <v>97</v>
      </c>
      <c r="D19" s="278" t="s">
        <v>167</v>
      </c>
      <c r="E19" s="744"/>
      <c r="F19" s="744"/>
      <c r="G19" s="747"/>
      <c r="H19" s="732"/>
      <c r="I19" s="732"/>
      <c r="J19" s="734" t="s">
        <v>174</v>
      </c>
      <c r="K19" s="727">
        <f>IFERROR(VLOOKUP($D19,$Y$9:$AC$10,2,FALSE)/IF($D19="Inhalation",IF($J19="Central Tendency",SUMIFS('Inhalation Exposure'!$K$6:$K$32,'Inhalation Exposure'!$B$6:$B$32,$B19,'Inhalation Exposure'!$D$6:$D$32,$C19),SUMIFS('Inhalation Exposure'!$J$6:$J$32,'Inhalation Exposure'!$B$6:$B$32,$B19,'Inhalation Exposure'!$D$6:$D$32,$C19)),IF($J19="Central Tendency",VLOOKUP($B19,'Dermal Crosswalk'!$A$6:$V$39,19,FALSE),VLOOKUP($B19,'Dermal Crosswalk'!$A$6:$V$39,14,FALSE))),"--")</f>
        <v>36.143213281705833</v>
      </c>
      <c r="L19" s="727">
        <f>IFERROR(VLOOKUP($D19,$Y$9:$AC$10,3,FALSE)/IF($D19="Inhalation",IF($J19="Central Tendency",SUMIFS('Inhalation Exposure'!$M$6:$M$32,'Inhalation Exposure'!$B$6:$B$32,$B19,'Inhalation Exposure'!$D$6:$D$32,$C19),SUMIFS('Inhalation Exposure'!$L$6:$L$32,'Inhalation Exposure'!$B$6:$B$32,$B19,'Inhalation Exposure'!$D$6:$D$32,$C19)),IF($J19="Central Tendency",VLOOKUP($B19,'Dermal Crosswalk'!$A$6:$V$39,20,FALSE),VLOOKUP($B19,'Dermal Crosswalk'!$A$6:$V$39,15,FALSE))),"--")</f>
        <v>106.93258367368588</v>
      </c>
      <c r="M19" s="727">
        <f>IFERROR(VLOOKUP($D19,$Y$9:$AC$10,4,FALSE)/IF($D19="Inhalation",IF($J19="Central Tendency",SUMIFS('Inhalation Exposure'!$O$6:$O$32,'Inhalation Exposure'!$B$6:$B$32,$B19,'Inhalation Exposure'!$D$6:$D$32,$C19),SUMIFS('Inhalation Exposure'!$N$6:$N$32,'Inhalation Exposure'!$B$6:$B$32,$B19,'Inhalation Exposure'!$D$6:$D$32,$C19)),IF($J19="Central Tendency",VLOOKUP($B19,'Dermal Crosswalk'!$A$6:$V$39,21,FALSE),VLOOKUP($B19,'Dermal Crosswalk'!$A$6:$V$39,16,FALSE))),"--")</f>
        <v>114.48915291995969</v>
      </c>
      <c r="N19" s="729">
        <f>IFERROR(VLOOKUP(D19,$Y$9:$AC$10,5,FALSE)*IF($D19="Inhalation",IF($J19="Central Tendency",SUMIFS('Inhalation Exposure'!$Q$6:$Q$32,'Inhalation Exposure'!$B$6:$B$32,$B19,'Inhalation Exposure'!$D$6:$D$32,$C19),SUMIFS('Inhalation Exposure'!$P$6:$P$32,'Inhalation Exposure'!$B$6:$B$32,$B19,'Inhalation Exposure'!$D$6:$D$32,$C19)),IF($J19="Central Tendency",VLOOKUP($B19,'Dermal Crosswalk'!$A$6:$V$39,22,FALSE),VLOOKUP($B19,'Dermal Crosswalk'!$A$6:$V$39,17,FALSE))),"--")</f>
        <v>9.3615407613695288E-4</v>
      </c>
      <c r="O19" s="650"/>
      <c r="P19" s="650"/>
      <c r="Q19" s="650"/>
      <c r="R19" s="650"/>
      <c r="T19" s="287"/>
      <c r="U19" s="288"/>
      <c r="V19" s="288"/>
      <c r="W19" s="289"/>
    </row>
    <row r="20" spans="2:29" ht="15.75" thickBot="1" x14ac:dyDescent="0.3">
      <c r="B20" s="277" t="s">
        <v>177</v>
      </c>
      <c r="C20" s="278" t="s">
        <v>97</v>
      </c>
      <c r="D20" s="278" t="s">
        <v>167</v>
      </c>
      <c r="E20" s="744"/>
      <c r="F20" s="744"/>
      <c r="G20" s="747"/>
      <c r="H20" s="733"/>
      <c r="I20" s="733"/>
      <c r="J20" s="736"/>
      <c r="K20" s="728"/>
      <c r="L20" s="728"/>
      <c r="M20" s="728"/>
      <c r="N20" s="730"/>
      <c r="O20" s="650"/>
      <c r="P20" s="650"/>
      <c r="Q20" s="650"/>
      <c r="R20" s="650"/>
      <c r="T20" s="287"/>
      <c r="U20" s="288"/>
      <c r="V20" s="288"/>
      <c r="W20" s="289"/>
    </row>
    <row r="21" spans="2:29" ht="15.75" thickBot="1" x14ac:dyDescent="0.3">
      <c r="B21" s="277" t="s">
        <v>179</v>
      </c>
      <c r="C21" s="278" t="s">
        <v>97</v>
      </c>
      <c r="D21" s="278" t="s">
        <v>167</v>
      </c>
      <c r="E21" s="744"/>
      <c r="F21" s="744"/>
      <c r="G21" s="747"/>
      <c r="H21" s="731" t="s">
        <v>180</v>
      </c>
      <c r="I21" s="731" t="s">
        <v>143</v>
      </c>
      <c r="J21" s="734" t="s">
        <v>101</v>
      </c>
      <c r="K21" s="727">
        <f>IFERROR(VLOOKUP($D21,$Y$9:$AC$10,2,FALSE)/IF($D21="Inhalation",IF($J21="Central Tendency",SUMIFS('Inhalation Exposure'!$K$6:$K$32,'Inhalation Exposure'!$B$6:$B$32,$B21,'Inhalation Exposure'!$D$6:$D$32,$C21),SUMIFS('Inhalation Exposure'!$J$6:$J$32,'Inhalation Exposure'!$B$6:$B$32,$B21,'Inhalation Exposure'!$D$6:$D$32,$C21)),IF($J21="Central Tendency",VLOOKUP($B21,'Dermal Crosswalk'!$A$6:$V$39,19,FALSE),VLOOKUP($B21,'Dermal Crosswalk'!$A$6:$V$39,14,FALSE))),"--")</f>
        <v>5284.1831610044319</v>
      </c>
      <c r="L21" s="727">
        <f>IFERROR(VLOOKUP($D21,$Y$9:$AC$10,3,FALSE)/IF($D21="Inhalation",IF($J21="Central Tendency",SUMIFS('Inhalation Exposure'!$M$6:$M$32,'Inhalation Exposure'!$B$6:$B$32,$B21,'Inhalation Exposure'!$D$6:$D$32,$C21),SUMIFS('Inhalation Exposure'!$L$6:$L$32,'Inhalation Exposure'!$B$6:$B$32,$B21,'Inhalation Exposure'!$D$6:$D$32,$C21)),IF($J21="Central Tendency",VLOOKUP($B21,'Dermal Crosswalk'!$A$6:$V$39,20,FALSE),VLOOKUP($B21,'Dermal Crosswalk'!$A$6:$V$39,15,FALSE))),"--")</f>
        <v>15633.677991137371</v>
      </c>
      <c r="M21" s="727">
        <f>IFERROR(VLOOKUP($D21,$Y$9:$AC$10,4,FALSE)/IF($D21="Inhalation",IF($J21="Central Tendency",SUMIFS('Inhalation Exposure'!$O$6:$O$32,'Inhalation Exposure'!$B$6:$B$32,$B21,'Inhalation Exposure'!$D$6:$D$32,$C21),SUMIFS('Inhalation Exposure'!$N$6:$N$32,'Inhalation Exposure'!$B$6:$B$32,$B21,'Inhalation Exposure'!$D$6:$D$32,$C21)),IF($J21="Central Tendency",VLOOKUP($B21,'Dermal Crosswalk'!$A$6:$V$39,21,FALSE),VLOOKUP($B21,'Dermal Crosswalk'!$A$6:$V$39,16,FALSE))),"--")</f>
        <v>16738.45790251108</v>
      </c>
      <c r="N21" s="729">
        <f>IFERROR(VLOOKUP(D21,$Y$9:$AC$10,5,FALSE)*IF($D21="Inhalation",IF($J21="Central Tendency",SUMIFS('Inhalation Exposure'!$Q$6:$Q$32,'Inhalation Exposure'!$B$6:$B$32,$B21,'Inhalation Exposure'!$D$6:$D$32,$C21),SUMIFS('Inhalation Exposure'!$P$6:$P$32,'Inhalation Exposure'!$B$6:$B$32,$B21,'Inhalation Exposure'!$D$6:$D$32,$C21)),IF($J21="Central Tendency",VLOOKUP($B21,'Dermal Crosswalk'!$A$6:$V$39,22,FALSE),VLOOKUP($B21,'Dermal Crosswalk'!$A$6:$V$39,17,FALSE))),"--")</f>
        <v>4.9624704406994026E-6</v>
      </c>
      <c r="O21" s="650"/>
      <c r="P21" s="650"/>
      <c r="Q21" s="650"/>
      <c r="R21" s="650"/>
      <c r="T21" s="287"/>
      <c r="U21" s="288"/>
      <c r="V21" s="288"/>
      <c r="W21" s="289"/>
    </row>
    <row r="22" spans="2:29" ht="15.75" thickBot="1" x14ac:dyDescent="0.3">
      <c r="B22" s="277" t="s">
        <v>179</v>
      </c>
      <c r="C22" s="278" t="s">
        <v>97</v>
      </c>
      <c r="D22" s="278" t="s">
        <v>167</v>
      </c>
      <c r="E22" s="744"/>
      <c r="F22" s="744"/>
      <c r="G22" s="747"/>
      <c r="H22" s="732"/>
      <c r="I22" s="732"/>
      <c r="J22" s="735"/>
      <c r="K22" s="728"/>
      <c r="L22" s="728"/>
      <c r="M22" s="728"/>
      <c r="N22" s="730"/>
      <c r="O22" s="650"/>
      <c r="P22" s="650"/>
      <c r="Q22" s="650"/>
      <c r="R22" s="650"/>
      <c r="T22" s="287"/>
      <c r="U22" s="288"/>
      <c r="V22" s="288"/>
      <c r="W22" s="289"/>
    </row>
    <row r="23" spans="2:29" ht="15.75" thickBot="1" x14ac:dyDescent="0.3">
      <c r="B23" s="277" t="s">
        <v>179</v>
      </c>
      <c r="C23" s="278" t="s">
        <v>97</v>
      </c>
      <c r="D23" s="278" t="s">
        <v>167</v>
      </c>
      <c r="E23" s="744"/>
      <c r="F23" s="744"/>
      <c r="G23" s="747"/>
      <c r="H23" s="732"/>
      <c r="I23" s="732"/>
      <c r="J23" s="734" t="s">
        <v>174</v>
      </c>
      <c r="K23" s="727">
        <f>IFERROR(VLOOKUP($D23,$Y$9:$AC$10,2,FALSE)/IF($D23="Inhalation",IF($J23="Central Tendency",SUMIFS('Inhalation Exposure'!$K$6:$K$32,'Inhalation Exposure'!$B$6:$B$32,$B23,'Inhalation Exposure'!$D$6:$D$32,$C23),SUMIFS('Inhalation Exposure'!$J$6:$J$32,'Inhalation Exposure'!$B$6:$B$32,$B23,'Inhalation Exposure'!$D$6:$D$32,$C23)),IF($J23="Central Tendency",VLOOKUP($B23,'Dermal Crosswalk'!$A$6:$V$39,19,FALSE),VLOOKUP($B23,'Dermal Crosswalk'!$A$6:$V$39,14,FALSE))),"--")</f>
        <v>2837.1959488932421</v>
      </c>
      <c r="L23" s="727">
        <f>IFERROR(VLOOKUP($D23,$Y$9:$AC$10,3,FALSE)/IF($D23="Inhalation",IF($J23="Central Tendency",SUMIFS('Inhalation Exposure'!$M$6:$M$32,'Inhalation Exposure'!$B$6:$B$32,$B23,'Inhalation Exposure'!$D$6:$D$32,$C23),SUMIFS('Inhalation Exposure'!$L$6:$L$32,'Inhalation Exposure'!$B$6:$B$32,$B23,'Inhalation Exposure'!$D$6:$D$32,$C23)),IF($J23="Central Tendency",VLOOKUP($B23,'Dermal Crosswalk'!$A$6:$V$39,20,FALSE),VLOOKUP($B23,'Dermal Crosswalk'!$A$6:$V$39,15,FALSE))),"--")</f>
        <v>8394.0708547137347</v>
      </c>
      <c r="M23" s="727">
        <f>IFERROR(VLOOKUP($D23,$Y$9:$AC$10,4,FALSE)/IF($D23="Inhalation",IF($J23="Central Tendency",SUMIFS('Inhalation Exposure'!$O$6:$O$32,'Inhalation Exposure'!$B$6:$B$32,$B23,'Inhalation Exposure'!$D$6:$D$32,$C23),SUMIFS('Inhalation Exposure'!$N$6:$N$32,'Inhalation Exposure'!$B$6:$B$32,$B23,'Inhalation Exposure'!$D$6:$D$32,$C23)),IF($J23="Central Tendency",VLOOKUP($B23,'Dermal Crosswalk'!$A$6:$V$39,21,FALSE),VLOOKUP($B23,'Dermal Crosswalk'!$A$6:$V$39,16,FALSE))),"--")</f>
        <v>8987.2518617801725</v>
      </c>
      <c r="N23" s="729">
        <f>IFERROR(VLOOKUP(D23,$Y$9:$AC$10,5,FALSE)*IF($D23="Inhalation",IF($J23="Central Tendency",SUMIFS('Inhalation Exposure'!$Q$6:$Q$32,'Inhalation Exposure'!$B$6:$B$32,$B23,'Inhalation Exposure'!$D$6:$D$32,$C23),SUMIFS('Inhalation Exposure'!$P$6:$P$32,'Inhalation Exposure'!$B$6:$B$32,$B23,'Inhalation Exposure'!$D$6:$D$32,$C23)),IF($J23="Central Tendency",VLOOKUP($B23,'Dermal Crosswalk'!$A$6:$V$39,22,FALSE),VLOOKUP($B23,'Dermal Crosswalk'!$A$6:$V$39,17,FALSE))),"--")</f>
        <v>1.192572421779858E-5</v>
      </c>
      <c r="O23" s="650"/>
      <c r="P23" s="650"/>
      <c r="Q23" s="650"/>
      <c r="R23" s="650"/>
      <c r="T23" s="287"/>
      <c r="U23" s="288"/>
      <c r="V23" s="288"/>
      <c r="W23" s="289"/>
    </row>
    <row r="24" spans="2:29" ht="15.75" thickBot="1" x14ac:dyDescent="0.3">
      <c r="B24" s="277" t="s">
        <v>179</v>
      </c>
      <c r="C24" s="278" t="s">
        <v>97</v>
      </c>
      <c r="D24" s="278" t="s">
        <v>167</v>
      </c>
      <c r="E24" s="744"/>
      <c r="F24" s="744"/>
      <c r="G24" s="747"/>
      <c r="H24" s="733"/>
      <c r="I24" s="733"/>
      <c r="J24" s="736"/>
      <c r="K24" s="728"/>
      <c r="L24" s="728"/>
      <c r="M24" s="728"/>
      <c r="N24" s="730"/>
      <c r="O24" s="650"/>
      <c r="P24" s="650"/>
      <c r="Q24" s="650"/>
      <c r="R24" s="650"/>
      <c r="T24" s="287"/>
      <c r="U24" s="288"/>
      <c r="V24" s="288"/>
      <c r="W24" s="289"/>
    </row>
    <row r="25" spans="2:29" ht="15.75" thickBot="1" x14ac:dyDescent="0.3">
      <c r="B25" s="277" t="s">
        <v>181</v>
      </c>
      <c r="C25" s="278" t="s">
        <v>97</v>
      </c>
      <c r="D25" s="278" t="s">
        <v>167</v>
      </c>
      <c r="E25" s="744"/>
      <c r="F25" s="744"/>
      <c r="G25" s="747"/>
      <c r="H25" s="731" t="s">
        <v>182</v>
      </c>
      <c r="I25" s="731" t="s">
        <v>143</v>
      </c>
      <c r="J25" s="734" t="s">
        <v>101</v>
      </c>
      <c r="K25" s="727">
        <f>IFERROR(VLOOKUP($D25,$Y$9:$AC$10,2,FALSE)/IF($D25="Inhalation",IF($J25="Central Tendency",SUMIFS('Inhalation Exposure'!$K$6:$K$32,'Inhalation Exposure'!$B$6:$B$32,$B25,'Inhalation Exposure'!$D$6:$D$32,$C25),SUMIFS('Inhalation Exposure'!$J$6:$J$32,'Inhalation Exposure'!$B$6:$B$32,$B25,'Inhalation Exposure'!$D$6:$D$32,$C25)),IF($J25="Central Tendency",VLOOKUP($B25,'Dermal Crosswalk'!$A$6:$V$39,19,FALSE),VLOOKUP($B25,'Dermal Crosswalk'!$A$6:$V$39,14,FALSE))),"--")</f>
        <v>13152.176470588234</v>
      </c>
      <c r="L25" s="727">
        <f>IFERROR(VLOOKUP($D25,$Y$9:$AC$10,3,FALSE)/IF($D25="Inhalation",IF($J25="Central Tendency",SUMIFS('Inhalation Exposure'!$M$6:$M$32,'Inhalation Exposure'!$B$6:$B$32,$B25,'Inhalation Exposure'!$D$6:$D$32,$C25),SUMIFS('Inhalation Exposure'!$L$6:$L$32,'Inhalation Exposure'!$B$6:$B$32,$B25,'Inhalation Exposure'!$D$6:$D$32,$C25)),IF($J25="Central Tendency",VLOOKUP($B25,'Dermal Crosswalk'!$A$6:$V$39,20,FALSE),VLOOKUP($B25,'Dermal Crosswalk'!$A$6:$V$39,15,FALSE))),"--")</f>
        <v>38911.76470588235</v>
      </c>
      <c r="M25" s="727">
        <f>IFERROR(VLOOKUP($D25,$Y$9:$AC$10,4,FALSE)/IF($D25="Inhalation",IF($J25="Central Tendency",SUMIFS('Inhalation Exposure'!$O$6:$O$32,'Inhalation Exposure'!$B$6:$B$32,$B25,'Inhalation Exposure'!$D$6:$D$32,$C25),SUMIFS('Inhalation Exposure'!$N$6:$N$32,'Inhalation Exposure'!$B$6:$B$32,$B25,'Inhalation Exposure'!$D$6:$D$32,$C25)),IF($J25="Central Tendency",VLOOKUP($B25,'Dermal Crosswalk'!$A$6:$V$39,21,FALSE),VLOOKUP($B25,'Dermal Crosswalk'!$A$6:$V$39,16,FALSE))),"--")</f>
        <v>41661.529411764699</v>
      </c>
      <c r="N25" s="729">
        <f>IFERROR(VLOOKUP(D25,$Y$9:$AC$10,5,FALSE)*IF($D25="Inhalation",IF($J25="Central Tendency",SUMIFS('Inhalation Exposure'!$Q$6:$Q$32,'Inhalation Exposure'!$B$6:$B$32,$B25,'Inhalation Exposure'!$D$6:$D$32,$C25),SUMIFS('Inhalation Exposure'!$P$6:$P$32,'Inhalation Exposure'!$B$6:$B$32,$B25,'Inhalation Exposure'!$D$6:$D$32,$C25)),IF($J25="Central Tendency",VLOOKUP($B25,'Dermal Crosswalk'!$A$6:$V$39,22,FALSE),VLOOKUP($B25,'Dermal Crosswalk'!$A$6:$V$39,17,FALSE))),"--")</f>
        <v>1.9937842834124633E-6</v>
      </c>
      <c r="O25" s="650"/>
      <c r="P25" s="650"/>
      <c r="Q25" s="650"/>
      <c r="R25" s="650"/>
      <c r="T25" s="287"/>
      <c r="U25" s="288"/>
      <c r="V25" s="288"/>
      <c r="W25" s="289"/>
    </row>
    <row r="26" spans="2:29" ht="15.75" thickBot="1" x14ac:dyDescent="0.3">
      <c r="B26" s="277" t="s">
        <v>181</v>
      </c>
      <c r="C26" s="278" t="s">
        <v>97</v>
      </c>
      <c r="D26" s="278" t="s">
        <v>167</v>
      </c>
      <c r="E26" s="744"/>
      <c r="F26" s="744"/>
      <c r="G26" s="747"/>
      <c r="H26" s="732"/>
      <c r="I26" s="732"/>
      <c r="J26" s="735"/>
      <c r="K26" s="728"/>
      <c r="L26" s="728"/>
      <c r="M26" s="728"/>
      <c r="N26" s="730"/>
      <c r="O26" s="650"/>
      <c r="P26" s="650"/>
      <c r="Q26" s="650"/>
      <c r="R26" s="650"/>
      <c r="T26" s="287"/>
      <c r="U26" s="288"/>
      <c r="V26" s="288"/>
      <c r="W26" s="289"/>
    </row>
    <row r="27" spans="2:29" ht="15.75" thickBot="1" x14ac:dyDescent="0.3">
      <c r="B27" s="277" t="s">
        <v>181</v>
      </c>
      <c r="C27" s="278" t="s">
        <v>97</v>
      </c>
      <c r="D27" s="278" t="s">
        <v>167</v>
      </c>
      <c r="E27" s="744"/>
      <c r="F27" s="744"/>
      <c r="G27" s="747"/>
      <c r="H27" s="732"/>
      <c r="I27" s="732"/>
      <c r="J27" s="734" t="s">
        <v>174</v>
      </c>
      <c r="K27" s="727">
        <f>IFERROR(VLOOKUP($D27,$Y$9:$AC$10,2,FALSE)/IF($D27="Inhalation",IF($J27="Central Tendency",SUMIFS('Inhalation Exposure'!$K$6:$K$32,'Inhalation Exposure'!$B$6:$B$32,$B27,'Inhalation Exposure'!$D$6:$D$32,$C27),SUMIFS('Inhalation Exposure'!$J$6:$J$32,'Inhalation Exposure'!$B$6:$B$32,$B27,'Inhalation Exposure'!$D$6:$D$32,$C27)),IF($J27="Central Tendency",VLOOKUP($B27,'Dermal Crosswalk'!$A$6:$V$39,19,FALSE),VLOOKUP($B27,'Dermal Crosswalk'!$A$6:$V$39,14,FALSE))),"--")</f>
        <v>630.74644549763059</v>
      </c>
      <c r="L27" s="727">
        <f>IFERROR(VLOOKUP($D27,$Y$9:$AC$10,3,FALSE)/IF($D27="Inhalation",IF($J27="Central Tendency",SUMIFS('Inhalation Exposure'!$M$6:$M$32,'Inhalation Exposure'!$B$6:$B$32,$B27,'Inhalation Exposure'!$D$6:$D$32,$C27),SUMIFS('Inhalation Exposure'!$L$6:$L$32,'Inhalation Exposure'!$B$6:$B$32,$B27,'Inhalation Exposure'!$D$6:$D$32,$C27)),IF($J27="Central Tendency",VLOOKUP($B27,'Dermal Crosswalk'!$A$6:$V$39,20,FALSE),VLOOKUP($B27,'Dermal Crosswalk'!$A$6:$V$39,15,FALSE))),"--")</f>
        <v>1866.1137440758298</v>
      </c>
      <c r="M27" s="727">
        <f>IFERROR(VLOOKUP($D27,$Y$9:$AC$10,4,FALSE)/IF($D27="Inhalation",IF($J27="Central Tendency",SUMIFS('Inhalation Exposure'!$O$6:$O$32,'Inhalation Exposure'!$B$6:$B$32,$B27,'Inhalation Exposure'!$D$6:$D$32,$C27),SUMIFS('Inhalation Exposure'!$N$6:$N$32,'Inhalation Exposure'!$B$6:$B$32,$B27,'Inhalation Exposure'!$D$6:$D$32,$C27)),IF($J27="Central Tendency",VLOOKUP($B27,'Dermal Crosswalk'!$A$6:$V$39,21,FALSE),VLOOKUP($B27,'Dermal Crosswalk'!$A$6:$V$39,16,FALSE))),"--")</f>
        <v>1997.9857819905219</v>
      </c>
      <c r="N27" s="729">
        <f>IFERROR(VLOOKUP(D27,$Y$9:$AC$10,5,FALSE)*IF($D27="Inhalation",IF($J27="Central Tendency",SUMIFS('Inhalation Exposure'!$Q$6:$Q$32,'Inhalation Exposure'!$B$6:$B$32,$B27,'Inhalation Exposure'!$D$6:$D$32,$C27),SUMIFS('Inhalation Exposure'!$P$6:$P$32,'Inhalation Exposure'!$B$6:$B$32,$B27,'Inhalation Exposure'!$D$6:$D$32,$C27)),IF($J27="Central Tendency",VLOOKUP($B27,'Dermal Crosswalk'!$A$6:$V$39,22,FALSE),VLOOKUP($B27,'Dermal Crosswalk'!$A$6:$V$39,17,FALSE))),"--")</f>
        <v>5.3643768712261842E-5</v>
      </c>
      <c r="O27" s="650"/>
      <c r="P27" s="650"/>
      <c r="Q27" s="650"/>
      <c r="R27" s="650"/>
      <c r="T27" s="287"/>
      <c r="U27" s="288"/>
      <c r="V27" s="288"/>
      <c r="W27" s="289"/>
    </row>
    <row r="28" spans="2:29" ht="15.75" thickBot="1" x14ac:dyDescent="0.3">
      <c r="B28" s="277" t="s">
        <v>181</v>
      </c>
      <c r="C28" s="278" t="s">
        <v>97</v>
      </c>
      <c r="D28" s="278" t="s">
        <v>167</v>
      </c>
      <c r="E28" s="744"/>
      <c r="F28" s="744"/>
      <c r="G28" s="747"/>
      <c r="H28" s="733"/>
      <c r="I28" s="733"/>
      <c r="J28" s="736"/>
      <c r="K28" s="728"/>
      <c r="L28" s="728"/>
      <c r="M28" s="728"/>
      <c r="N28" s="730"/>
      <c r="O28" s="650"/>
      <c r="P28" s="650"/>
      <c r="Q28" s="650"/>
      <c r="R28" s="650"/>
      <c r="T28" s="287"/>
      <c r="U28" s="288"/>
      <c r="V28" s="288"/>
      <c r="W28" s="289"/>
    </row>
    <row r="29" spans="2:29" ht="16.5" thickTop="1" thickBot="1" x14ac:dyDescent="0.3">
      <c r="B29" s="277" t="s">
        <v>166</v>
      </c>
      <c r="C29" s="278" t="s">
        <v>97</v>
      </c>
      <c r="D29" s="278" t="s">
        <v>72</v>
      </c>
      <c r="E29" s="744"/>
      <c r="F29" s="744"/>
      <c r="G29" s="747"/>
      <c r="H29" s="732" t="s">
        <v>183</v>
      </c>
      <c r="I29" s="737" t="s">
        <v>72</v>
      </c>
      <c r="J29" s="742" t="s">
        <v>101</v>
      </c>
      <c r="K29" s="727">
        <f>IFERROR(VLOOKUP($D29,$Y$9:$AC$10,2,FALSE)/IF($D29="Inhalation",IF($J29="Central Tendency",SUMIFS('Inhalation Exposure'!$K$6:$K$32,'Inhalation Exposure'!$B$6:$B$32,$B29,'Inhalation Exposure'!$D$6:$D$32,$C29),SUMIFS('Inhalation Exposure'!$J$6:$J$32,'Inhalation Exposure'!$B$6:$B$32,$B29,'Inhalation Exposure'!$D$6:$D$32,$C29)),IF($J29="Central Tendency",VLOOKUP($B29,'Dermal Crosswalk'!$A$6:$V$39,19,FALSE),VLOOKUP($B29,'Dermal Crosswalk'!$A$6:$V$39,14,FALSE))),"--")</f>
        <v>708.50022251891414</v>
      </c>
      <c r="L29" s="727">
        <f>IFERROR(VLOOKUP($D29,$Y$9:$AC$10,3,FALSE)/IF($D29="Inhalation",IF($J29="Central Tendency",SUMIFS('Inhalation Exposure'!$M$6:$M$32,'Inhalation Exposure'!$B$6:$B$32,$B29,'Inhalation Exposure'!$D$6:$D$32,$C29),SUMIFS('Inhalation Exposure'!$L$6:$L$32,'Inhalation Exposure'!$B$6:$B$32,$B29,'Inhalation Exposure'!$D$6:$D$32,$C29)),IF($J29="Central Tendency",VLOOKUP($B29,'Dermal Crosswalk'!$A$6:$V$39,20,FALSE),VLOOKUP($B29,'Dermal Crosswalk'!$A$6:$V$39,15,FALSE))),"--")</f>
        <v>441.8011894647409</v>
      </c>
      <c r="M29" s="727">
        <f>IFERROR(VLOOKUP($D29,$Y$9:$AC$10,4,FALSE)/IF($D29="Inhalation",IF($J29="Central Tendency",SUMIFS('Inhalation Exposure'!$O$6:$O$32,'Inhalation Exposure'!$B$6:$B$32,$B29,'Inhalation Exposure'!$D$6:$D$32,$C29),SUMIFS('Inhalation Exposure'!$N$6:$N$32,'Inhalation Exposure'!$B$6:$B$32,$B29,'Inhalation Exposure'!$D$6:$D$32,$C29)),IF($J29="Central Tendency",VLOOKUP($B29,'Dermal Crosswalk'!$A$6:$V$39,21,FALSE),VLOOKUP($B29,'Dermal Crosswalk'!$A$6:$V$39,16,FALSE))),"--")</f>
        <v>473.02180685358252</v>
      </c>
      <c r="N29" s="729" t="str">
        <f>IFERROR(VLOOKUP(D29,$Y$9:$AC$10,5,FALSE)*IF($D29="Inhalation",IF($J29="Central Tendency",SUMIFS('Inhalation Exposure'!$Q$6:$Q$32,'Inhalation Exposure'!$B$6:$B$32,$B29,'Inhalation Exposure'!$D$6:$D$32,$C29),SUMIFS('Inhalation Exposure'!$P$6:$P$32,'Inhalation Exposure'!$B$6:$B$32,$B29,'Inhalation Exposure'!$D$6:$D$32,$C29)),IF($J29="Central Tendency",VLOOKUP($B29,'Dermal Crosswalk'!$A$6:$V$39,22,FALSE),VLOOKUP($B29,'Dermal Crosswalk'!$A$6:$V$39,17,FALSE))),"--")</f>
        <v>--</v>
      </c>
      <c r="O29" s="279">
        <f>IFERROR(K29*T29, "--")</f>
        <v>3542.5011125945707</v>
      </c>
      <c r="P29" s="279">
        <f>IFERROR(L29*U29, "--")</f>
        <v>2209.0059473237043</v>
      </c>
      <c r="Q29" s="279">
        <f>IFERROR(M29*V29, "--")</f>
        <v>2365.1090342679126</v>
      </c>
      <c r="R29" s="298" t="str">
        <f>IFERROR(N29/W29, "--")</f>
        <v>--</v>
      </c>
      <c r="T29" s="287">
        <v>5</v>
      </c>
      <c r="U29" s="288">
        <v>5</v>
      </c>
      <c r="V29" s="288">
        <v>5</v>
      </c>
      <c r="W29" s="289">
        <v>5</v>
      </c>
      <c r="AC29" s="293"/>
    </row>
    <row r="30" spans="2:29" ht="15.75" thickBot="1" x14ac:dyDescent="0.3">
      <c r="B30" s="277" t="s">
        <v>166</v>
      </c>
      <c r="C30" s="278" t="s">
        <v>97</v>
      </c>
      <c r="D30" s="278" t="s">
        <v>72</v>
      </c>
      <c r="E30" s="744"/>
      <c r="F30" s="744"/>
      <c r="G30" s="747"/>
      <c r="H30" s="732"/>
      <c r="I30" s="732"/>
      <c r="J30" s="739"/>
      <c r="K30" s="728"/>
      <c r="L30" s="728"/>
      <c r="M30" s="728"/>
      <c r="N30" s="730"/>
      <c r="O30" s="279" t="str">
        <f>CONCATENATE("(PF ",T29,")")</f>
        <v>(PF 5)</v>
      </c>
      <c r="P30" s="279" t="str">
        <f>CONCATENATE("(PF ",U29,")")</f>
        <v>(PF 5)</v>
      </c>
      <c r="Q30" s="279" t="str">
        <f>CONCATENATE("(PF ",V29,")")</f>
        <v>(PF 5)</v>
      </c>
      <c r="R30" s="298" t="str">
        <f>CONCATENATE("(PF ",W29,")")</f>
        <v>(PF 5)</v>
      </c>
      <c r="T30" s="295" t="s">
        <v>184</v>
      </c>
      <c r="U30" s="296" t="s">
        <v>184</v>
      </c>
      <c r="V30" s="296" t="s">
        <v>184</v>
      </c>
      <c r="W30" s="297" t="s">
        <v>184</v>
      </c>
      <c r="AC30" s="293"/>
    </row>
    <row r="31" spans="2:29" ht="15.75" thickBot="1" x14ac:dyDescent="0.3">
      <c r="B31" s="277" t="s">
        <v>166</v>
      </c>
      <c r="C31" s="278" t="s">
        <v>97</v>
      </c>
      <c r="D31" s="278" t="s">
        <v>72</v>
      </c>
      <c r="E31" s="744"/>
      <c r="F31" s="744"/>
      <c r="G31" s="747"/>
      <c r="H31" s="732"/>
      <c r="I31" s="732"/>
      <c r="J31" s="734" t="s">
        <v>174</v>
      </c>
      <c r="K31" s="727">
        <f>IFERROR(VLOOKUP($D31,$Y$9:$AC$10,2,FALSE)/IF($D31="Inhalation",IF($J31="Central Tendency",SUMIFS('Inhalation Exposure'!$K$6:$K$32,'Inhalation Exposure'!$B$6:$B$32,$B31,'Inhalation Exposure'!$D$6:$D$32,$C31),SUMIFS('Inhalation Exposure'!$J$6:$J$32,'Inhalation Exposure'!$B$6:$B$32,$B31,'Inhalation Exposure'!$D$6:$D$32,$C31)),IF($J31="Central Tendency",VLOOKUP($B31,'Dermal Crosswalk'!$A$6:$V$39,19,FALSE),VLOOKUP($B31,'Dermal Crosswalk'!$A$6:$V$39,14,FALSE))),"--")</f>
        <v>236.16674083963801</v>
      </c>
      <c r="L31" s="727">
        <f>IFERROR(VLOOKUP($D31,$Y$9:$AC$10,3,FALSE)/IF($D31="Inhalation",IF($J31="Central Tendency",SUMIFS('Inhalation Exposure'!$M$6:$M$32,'Inhalation Exposure'!$B$6:$B$32,$B31,'Inhalation Exposure'!$D$6:$D$32,$C31),SUMIFS('Inhalation Exposure'!$L$6:$L$32,'Inhalation Exposure'!$B$6:$B$32,$B31,'Inhalation Exposure'!$D$6:$D$32,$C31)),IF($J31="Central Tendency",VLOOKUP($B31,'Dermal Crosswalk'!$A$6:$V$39,20,FALSE),VLOOKUP($B31,'Dermal Crosswalk'!$A$6:$V$39,15,FALSE))),"--")</f>
        <v>147.26706315491359</v>
      </c>
      <c r="M31" s="727">
        <f>IFERROR(VLOOKUP($D31,$Y$9:$AC$10,4,FALSE)/IF($D31="Inhalation",IF($J31="Central Tendency",SUMIFS('Inhalation Exposure'!$O$6:$O$32,'Inhalation Exposure'!$B$6:$B$32,$B31,'Inhalation Exposure'!$D$6:$D$32,$C31),SUMIFS('Inhalation Exposure'!$N$6:$N$32,'Inhalation Exposure'!$B$6:$B$32,$B31,'Inhalation Exposure'!$D$6:$D$32,$C31)),IF($J31="Central Tendency",VLOOKUP($B31,'Dermal Crosswalk'!$A$6:$V$39,21,FALSE),VLOOKUP($B31,'Dermal Crosswalk'!$A$6:$V$39,16,FALSE))),"--")</f>
        <v>157.67393561786085</v>
      </c>
      <c r="N31" s="729" t="str">
        <f>IFERROR(VLOOKUP(D31,$Y$9:$AC$10,5,FALSE)*IF($D31="Inhalation",IF($J31="Central Tendency",SUMIFS('Inhalation Exposure'!$Q$6:$Q$32,'Inhalation Exposure'!$B$6:$B$32,$B31,'Inhalation Exposure'!$D$6:$D$32,$C31),SUMIFS('Inhalation Exposure'!$P$6:$P$32,'Inhalation Exposure'!$B$6:$B$32,$B31,'Inhalation Exposure'!$D$6:$D$32,$C31)),IF($J31="Central Tendency",VLOOKUP($B31,'Dermal Crosswalk'!$A$6:$V$39,22,FALSE),VLOOKUP($B31,'Dermal Crosswalk'!$A$6:$V$39,17,FALSE))),"--")</f>
        <v>--</v>
      </c>
      <c r="O31" s="647">
        <f>IFERROR(K31*T31, "--")</f>
        <v>1180.8337041981899</v>
      </c>
      <c r="P31" s="647">
        <f>IFERROR(L31*U31, "--")</f>
        <v>736.3353157745679</v>
      </c>
      <c r="Q31" s="647">
        <f>IFERROR(M31*V31, "--")</f>
        <v>788.36967808930422</v>
      </c>
      <c r="R31" s="299" t="str">
        <f>IFERROR(N31/W31, "--")</f>
        <v>--</v>
      </c>
      <c r="T31" s="287">
        <v>5</v>
      </c>
      <c r="U31" s="288">
        <v>5</v>
      </c>
      <c r="V31" s="288">
        <v>5</v>
      </c>
      <c r="W31" s="289">
        <v>5</v>
      </c>
      <c r="AC31" s="293"/>
    </row>
    <row r="32" spans="2:29" ht="15.75" thickBot="1" x14ac:dyDescent="0.3">
      <c r="B32" s="277" t="s">
        <v>166</v>
      </c>
      <c r="C32" s="278" t="s">
        <v>97</v>
      </c>
      <c r="D32" s="278" t="s">
        <v>72</v>
      </c>
      <c r="E32" s="744"/>
      <c r="F32" s="744"/>
      <c r="G32" s="747"/>
      <c r="H32" s="733"/>
      <c r="I32" s="733"/>
      <c r="J32" s="736"/>
      <c r="K32" s="728"/>
      <c r="L32" s="728"/>
      <c r="M32" s="728"/>
      <c r="N32" s="730"/>
      <c r="O32" s="649" t="str">
        <f>CONCATENATE("(PF ",T31,")")</f>
        <v>(PF 5)</v>
      </c>
      <c r="P32" s="649" t="str">
        <f>CONCATENATE("(PF ",U31,")")</f>
        <v>(PF 5)</v>
      </c>
      <c r="Q32" s="649" t="str">
        <f>CONCATENATE("(PF ",V31,")")</f>
        <v>(PF 5)</v>
      </c>
      <c r="R32" s="294" t="str">
        <f>CONCATENATE("(PF ",W31,")")</f>
        <v>(PF 5)</v>
      </c>
      <c r="T32" s="295" t="s">
        <v>184</v>
      </c>
      <c r="U32" s="296" t="s">
        <v>184</v>
      </c>
      <c r="V32" s="296" t="s">
        <v>184</v>
      </c>
      <c r="W32" s="297" t="s">
        <v>184</v>
      </c>
    </row>
    <row r="33" spans="2:29" ht="16.5" thickTop="1" thickBot="1" x14ac:dyDescent="0.3">
      <c r="B33" s="277" t="s">
        <v>185</v>
      </c>
      <c r="C33" s="278" t="s">
        <v>97</v>
      </c>
      <c r="D33" s="278" t="s">
        <v>72</v>
      </c>
      <c r="E33" s="744"/>
      <c r="F33" s="744"/>
      <c r="G33" s="747"/>
      <c r="H33" s="732" t="s">
        <v>186</v>
      </c>
      <c r="I33" s="737" t="s">
        <v>72</v>
      </c>
      <c r="J33" s="742" t="s">
        <v>101</v>
      </c>
      <c r="K33" s="727">
        <f>IFERROR(VLOOKUP($D33,$Y$9:$AC$10,2,FALSE)/IF($D33="Inhalation",IF($J33="Central Tendency",SUMIFS('Inhalation Exposure'!$K$6:$K$32,'Inhalation Exposure'!$B$6:$B$32,$B33,'Inhalation Exposure'!$D$6:$D$32,$C33),SUMIFS('Inhalation Exposure'!$J$6:$J$32,'Inhalation Exposure'!$B$6:$B$32,$B33,'Inhalation Exposure'!$D$6:$D$32,$C33)),IF($J33="Central Tendency",VLOOKUP($B33,'Dermal Crosswalk'!$A$6:$V$39,19,FALSE),VLOOKUP($B33,'Dermal Crosswalk'!$A$6:$V$39,14,FALSE))),"--")</f>
        <v>491.72274177941256</v>
      </c>
      <c r="L33" s="727">
        <f>IFERROR(VLOOKUP($D33,$Y$9:$AC$10,3,FALSE)/IF($D33="Inhalation",IF($J33="Central Tendency",SUMIFS('Inhalation Exposure'!$M$6:$M$32,'Inhalation Exposure'!$B$6:$B$32,$B33,'Inhalation Exposure'!$D$6:$D$32,$C33),SUMIFS('Inhalation Exposure'!$L$6:$L$32,'Inhalation Exposure'!$B$6:$B$32,$B33,'Inhalation Exposure'!$D$6:$D$32,$C33)),IF($J33="Central Tendency",VLOOKUP($B33,'Dermal Crosswalk'!$A$6:$V$39,20,FALSE),VLOOKUP($B33,'Dermal Crosswalk'!$A$6:$V$39,15,FALSE))),"--")</f>
        <v>306.62473390995808</v>
      </c>
      <c r="M33" s="727">
        <f>IFERROR(VLOOKUP($D33,$Y$9:$AC$10,4,FALSE)/IF($D33="Inhalation",IF($J33="Central Tendency",SUMIFS('Inhalation Exposure'!$O$6:$O$32,'Inhalation Exposure'!$B$6:$B$32,$B33,'Inhalation Exposure'!$D$6:$D$32,$C33),SUMIFS('Inhalation Exposure'!$N$6:$N$32,'Inhalation Exposure'!$B$6:$B$32,$B33,'Inhalation Exposure'!$D$6:$D$32,$C33)),IF($J33="Central Tendency",VLOOKUP($B33,'Dermal Crosswalk'!$A$6:$V$39,21,FALSE),VLOOKUP($B33,'Dermal Crosswalk'!$A$6:$V$39,16,FALSE))),"--")</f>
        <v>328.29288177292841</v>
      </c>
      <c r="N33" s="729" t="str">
        <f>IFERROR(VLOOKUP(D33,$Y$9:$AC$10,5,FALSE)*IF($D33="Inhalation",IF($J33="Central Tendency",SUMIFS('Inhalation Exposure'!$Q$6:$Q$32,'Inhalation Exposure'!$B$6:$B$32,$B33,'Inhalation Exposure'!$D$6:$D$32,$C33),SUMIFS('Inhalation Exposure'!$P$6:$P$32,'Inhalation Exposure'!$B$6:$B$32,$B33,'Inhalation Exposure'!$D$6:$D$32,$C33)),IF($J33="Central Tendency",VLOOKUP($B33,'Dermal Crosswalk'!$A$6:$V$39,22,FALSE),VLOOKUP($B33,'Dermal Crosswalk'!$A$6:$V$39,17,FALSE))),"--")</f>
        <v>--</v>
      </c>
      <c r="O33" s="650"/>
      <c r="P33" s="650"/>
      <c r="Q33" s="650"/>
      <c r="R33" s="488"/>
      <c r="T33" s="287"/>
      <c r="U33" s="288"/>
      <c r="V33" s="288"/>
      <c r="W33" s="289"/>
    </row>
    <row r="34" spans="2:29" ht="15.75" thickBot="1" x14ac:dyDescent="0.3">
      <c r="B34" s="277" t="s">
        <v>185</v>
      </c>
      <c r="C34" s="278" t="s">
        <v>97</v>
      </c>
      <c r="D34" s="278" t="s">
        <v>72</v>
      </c>
      <c r="E34" s="744"/>
      <c r="F34" s="744"/>
      <c r="G34" s="747"/>
      <c r="H34" s="732"/>
      <c r="I34" s="732"/>
      <c r="J34" s="739"/>
      <c r="K34" s="728"/>
      <c r="L34" s="728"/>
      <c r="M34" s="728"/>
      <c r="N34" s="730"/>
      <c r="O34" s="650"/>
      <c r="P34" s="650"/>
      <c r="Q34" s="650"/>
      <c r="R34" s="488"/>
      <c r="T34" s="287"/>
      <c r="U34" s="288"/>
      <c r="V34" s="288"/>
      <c r="W34" s="289"/>
    </row>
    <row r="35" spans="2:29" ht="15.75" thickBot="1" x14ac:dyDescent="0.3">
      <c r="B35" s="277" t="s">
        <v>185</v>
      </c>
      <c r="C35" s="278" t="s">
        <v>97</v>
      </c>
      <c r="D35" s="278" t="s">
        <v>72</v>
      </c>
      <c r="E35" s="744"/>
      <c r="F35" s="744"/>
      <c r="G35" s="747"/>
      <c r="H35" s="732"/>
      <c r="I35" s="732"/>
      <c r="J35" s="734" t="s">
        <v>174</v>
      </c>
      <c r="K35" s="727">
        <f>IFERROR(VLOOKUP($D35,$Y$9:$AC$10,2,FALSE)/IF($D35="Inhalation",IF($J35="Central Tendency",SUMIFS('Inhalation Exposure'!$K$6:$K$32,'Inhalation Exposure'!$B$6:$B$32,$B35,'Inhalation Exposure'!$D$6:$D$32,$C35),SUMIFS('Inhalation Exposure'!$J$6:$J$32,'Inhalation Exposure'!$B$6:$B$32,$B35,'Inhalation Exposure'!$D$6:$D$32,$C35)),IF($J35="Central Tendency",VLOOKUP($B35,'Dermal Crosswalk'!$A$6:$V$39,19,FALSE),VLOOKUP($B35,'Dermal Crosswalk'!$A$6:$V$39,14,FALSE))),"--")</f>
        <v>287.68731623571779</v>
      </c>
      <c r="L35" s="727">
        <f>IFERROR(VLOOKUP($D35,$Y$9:$AC$10,3,FALSE)/IF($D35="Inhalation",IF($J35="Central Tendency",SUMIFS('Inhalation Exposure'!$M$6:$M$32,'Inhalation Exposure'!$B$6:$B$32,$B35,'Inhalation Exposure'!$D$6:$D$32,$C35),SUMIFS('Inhalation Exposure'!$L$6:$L$32,'Inhalation Exposure'!$B$6:$B$32,$B35,'Inhalation Exposure'!$D$6:$D$32,$C35)),IF($J35="Central Tendency",VLOOKUP($B35,'Dermal Crosswalk'!$A$6:$V$39,20,FALSE),VLOOKUP($B35,'Dermal Crosswalk'!$A$6:$V$39,15,FALSE))),"--")</f>
        <v>179.39387239002048</v>
      </c>
      <c r="M35" s="727">
        <f>IFERROR(VLOOKUP($D35,$Y$9:$AC$10,4,FALSE)/IF($D35="Inhalation",IF($J35="Central Tendency",SUMIFS('Inhalation Exposure'!$O$6:$O$32,'Inhalation Exposure'!$B$6:$B$32,$B35,'Inhalation Exposure'!$D$6:$D$32,$C35),SUMIFS('Inhalation Exposure'!$N$6:$N$32,'Inhalation Exposure'!$B$6:$B$32,$B35,'Inhalation Exposure'!$D$6:$D$32,$C35)),IF($J35="Central Tendency",VLOOKUP($B35,'Dermal Crosswalk'!$A$6:$V$39,21,FALSE),VLOOKUP($B35,'Dermal Crosswalk'!$A$6:$V$39,16,FALSE))),"--")</f>
        <v>192.07103937224855</v>
      </c>
      <c r="N35" s="729" t="str">
        <f>IFERROR(VLOOKUP(D35,$Y$9:$AC$10,5,FALSE)*IF($D35="Inhalation",IF($J35="Central Tendency",SUMIFS('Inhalation Exposure'!$Q$6:$Q$32,'Inhalation Exposure'!$B$6:$B$32,$B35,'Inhalation Exposure'!$D$6:$D$32,$C35),SUMIFS('Inhalation Exposure'!$P$6:$P$32,'Inhalation Exposure'!$B$6:$B$32,$B35,'Inhalation Exposure'!$D$6:$D$32,$C35)),IF($J35="Central Tendency",VLOOKUP($B35,'Dermal Crosswalk'!$A$6:$V$39,22,FALSE),VLOOKUP($B35,'Dermal Crosswalk'!$A$6:$V$39,17,FALSE))),"--")</f>
        <v>--</v>
      </c>
      <c r="O35" s="650"/>
      <c r="P35" s="650"/>
      <c r="Q35" s="650"/>
      <c r="R35" s="488"/>
      <c r="T35" s="287"/>
      <c r="U35" s="288"/>
      <c r="V35" s="288"/>
      <c r="W35" s="289"/>
    </row>
    <row r="36" spans="2:29" ht="15.75" thickBot="1" x14ac:dyDescent="0.3">
      <c r="B36" s="277" t="s">
        <v>185</v>
      </c>
      <c r="C36" s="278" t="s">
        <v>97</v>
      </c>
      <c r="D36" s="278" t="s">
        <v>72</v>
      </c>
      <c r="E36" s="744"/>
      <c r="F36" s="744"/>
      <c r="G36" s="747"/>
      <c r="H36" s="733"/>
      <c r="I36" s="733"/>
      <c r="J36" s="736"/>
      <c r="K36" s="728"/>
      <c r="L36" s="728"/>
      <c r="M36" s="728"/>
      <c r="N36" s="730"/>
      <c r="O36" s="650"/>
      <c r="P36" s="650"/>
      <c r="Q36" s="650"/>
      <c r="R36" s="488"/>
      <c r="T36" s="287"/>
      <c r="U36" s="288"/>
      <c r="V36" s="288"/>
      <c r="W36" s="289"/>
    </row>
    <row r="37" spans="2:29" ht="27" thickTop="1" thickBot="1" x14ac:dyDescent="0.3">
      <c r="B37" s="277" t="s">
        <v>166</v>
      </c>
      <c r="C37" s="278" t="s">
        <v>100</v>
      </c>
      <c r="D37" s="278" t="s">
        <v>167</v>
      </c>
      <c r="E37" s="744"/>
      <c r="F37" s="744"/>
      <c r="G37" s="747"/>
      <c r="H37" s="737" t="s">
        <v>100</v>
      </c>
      <c r="I37" s="737" t="s">
        <v>143</v>
      </c>
      <c r="J37" s="648" t="s">
        <v>101</v>
      </c>
      <c r="K37" s="648">
        <f>IFERROR(VLOOKUP($D37,$Y$9:$AC$10,2,FALSE)/IF($D37="Inhalation",IF($J37="Central Tendency",SUMIFS('Inhalation Exposure'!$K$6:$K$32,'Inhalation Exposure'!$B$6:$B$32,$B37,'Inhalation Exposure'!$D$6:$D$32,$C37),SUMIFS('Inhalation Exposure'!$J$6:$J$32,'Inhalation Exposure'!$B$6:$B$32,$B37,'Inhalation Exposure'!$D$6:$D$32,$C37)),IF($J37="Central Tendency",VLOOKUP($B37,'Dermal Crosswalk'!$A$6:$V$39,17,FALSE),VLOOKUP($B37,'Dermal Crosswalk'!$A$6:$V$39,12,FALSE))),"--")</f>
        <v>8327.2625698324027</v>
      </c>
      <c r="L37" s="300">
        <f>IFERROR(VLOOKUP($D37,$Y$9:$AC$10,3,FALSE)/IF($D37="Inhalation",IF($J37="Central Tendency",SUMIFS('Inhalation Exposure'!$M$6:$M$32,'Inhalation Exposure'!$B$6:$B$32,$B37,'Inhalation Exposure'!$D$6:$D$32,$C37),SUMIFS('Inhalation Exposure'!$L$6:$L$32,'Inhalation Exposure'!$B$6:$B$32,$B37,'Inhalation Exposure'!$D$6:$D$32,$C37)),IF($J37="Central Tendency",VLOOKUP($B37,'Dermal Crosswalk'!$A$6:$V$39,18,FALSE),VLOOKUP($B37,'Dermal Crosswalk'!$A$6:$V$39,13,FALSE))),"--")</f>
        <v>24636.871508379889</v>
      </c>
      <c r="M37" s="647">
        <f>IFERROR(VLOOKUP($D37,$Y$9:$AC$10,4,FALSE)/IF($D37="Inhalation",IF($J37="Central Tendency",SUMIFS('Inhalation Exposure'!$O$6:$O$32,'Inhalation Exposure'!$B$6:$B$32,$B37,'Inhalation Exposure'!$D$6:$D$32,$C37),SUMIFS('Inhalation Exposure'!$N$6:$N$32,'Inhalation Exposure'!$B$6:$B$32,$B37,'Inhalation Exposure'!$D$6:$D$32,$C37)),IF($J37="Central Tendency",VLOOKUP($B37,'Dermal Crosswalk'!$A$6:$V$39,19,FALSE),VLOOKUP($B37,'Dermal Crosswalk'!$A$6:$V$39,14,FALSE))),"--")</f>
        <v>26377.877094972064</v>
      </c>
      <c r="N37" s="300">
        <f>IFERROR(VLOOKUP(D37,$Y$9:$AC$10,5,FALSE)*IF($D37="Inhalation",IF($J37="Central Tendency",SUMIFS('Inhalation Exposure'!$Q$6:$Q$32,'Inhalation Exposure'!$B$6:$B$32,$B37,'Inhalation Exposure'!$D$6:$D$32,$C37),SUMIFS('Inhalation Exposure'!$P$6:$P$32,'Inhalation Exposure'!$B$6:$B$32,$B37,'Inhalation Exposure'!$D$6:$D$32,$C37)),IF($J37="Central Tendency",VLOOKUP($B37,'Dermal Crosswalk'!$A$6:$V$39,20,FALSE),VLOOKUP($B37,'Dermal Crosswalk'!$A$6:$V$39,15,FALSE))),"--")</f>
        <v>3.149006353507332E-6</v>
      </c>
      <c r="O37" s="648" t="s">
        <v>187</v>
      </c>
      <c r="P37" s="648" t="s">
        <v>187</v>
      </c>
      <c r="Q37" s="648" t="s">
        <v>187</v>
      </c>
      <c r="R37" s="648" t="s">
        <v>187</v>
      </c>
      <c r="T37" s="287" t="s">
        <v>187</v>
      </c>
      <c r="U37" s="288" t="s">
        <v>187</v>
      </c>
      <c r="V37" s="288" t="s">
        <v>187</v>
      </c>
      <c r="W37" s="289" t="s">
        <v>187</v>
      </c>
    </row>
    <row r="38" spans="2:29" ht="15.75" thickBot="1" x14ac:dyDescent="0.3">
      <c r="B38" s="277" t="s">
        <v>166</v>
      </c>
      <c r="C38" s="278" t="s">
        <v>100</v>
      </c>
      <c r="D38" s="278" t="s">
        <v>167</v>
      </c>
      <c r="E38" s="744"/>
      <c r="F38" s="744"/>
      <c r="G38" s="747"/>
      <c r="H38" s="732"/>
      <c r="I38" s="738"/>
      <c r="J38" s="650" t="s">
        <v>174</v>
      </c>
      <c r="K38" s="648">
        <f>IFERROR(VLOOKUP($D38,$Y$9:$AC$10,2,FALSE)/IF($D38="Inhalation",IF($J38="Central Tendency",SUMIFS('Inhalation Exposure'!$K$6:$K$32,'Inhalation Exposure'!$B$6:$B$32,$B38,'Inhalation Exposure'!$D$6:$D$32,$C38),SUMIFS('Inhalation Exposure'!$J$6:$J$32,'Inhalation Exposure'!$B$6:$B$32,$B38,'Inhalation Exposure'!$D$6:$D$32,$C38)),IF($J38="Central Tendency",VLOOKUP($B38,'Dermal Crosswalk'!$A$6:$V$39,17,FALSE),VLOOKUP($B38,'Dermal Crosswalk'!$A$6:$V$39,12,FALSE))),"--")</f>
        <v>810.56312897009548</v>
      </c>
      <c r="L38" s="300">
        <f>IFERROR(VLOOKUP($D38,$Y$9:$AC$10,3,FALSE)/IF($D38="Inhalation",IF($J38="Central Tendency",SUMIFS('Inhalation Exposure'!$M$6:$M$32,'Inhalation Exposure'!$B$6:$B$32,$B38,'Inhalation Exposure'!$D$6:$D$32,$C38),SUMIFS('Inhalation Exposure'!$L$6:$L$32,'Inhalation Exposure'!$B$6:$B$32,$B38,'Inhalation Exposure'!$D$6:$D$32,$C38)),IF($J38="Central Tendency",VLOOKUP($B38,'Dermal Crosswalk'!$A$6:$V$39,18,FALSE),VLOOKUP($B38,'Dermal Crosswalk'!$A$6:$V$39,13,FALSE))),"--")</f>
        <v>2398.1157661837146</v>
      </c>
      <c r="M38" s="647">
        <f>IFERROR(VLOOKUP($D38,$Y$9:$AC$10,4,FALSE)/IF($D38="Inhalation",IF($J38="Central Tendency",SUMIFS('Inhalation Exposure'!$O$6:$O$32,'Inhalation Exposure'!$B$6:$B$32,$B38,'Inhalation Exposure'!$D$6:$D$32,$C38),SUMIFS('Inhalation Exposure'!$N$6:$N$32,'Inhalation Exposure'!$B$6:$B$32,$B38,'Inhalation Exposure'!$D$6:$D$32,$C38)),IF($J38="Central Tendency",VLOOKUP($B38,'Dermal Crosswalk'!$A$6:$V$39,19,FALSE),VLOOKUP($B38,'Dermal Crosswalk'!$A$6:$V$39,14,FALSE))),"--")</f>
        <v>2567.5826136606961</v>
      </c>
      <c r="N38" s="300">
        <f>IFERROR(VLOOKUP(D38,$Y$9:$AC$10,5,FALSE)*IF($D38="Inhalation",IF($J38="Central Tendency",SUMIFS('Inhalation Exposure'!$Q$6:$Q$32,'Inhalation Exposure'!$B$6:$B$32,$B38,'Inhalation Exposure'!$D$6:$D$32,$C38),SUMIFS('Inhalation Exposure'!$P$6:$P$32,'Inhalation Exposure'!$B$6:$B$32,$B38,'Inhalation Exposure'!$D$6:$D$32,$C38)),IF($J38="Central Tendency",VLOOKUP($B38,'Dermal Crosswalk'!$A$6:$V$39,20,FALSE),VLOOKUP($B38,'Dermal Crosswalk'!$A$6:$V$39,15,FALSE))),"--")</f>
        <v>4.1743345125194418E-5</v>
      </c>
      <c r="O38" s="302" t="s">
        <v>187</v>
      </c>
      <c r="P38" s="302" t="s">
        <v>187</v>
      </c>
      <c r="Q38" s="302" t="s">
        <v>187</v>
      </c>
      <c r="R38" s="302" t="s">
        <v>187</v>
      </c>
      <c r="T38" s="303" t="s">
        <v>187</v>
      </c>
      <c r="U38" s="304" t="s">
        <v>187</v>
      </c>
      <c r="V38" s="304" t="s">
        <v>187</v>
      </c>
      <c r="W38" s="305" t="s">
        <v>187</v>
      </c>
    </row>
    <row r="39" spans="2:29" ht="15.75" customHeight="1" thickBot="1" x14ac:dyDescent="0.3">
      <c r="B39" s="277" t="s">
        <v>188</v>
      </c>
      <c r="C39" s="278" t="s">
        <v>97</v>
      </c>
      <c r="D39" s="278" t="s">
        <v>167</v>
      </c>
      <c r="E39" s="743" t="s">
        <v>189</v>
      </c>
      <c r="F39" s="743" t="s">
        <v>190</v>
      </c>
      <c r="G39" s="746" t="s">
        <v>191</v>
      </c>
      <c r="H39" s="731" t="s">
        <v>192</v>
      </c>
      <c r="I39" s="731" t="s">
        <v>143</v>
      </c>
      <c r="J39" s="734" t="s">
        <v>101</v>
      </c>
      <c r="K39" s="727">
        <f>IFERROR(VLOOKUP($D39,$Y$9:$AC$10,2,FALSE)/IF($D39="Inhalation",IF($J39="Central Tendency",SUMIFS('Inhalation Exposure'!$K$6:$K$32,'Inhalation Exposure'!$B$6:$B$32,$B39,'Inhalation Exposure'!$D$6:$D$32,$C39),SUMIFS('Inhalation Exposure'!$J$6:$J$32,'Inhalation Exposure'!$B$6:$B$32,$B39,'Inhalation Exposure'!$D$6:$D$32,$C39)),IF($J39="Central Tendency",VLOOKUP($B39,'Dermal Crosswalk'!$A$6:$V$39,19,FALSE),VLOOKUP($B39,'Dermal Crosswalk'!$A$6:$V$39,14,FALSE))),"--")</f>
        <v>4.2472707946584096</v>
      </c>
      <c r="L39" s="727">
        <f>IFERROR(VLOOKUP($D39,$Y$9:$AC$10,3,FALSE)/IF($D39="Inhalation",IF($J39="Central Tendency",SUMIFS('Inhalation Exposure'!$M$6:$M$32,'Inhalation Exposure'!$B$6:$B$32,$B39,'Inhalation Exposure'!$D$6:$D$32,$C39),SUMIFS('Inhalation Exposure'!$L$6:$L$32,'Inhalation Exposure'!$B$6:$B$32,$B39,'Inhalation Exposure'!$D$6:$D$32,$C39)),IF($J39="Central Tendency",VLOOKUP($B39,'Dermal Crosswalk'!$A$6:$V$39,20,FALSE),VLOOKUP($B39,'Dermal Crosswalk'!$A$6:$V$39,15,FALSE))),"--")</f>
        <v>12.56588992502488</v>
      </c>
      <c r="M39" s="727">
        <f>IFERROR(VLOOKUP($D39,$Y$9:$AC$10,4,FALSE)/IF($D39="Inhalation",IF($J39="Central Tendency",SUMIFS('Inhalation Exposure'!$O$6:$O$32,'Inhalation Exposure'!$B$6:$B$32,$B39,'Inhalation Exposure'!$D$6:$D$32,$C39),SUMIFS('Inhalation Exposure'!$N$6:$N$32,'Inhalation Exposure'!$B$6:$B$32,$B39,'Inhalation Exposure'!$D$6:$D$32,$C39)),IF($J39="Central Tendency",VLOOKUP($B39,'Dermal Crosswalk'!$A$6:$V$39,21,FALSE),VLOOKUP($B39,'Dermal Crosswalk'!$A$6:$V$39,16,FALSE))),"--")</f>
        <v>129.36422576660229</v>
      </c>
      <c r="N39" s="729">
        <f>IFERROR(VLOOKUP(D39,$Y$9:$AC$10,5,FALSE)*IF($D39="Inhalation",IF($J39="Central Tendency",SUMIFS('Inhalation Exposure'!$Q$6:$Q$32,'Inhalation Exposure'!$B$6:$B$32,$B39,'Inhalation Exposure'!$D$6:$D$32,$C39),SUMIFS('Inhalation Exposure'!$P$6:$P$32,'Inhalation Exposure'!$B$6:$B$32,$B39,'Inhalation Exposure'!$D$6:$D$32,$C39)),IF($J39="Central Tendency",VLOOKUP($B39,'Dermal Crosswalk'!$A$6:$V$39,22,FALSE),VLOOKUP($B39,'Dermal Crosswalk'!$A$6:$V$39,17,FALSE))),"--")</f>
        <v>6.420948455561898E-4</v>
      </c>
      <c r="O39" s="279">
        <f>IFERROR(K39*T39, "--")</f>
        <v>42.472707946584094</v>
      </c>
      <c r="P39" s="279">
        <f>IFERROR(L39*U39, "--")</f>
        <v>125.65889925024879</v>
      </c>
      <c r="Q39" s="279">
        <f>IFERROR(M39*V39, "--")</f>
        <v>1293.6422576660229</v>
      </c>
      <c r="R39" s="280">
        <f>IFERROR(N39/W39, "--")</f>
        <v>6.4209484555618985E-5</v>
      </c>
      <c r="T39" s="281">
        <v>10</v>
      </c>
      <c r="U39" s="282">
        <v>10</v>
      </c>
      <c r="V39" s="282">
        <v>10</v>
      </c>
      <c r="W39" s="283">
        <v>10</v>
      </c>
    </row>
    <row r="40" spans="2:29" ht="15.75" thickBot="1" x14ac:dyDescent="0.3">
      <c r="B40" s="277" t="s">
        <v>188</v>
      </c>
      <c r="C40" s="278" t="s">
        <v>97</v>
      </c>
      <c r="D40" s="278" t="s">
        <v>167</v>
      </c>
      <c r="E40" s="744"/>
      <c r="F40" s="744"/>
      <c r="G40" s="747"/>
      <c r="H40" s="732"/>
      <c r="I40" s="732"/>
      <c r="J40" s="735"/>
      <c r="K40" s="728"/>
      <c r="L40" s="728"/>
      <c r="M40" s="728"/>
      <c r="N40" s="730"/>
      <c r="O40" s="648" t="str">
        <f>CONCATENATE("(APF ",T39,")")</f>
        <v>(APF 10)</v>
      </c>
      <c r="P40" s="648" t="str">
        <f>CONCATENATE("(APF ",U39,")")</f>
        <v>(APF 10)</v>
      </c>
      <c r="Q40" s="648" t="str">
        <f>CONCATENATE("(APF ",V39,")")</f>
        <v>(APF 10)</v>
      </c>
      <c r="R40" s="648" t="str">
        <f>CONCATENATE("(APF ",W39,")")</f>
        <v>(APF 10)</v>
      </c>
      <c r="T40" s="287" t="s">
        <v>172</v>
      </c>
      <c r="U40" s="288" t="s">
        <v>172</v>
      </c>
      <c r="V40" s="288" t="s">
        <v>172</v>
      </c>
      <c r="W40" s="289" t="s">
        <v>172</v>
      </c>
    </row>
    <row r="41" spans="2:29" ht="15.75" thickBot="1" x14ac:dyDescent="0.3">
      <c r="B41" s="277" t="s">
        <v>188</v>
      </c>
      <c r="C41" s="278" t="s">
        <v>97</v>
      </c>
      <c r="D41" s="278" t="s">
        <v>167</v>
      </c>
      <c r="E41" s="744"/>
      <c r="F41" s="744"/>
      <c r="G41" s="747"/>
      <c r="H41" s="732"/>
      <c r="I41" s="732"/>
      <c r="J41" s="734" t="s">
        <v>174</v>
      </c>
      <c r="K41" s="727">
        <f>IFERROR(VLOOKUP($D41,$Y$9:$AC$10,2,FALSE)/IF($D41="Inhalation",IF($J41="Central Tendency",SUMIFS('Inhalation Exposure'!$K$6:$K$32,'Inhalation Exposure'!$B$6:$B$32,$B41,'Inhalation Exposure'!$D$6:$D$32,$C41),SUMIFS('Inhalation Exposure'!$J$6:$J$32,'Inhalation Exposure'!$B$6:$B$32,$B41,'Inhalation Exposure'!$D$6:$D$32,$C41)),IF($J41="Central Tendency",VLOOKUP($B41,'Dermal Crosswalk'!$A$6:$V$39,19,FALSE),VLOOKUP($B41,'Dermal Crosswalk'!$A$6:$V$39,14,FALSE))),"--")</f>
        <v>1.1540987132899778</v>
      </c>
      <c r="L41" s="727">
        <f>IFERROR(VLOOKUP($D41,$Y$9:$AC$10,3,FALSE)/IF($D41="Inhalation",IF($J41="Central Tendency",SUMIFS('Inhalation Exposure'!$M$6:$M$32,'Inhalation Exposure'!$B$6:$B$32,$B41,'Inhalation Exposure'!$D$6:$D$32,$C41),SUMIFS('Inhalation Exposure'!$L$6:$L$32,'Inhalation Exposure'!$B$6:$B$32,$B41,'Inhalation Exposure'!$D$6:$D$32,$C41)),IF($J41="Central Tendency",VLOOKUP($B41,'Dermal Crosswalk'!$A$6:$V$39,20,FALSE),VLOOKUP($B41,'Dermal Crosswalk'!$A$6:$V$39,15,FALSE))),"--")</f>
        <v>3.4144932345857337</v>
      </c>
      <c r="M41" s="727">
        <f>IFERROR(VLOOKUP($D41,$Y$9:$AC$10,4,FALSE)/IF($D41="Inhalation",IF($J41="Central Tendency",SUMIFS('Inhalation Exposure'!$O$6:$O$32,'Inhalation Exposure'!$B$6:$B$32,$B41,'Inhalation Exposure'!$D$6:$D$32,$C41),SUMIFS('Inhalation Exposure'!$N$6:$N$32,'Inhalation Exposure'!$B$6:$B$32,$B41,'Inhalation Exposure'!$D$6:$D$32,$C41)),IF($J41="Central Tendency",VLOOKUP($B41,'Dermal Crosswalk'!$A$6:$V$39,21,FALSE),VLOOKUP($B41,'Dermal Crosswalk'!$A$6:$V$39,16,FALSE))),"--")</f>
        <v>7.1402033004488121</v>
      </c>
      <c r="N41" s="729">
        <f>IFERROR(VLOOKUP(D41,$Y$9:$AC$10,5,FALSE)*IF($D41="Inhalation",IF($J41="Central Tendency",SUMIFS('Inhalation Exposure'!$Q$6:$Q$32,'Inhalation Exposure'!$B$6:$B$32,$B41,'Inhalation Exposure'!$D$6:$D$32,$C41),SUMIFS('Inhalation Exposure'!$P$6:$P$32,'Inhalation Exposure'!$B$6:$B$32,$B41,'Inhalation Exposure'!$D$6:$D$32,$C41)),IF($J41="Central Tendency",VLOOKUP($B41,'Dermal Crosswalk'!$A$6:$V$39,22,FALSE),VLOOKUP($B41,'Dermal Crosswalk'!$A$6:$V$39,17,FALSE))),"--")</f>
        <v>1.5010705251592791E-2</v>
      </c>
      <c r="O41" s="279">
        <f>IFERROR(K41*T41, "--")</f>
        <v>11.540987132899778</v>
      </c>
      <c r="P41" s="279">
        <f>IFERROR(L41*U41, "--")</f>
        <v>34.144932345857335</v>
      </c>
      <c r="Q41" s="279">
        <f>IFERROR(M41*V41, "--")</f>
        <v>71.402033004488118</v>
      </c>
      <c r="R41" s="280">
        <f>IFERROR(N41/W41, "--")</f>
        <v>3.0021410503185581E-4</v>
      </c>
      <c r="T41" s="290">
        <v>10</v>
      </c>
      <c r="U41" s="291">
        <v>10</v>
      </c>
      <c r="V41" s="291">
        <v>10</v>
      </c>
      <c r="W41" s="292">
        <v>50</v>
      </c>
      <c r="AC41" s="293"/>
    </row>
    <row r="42" spans="2:29" ht="15.75" thickBot="1" x14ac:dyDescent="0.3">
      <c r="B42" s="277" t="s">
        <v>188</v>
      </c>
      <c r="C42" s="278" t="s">
        <v>97</v>
      </c>
      <c r="D42" s="278" t="s">
        <v>167</v>
      </c>
      <c r="E42" s="744"/>
      <c r="F42" s="744"/>
      <c r="G42" s="747"/>
      <c r="H42" s="732"/>
      <c r="I42" s="733"/>
      <c r="J42" s="736"/>
      <c r="K42" s="728"/>
      <c r="L42" s="728"/>
      <c r="M42" s="728"/>
      <c r="N42" s="730"/>
      <c r="O42" s="649" t="str">
        <f>CONCATENATE("(APF ",T41,")")</f>
        <v>(APF 10)</v>
      </c>
      <c r="P42" s="649" t="str">
        <f>CONCATENATE("(APF ",U41,")")</f>
        <v>(APF 10)</v>
      </c>
      <c r="Q42" s="649" t="str">
        <f>CONCATENATE("(APF ",V41,")")</f>
        <v>(APF 10)</v>
      </c>
      <c r="R42" s="649" t="str">
        <f>CONCATENATE("(APF ",W41,")")</f>
        <v>(APF 50)</v>
      </c>
      <c r="T42" s="295" t="s">
        <v>172</v>
      </c>
      <c r="U42" s="296" t="s">
        <v>172</v>
      </c>
      <c r="V42" s="296" t="s">
        <v>172</v>
      </c>
      <c r="W42" s="297" t="s">
        <v>172</v>
      </c>
    </row>
    <row r="43" spans="2:29" ht="15.75" thickBot="1" x14ac:dyDescent="0.3">
      <c r="B43" s="277" t="s">
        <v>193</v>
      </c>
      <c r="C43" s="278" t="s">
        <v>97</v>
      </c>
      <c r="D43" s="278" t="s">
        <v>167</v>
      </c>
      <c r="E43" s="744"/>
      <c r="F43" s="744"/>
      <c r="G43" s="747"/>
      <c r="H43" s="731" t="s">
        <v>194</v>
      </c>
      <c r="I43" s="731" t="s">
        <v>143</v>
      </c>
      <c r="J43" s="734" t="s">
        <v>101</v>
      </c>
      <c r="K43" s="727">
        <f>IFERROR(VLOOKUP($D43,$Y$9:$AC$10,2,FALSE)/IF($D43="Inhalation",IF($J43="Central Tendency",SUMIFS('Inhalation Exposure'!$K$6:$K$32,'Inhalation Exposure'!$B$6:$B$32,$B43,'Inhalation Exposure'!$D$6:$D$32,$C43),SUMIFS('Inhalation Exposure'!$J$6:$J$32,'Inhalation Exposure'!$B$6:$B$32,$B43,'Inhalation Exposure'!$D$6:$D$32,$C43)),IF($J43="Central Tendency",VLOOKUP($B43,'Dermal Crosswalk'!$A$6:$V$39,19,FALSE),VLOOKUP($B43,'Dermal Crosswalk'!$A$6:$V$39,14,FALSE))),"--")</f>
        <v>8.6079771852489255</v>
      </c>
      <c r="L43" s="727">
        <f>IFERROR(VLOOKUP($D43,$Y$9:$AC$10,3,FALSE)/IF($D43="Inhalation",IF($J43="Central Tendency",SUMIFS('Inhalation Exposure'!$M$6:$M$32,'Inhalation Exposure'!$B$6:$B$32,$B43,'Inhalation Exposure'!$D$6:$D$32,$C43),SUMIFS('Inhalation Exposure'!$L$6:$L$32,'Inhalation Exposure'!$B$6:$B$32,$B43,'Inhalation Exposure'!$D$6:$D$32,$C43)),IF($J43="Central Tendency",VLOOKUP($B43,'Dermal Crosswalk'!$A$6:$V$39,20,FALSE),VLOOKUP($B43,'Dermal Crosswalk'!$A$6:$V$39,15,FALSE))),"--")</f>
        <v>25.467388122038237</v>
      </c>
      <c r="M43" s="727">
        <f>IFERROR(VLOOKUP($D43,$Y$9:$AC$10,4,FALSE)/IF($D43="Inhalation",IF($J43="Central Tendency",SUMIFS('Inhalation Exposure'!$O$6:$O$32,'Inhalation Exposure'!$B$6:$B$32,$B43,'Inhalation Exposure'!$D$6:$D$32,$C43),SUMIFS('Inhalation Exposure'!$N$6:$N$32,'Inhalation Exposure'!$B$6:$B$32,$B43,'Inhalation Exposure'!$D$6:$D$32,$C43)),IF($J43="Central Tendency",VLOOKUP($B43,'Dermal Crosswalk'!$A$6:$V$39,21,FALSE),VLOOKUP($B43,'Dermal Crosswalk'!$A$6:$V$39,16,FALSE))),"--")</f>
        <v>262.18349566662448</v>
      </c>
      <c r="N43" s="729">
        <f>IFERROR(VLOOKUP(D43,$Y$9:$AC$10,5,FALSE)*IF($D43="Inhalation",IF($J43="Central Tendency",SUMIFS('Inhalation Exposure'!$Q$6:$Q$32,'Inhalation Exposure'!$B$6:$B$32,$B43,'Inhalation Exposure'!$D$6:$D$32,$C43),SUMIFS('Inhalation Exposure'!$P$6:$P$32,'Inhalation Exposure'!$B$6:$B$32,$B43,'Inhalation Exposure'!$D$6:$D$32,$C43)),IF($J43="Central Tendency",VLOOKUP($B43,'Dermal Crosswalk'!$A$6:$V$39,22,FALSE),VLOOKUP($B43,'Dermal Crosswalk'!$A$6:$V$39,17,FALSE))),"--")</f>
        <v>3.1681667205216266E-4</v>
      </c>
      <c r="O43" s="650"/>
      <c r="P43" s="650"/>
      <c r="Q43" s="650"/>
      <c r="R43" s="650"/>
      <c r="T43" s="287"/>
      <c r="U43" s="288"/>
      <c r="V43" s="288"/>
      <c r="W43" s="289"/>
    </row>
    <row r="44" spans="2:29" ht="15.75" thickBot="1" x14ac:dyDescent="0.3">
      <c r="B44" s="277" t="s">
        <v>193</v>
      </c>
      <c r="C44" s="278" t="s">
        <v>97</v>
      </c>
      <c r="D44" s="278" t="s">
        <v>167</v>
      </c>
      <c r="E44" s="744"/>
      <c r="F44" s="744"/>
      <c r="G44" s="747"/>
      <c r="H44" s="732"/>
      <c r="I44" s="732"/>
      <c r="J44" s="735"/>
      <c r="K44" s="728"/>
      <c r="L44" s="728"/>
      <c r="M44" s="728"/>
      <c r="N44" s="730"/>
      <c r="O44" s="650"/>
      <c r="P44" s="650"/>
      <c r="Q44" s="650"/>
      <c r="R44" s="650"/>
      <c r="T44" s="287"/>
      <c r="U44" s="288"/>
      <c r="V44" s="288"/>
      <c r="W44" s="289"/>
    </row>
    <row r="45" spans="2:29" ht="18" customHeight="1" thickBot="1" x14ac:dyDescent="0.3">
      <c r="B45" s="277" t="s">
        <v>193</v>
      </c>
      <c r="C45" s="278" t="s">
        <v>97</v>
      </c>
      <c r="D45" s="278" t="s">
        <v>167</v>
      </c>
      <c r="E45" s="744"/>
      <c r="F45" s="744"/>
      <c r="G45" s="747"/>
      <c r="H45" s="732"/>
      <c r="I45" s="732"/>
      <c r="J45" s="734" t="s">
        <v>174</v>
      </c>
      <c r="K45" s="727">
        <f>IFERROR(VLOOKUP($D45,$Y$9:$AC$10,2,FALSE)/IF($D45="Inhalation",IF($J45="Central Tendency",SUMIFS('Inhalation Exposure'!$K$6:$K$32,'Inhalation Exposure'!$B$6:$B$32,$B45,'Inhalation Exposure'!$D$6:$D$32,$C45),SUMIFS('Inhalation Exposure'!$J$6:$J$32,'Inhalation Exposure'!$B$6:$B$32,$B45,'Inhalation Exposure'!$D$6:$D$32,$C45)),IF($J45="Central Tendency",VLOOKUP($B45,'Dermal Crosswalk'!$A$6:$V$39,19,FALSE),VLOOKUP($B45,'Dermal Crosswalk'!$A$6:$V$39,14,FALSE))),"--")</f>
        <v>2.273804471646955</v>
      </c>
      <c r="L45" s="727">
        <f>IFERROR(VLOOKUP($D45,$Y$9:$AC$10,3,FALSE)/IF($D45="Inhalation",IF($J45="Central Tendency",SUMIFS('Inhalation Exposure'!$M$6:$M$32,'Inhalation Exposure'!$B$6:$B$32,$B45,'Inhalation Exposure'!$D$6:$D$32,$C45),SUMIFS('Inhalation Exposure'!$L$6:$L$32,'Inhalation Exposure'!$B$6:$B$32,$B45,'Inhalation Exposure'!$D$6:$D$32,$C45)),IF($J45="Central Tendency",VLOOKUP($B45,'Dermal Crosswalk'!$A$6:$V$39,20,FALSE),VLOOKUP($B45,'Dermal Crosswalk'!$A$6:$V$39,15,FALSE))),"--")</f>
        <v>6.7272321646359599</v>
      </c>
      <c r="M45" s="727">
        <f>IFERROR(VLOOKUP($D45,$Y$9:$AC$10,4,FALSE)/IF($D45="Inhalation",IF($J45="Central Tendency",SUMIFS('Inhalation Exposure'!$O$6:$O$32,'Inhalation Exposure'!$B$6:$B$32,$B45,'Inhalation Exposure'!$D$6:$D$32,$C45),SUMIFS('Inhalation Exposure'!$N$6:$N$32,'Inhalation Exposure'!$B$6:$B$32,$B45,'Inhalation Exposure'!$D$6:$D$32,$C45)),IF($J45="Central Tendency",VLOOKUP($B45,'Dermal Crosswalk'!$A$6:$V$39,21,FALSE),VLOOKUP($B45,'Dermal Crosswalk'!$A$6:$V$39,16,FALSE))),"--")</f>
        <v>14.067623510944468</v>
      </c>
      <c r="N45" s="729">
        <f>IFERROR(VLOOKUP(D45,$Y$9:$AC$10,5,FALSE)*IF($D45="Inhalation",IF($J45="Central Tendency",SUMIFS('Inhalation Exposure'!$Q$6:$Q$32,'Inhalation Exposure'!$B$6:$B$32,$B45,'Inhalation Exposure'!$D$6:$D$32,$C45),SUMIFS('Inhalation Exposure'!$P$6:$P$32,'Inhalation Exposure'!$B$6:$B$32,$B45,'Inhalation Exposure'!$D$6:$D$32,$C45)),IF($J45="Central Tendency",VLOOKUP($B45,'Dermal Crosswalk'!$A$6:$V$39,22,FALSE),VLOOKUP($B45,'Dermal Crosswalk'!$A$6:$V$39,17,FALSE))),"--")</f>
        <v>7.6188765711637518E-3</v>
      </c>
      <c r="O45" s="650"/>
      <c r="P45" s="650"/>
      <c r="Q45" s="650"/>
      <c r="R45" s="650"/>
      <c r="T45" s="287"/>
      <c r="U45" s="288"/>
      <c r="V45" s="288"/>
      <c r="W45" s="289"/>
    </row>
    <row r="46" spans="2:29" ht="18" customHeight="1" thickBot="1" x14ac:dyDescent="0.3">
      <c r="B46" s="277" t="s">
        <v>193</v>
      </c>
      <c r="C46" s="278" t="s">
        <v>97</v>
      </c>
      <c r="D46" s="278" t="s">
        <v>167</v>
      </c>
      <c r="E46" s="744"/>
      <c r="F46" s="744"/>
      <c r="G46" s="747"/>
      <c r="H46" s="732"/>
      <c r="I46" s="733"/>
      <c r="J46" s="736"/>
      <c r="K46" s="728"/>
      <c r="L46" s="728"/>
      <c r="M46" s="728"/>
      <c r="N46" s="730"/>
      <c r="O46" s="650"/>
      <c r="P46" s="650"/>
      <c r="Q46" s="650"/>
      <c r="R46" s="650"/>
      <c r="T46" s="287"/>
      <c r="U46" s="288"/>
      <c r="V46" s="288"/>
      <c r="W46" s="289"/>
    </row>
    <row r="47" spans="2:29" ht="15.75" thickBot="1" x14ac:dyDescent="0.3">
      <c r="B47" s="277" t="s">
        <v>195</v>
      </c>
      <c r="C47" s="278" t="s">
        <v>97</v>
      </c>
      <c r="D47" s="278" t="s">
        <v>167</v>
      </c>
      <c r="E47" s="744"/>
      <c r="F47" s="744"/>
      <c r="G47" s="747"/>
      <c r="H47" s="731" t="s">
        <v>196</v>
      </c>
      <c r="I47" s="734" t="s">
        <v>143</v>
      </c>
      <c r="J47" s="734" t="s">
        <v>101</v>
      </c>
      <c r="K47" s="727">
        <f>IFERROR(VLOOKUP($D47,$Y$9:$AC$10,2,FALSE)/IF($D47="Inhalation",IF($J47="Central Tendency",SUMIFS('Inhalation Exposure'!$K$6:$K$32,'Inhalation Exposure'!$B$6:$B$32,$B47,'Inhalation Exposure'!$D$6:$D$32,$C47),SUMIFS('Inhalation Exposure'!$J$6:$J$32,'Inhalation Exposure'!$B$6:$B$32,$B47,'Inhalation Exposure'!$D$6:$D$32,$C47)),IF($J47="Central Tendency",VLOOKUP($B47,'Dermal Crosswalk'!$A$6:$V$39,19,FALSE),VLOOKUP($B47,'Dermal Crosswalk'!$A$6:$V$39,14,FALSE))),"--")</f>
        <v>8.6199204200155357</v>
      </c>
      <c r="L47" s="727">
        <f>IFERROR(VLOOKUP($D47,$Y$9:$AC$10,3,FALSE)/IF($D47="Inhalation",IF($J47="Central Tendency",SUMIFS('Inhalation Exposure'!$M$6:$M$32,'Inhalation Exposure'!$B$6:$B$32,$B47,'Inhalation Exposure'!$D$6:$D$32,$C47),SUMIFS('Inhalation Exposure'!$L$6:$L$32,'Inhalation Exposure'!$B$6:$B$32,$B47,'Inhalation Exposure'!$D$6:$D$32,$C47)),IF($J47="Central Tendency",VLOOKUP($B47,'Dermal Crosswalk'!$A$6:$V$39,20,FALSE),VLOOKUP($B47,'Dermal Crosswalk'!$A$6:$V$39,15,FALSE))),"--")</f>
        <v>25.502723136140634</v>
      </c>
      <c r="M47" s="727">
        <f>IFERROR(VLOOKUP($D47,$Y$9:$AC$10,4,FALSE)/IF($D47="Inhalation",IF($J47="Central Tendency",SUMIFS('Inhalation Exposure'!$O$6:$O$32,'Inhalation Exposure'!$B$6:$B$32,$B47,'Inhalation Exposure'!$D$6:$D$32,$C47),SUMIFS('Inhalation Exposure'!$N$6:$N$32,'Inhalation Exposure'!$B$6:$B$32,$B47,'Inhalation Exposure'!$D$6:$D$32,$C47)),IF($J47="Central Tendency",VLOOKUP($B47,'Dermal Crosswalk'!$A$6:$V$39,21,FALSE),VLOOKUP($B47,'Dermal Crosswalk'!$A$6:$V$39,16,FALSE))),"--")</f>
        <v>262.54726510667865</v>
      </c>
      <c r="N47" s="729">
        <f>IFERROR(VLOOKUP(D47,$Y$9:$AC$10,5,FALSE)*IF($D47="Inhalation",IF($J47="Central Tendency",SUMIFS('Inhalation Exposure'!$Q$6:$Q$32,'Inhalation Exposure'!$B$6:$B$32,$B47,'Inhalation Exposure'!$D$6:$D$32,$C47),SUMIFS('Inhalation Exposure'!$P$6:$P$32,'Inhalation Exposure'!$B$6:$B$32,$B47,'Inhalation Exposure'!$D$6:$D$32,$C47)),IF($J47="Central Tendency",VLOOKUP($B47,'Dermal Crosswalk'!$A$6:$V$39,22,FALSE),VLOOKUP($B47,'Dermal Crosswalk'!$A$6:$V$39,17,FALSE))),"--")</f>
        <v>3.1637771023953278E-4</v>
      </c>
      <c r="O47" s="650"/>
      <c r="P47" s="650"/>
      <c r="Q47" s="650"/>
      <c r="R47" s="650"/>
      <c r="T47" s="287"/>
      <c r="U47" s="288"/>
      <c r="V47" s="288"/>
      <c r="W47" s="289"/>
    </row>
    <row r="48" spans="2:29" ht="15.75" thickBot="1" x14ac:dyDescent="0.3">
      <c r="B48" s="277" t="s">
        <v>195</v>
      </c>
      <c r="C48" s="278" t="s">
        <v>97</v>
      </c>
      <c r="D48" s="278" t="s">
        <v>167</v>
      </c>
      <c r="E48" s="744"/>
      <c r="F48" s="744"/>
      <c r="G48" s="747"/>
      <c r="H48" s="732"/>
      <c r="I48" s="739"/>
      <c r="J48" s="735"/>
      <c r="K48" s="728"/>
      <c r="L48" s="728"/>
      <c r="M48" s="728"/>
      <c r="N48" s="730"/>
      <c r="O48" s="650"/>
      <c r="P48" s="650"/>
      <c r="Q48" s="650"/>
      <c r="R48" s="650"/>
      <c r="T48" s="287"/>
      <c r="U48" s="288"/>
      <c r="V48" s="288"/>
      <c r="W48" s="289"/>
    </row>
    <row r="49" spans="2:29" ht="15.75" thickBot="1" x14ac:dyDescent="0.3">
      <c r="B49" s="277" t="s">
        <v>195</v>
      </c>
      <c r="C49" s="278" t="s">
        <v>97</v>
      </c>
      <c r="D49" s="278" t="s">
        <v>167</v>
      </c>
      <c r="E49" s="744"/>
      <c r="F49" s="744"/>
      <c r="G49" s="747"/>
      <c r="H49" s="732"/>
      <c r="I49" s="739"/>
      <c r="J49" s="734" t="s">
        <v>174</v>
      </c>
      <c r="K49" s="727">
        <f>IFERROR(VLOOKUP($D49,$Y$9:$AC$10,2,FALSE)/IF($D49="Inhalation",IF($J49="Central Tendency",SUMIFS('Inhalation Exposure'!$K$6:$K$32,'Inhalation Exposure'!$B$6:$B$32,$B49,'Inhalation Exposure'!$D$6:$D$32,$C49),SUMIFS('Inhalation Exposure'!$J$6:$J$32,'Inhalation Exposure'!$B$6:$B$32,$B49,'Inhalation Exposure'!$D$6:$D$32,$C49)),IF($J49="Central Tendency",VLOOKUP($B49,'Dermal Crosswalk'!$A$6:$V$39,19,FALSE),VLOOKUP($B49,'Dermal Crosswalk'!$A$6:$V$39,14,FALSE))),"--")</f>
        <v>2.2647732385770376</v>
      </c>
      <c r="L49" s="727">
        <f>IFERROR(VLOOKUP($D49,$Y$9:$AC$10,3,FALSE)/IF($D49="Inhalation",IF($J49="Central Tendency",SUMIFS('Inhalation Exposure'!$M$6:$M$32,'Inhalation Exposure'!$B$6:$B$32,$B49,'Inhalation Exposure'!$D$6:$D$32,$C49),SUMIFS('Inhalation Exposure'!$L$6:$L$32,'Inhalation Exposure'!$B$6:$B$32,$B49,'Inhalation Exposure'!$D$6:$D$32,$C49)),IF($J49="Central Tendency",VLOOKUP($B49,'Dermal Crosswalk'!$A$6:$V$39,20,FALSE),VLOOKUP($B49,'Dermal Crosswalk'!$A$6:$V$39,15,FALSE))),"--")</f>
        <v>6.7005125401687495</v>
      </c>
      <c r="M49" s="727">
        <f>IFERROR(VLOOKUP($D49,$Y$9:$AC$10,4,FALSE)/IF($D49="Inhalation",IF($J49="Central Tendency",SUMIFS('Inhalation Exposure'!$O$6:$O$32,'Inhalation Exposure'!$B$6:$B$32,$B49,'Inhalation Exposure'!$D$6:$D$32,$C49),SUMIFS('Inhalation Exposure'!$N$6:$N$32,'Inhalation Exposure'!$B$6:$B$32,$B49,'Inhalation Exposure'!$D$6:$D$32,$C49)),IF($J49="Central Tendency",VLOOKUP($B49,'Dermal Crosswalk'!$A$6:$V$39,21,FALSE),VLOOKUP($B49,'Dermal Crosswalk'!$A$6:$V$39,16,FALSE))),"--")</f>
        <v>14.011748879571631</v>
      </c>
      <c r="N49" s="729">
        <f>IFERROR(VLOOKUP(D49,$Y$9:$AC$10,5,FALSE)*IF($D49="Inhalation",IF($J49="Central Tendency",SUMIFS('Inhalation Exposure'!$Q$6:$Q$32,'Inhalation Exposure'!$B$6:$B$32,$B49,'Inhalation Exposure'!$D$6:$D$32,$C49),SUMIFS('Inhalation Exposure'!$P$6:$P$32,'Inhalation Exposure'!$B$6:$B$32,$B49,'Inhalation Exposure'!$D$6:$D$32,$C49)),IF($J49="Central Tendency",VLOOKUP($B49,'Dermal Crosswalk'!$A$6:$V$39,22,FALSE),VLOOKUP($B49,'Dermal Crosswalk'!$A$6:$V$39,17,FALSE))),"--")</f>
        <v>7.6492583545904862E-3</v>
      </c>
      <c r="O49" s="650"/>
      <c r="P49" s="650"/>
      <c r="Q49" s="650"/>
      <c r="R49" s="650"/>
      <c r="T49" s="287"/>
      <c r="U49" s="288"/>
      <c r="V49" s="288"/>
      <c r="W49" s="289"/>
    </row>
    <row r="50" spans="2:29" ht="15.75" thickBot="1" x14ac:dyDescent="0.3">
      <c r="B50" s="277" t="s">
        <v>195</v>
      </c>
      <c r="C50" s="278" t="s">
        <v>97</v>
      </c>
      <c r="D50" s="278" t="s">
        <v>167</v>
      </c>
      <c r="E50" s="744"/>
      <c r="F50" s="744"/>
      <c r="G50" s="747"/>
      <c r="H50" s="738"/>
      <c r="I50" s="736"/>
      <c r="J50" s="739"/>
      <c r="K50" s="728"/>
      <c r="L50" s="728"/>
      <c r="M50" s="728"/>
      <c r="N50" s="730"/>
      <c r="O50" s="650"/>
      <c r="P50" s="650"/>
      <c r="Q50" s="650"/>
      <c r="R50" s="650"/>
      <c r="T50" s="287"/>
      <c r="U50" s="288"/>
      <c r="V50" s="288"/>
      <c r="W50" s="289"/>
    </row>
    <row r="51" spans="2:29" ht="16.5" customHeight="1" thickTop="1" thickBot="1" x14ac:dyDescent="0.3">
      <c r="B51" s="277" t="s">
        <v>188</v>
      </c>
      <c r="C51" s="278" t="s">
        <v>97</v>
      </c>
      <c r="D51" s="278" t="s">
        <v>72</v>
      </c>
      <c r="E51" s="744"/>
      <c r="F51" s="744"/>
      <c r="G51" s="747"/>
      <c r="H51" s="732" t="s">
        <v>183</v>
      </c>
      <c r="I51" s="741" t="s">
        <v>72</v>
      </c>
      <c r="J51" s="737" t="s">
        <v>101</v>
      </c>
      <c r="K51" s="727">
        <f>IFERROR(VLOOKUP($D51,$Y$9:$AC$10,2,FALSE)/IF($D51="Inhalation",IF($J51="Central Tendency",SUMIFS('Inhalation Exposure'!$K$6:$K$32,'Inhalation Exposure'!$B$6:$B$32,$B51,'Inhalation Exposure'!$D$6:$D$32,$C51),SUMIFS('Inhalation Exposure'!$J$6:$J$32,'Inhalation Exposure'!$B$6:$B$32,$B51,'Inhalation Exposure'!$D$6:$D$32,$C51)),IF($J51="Central Tendency",VLOOKUP($B51,'Dermal Crosswalk'!$A$6:$V$39,19,FALSE),VLOOKUP($B51,'Dermal Crosswalk'!$A$6:$V$39,14,FALSE))),"--")</f>
        <v>708.50022251891414</v>
      </c>
      <c r="L51" s="727">
        <f>IFERROR(VLOOKUP($D51,$Y$9:$AC$10,3,FALSE)/IF($D51="Inhalation",IF($J51="Central Tendency",SUMIFS('Inhalation Exposure'!$M$6:$M$32,'Inhalation Exposure'!$B$6:$B$32,$B51,'Inhalation Exposure'!$D$6:$D$32,$C51),SUMIFS('Inhalation Exposure'!$L$6:$L$32,'Inhalation Exposure'!$B$6:$B$32,$B51,'Inhalation Exposure'!$D$6:$D$32,$C51)),IF($J51="Central Tendency",VLOOKUP($B51,'Dermal Crosswalk'!$A$6:$V$39,20,FALSE),VLOOKUP($B51,'Dermal Crosswalk'!$A$6:$V$39,15,FALSE))),"--")</f>
        <v>441.8011894647409</v>
      </c>
      <c r="M51" s="727">
        <f>IFERROR(VLOOKUP($D51,$Y$9:$AC$10,4,FALSE)/IF($D51="Inhalation",IF($J51="Central Tendency",SUMIFS('Inhalation Exposure'!$O$6:$O$32,'Inhalation Exposure'!$B$6:$B$32,$B51,'Inhalation Exposure'!$D$6:$D$32,$C51),SUMIFS('Inhalation Exposure'!$N$6:$N$32,'Inhalation Exposure'!$B$6:$B$32,$B51,'Inhalation Exposure'!$D$6:$D$32,$C51)),IF($J51="Central Tendency",VLOOKUP($B51,'Dermal Crosswalk'!$A$6:$V$39,21,FALSE),VLOOKUP($B51,'Dermal Crosswalk'!$A$6:$V$39,16,FALSE))),"--")</f>
        <v>4548.2866043613712</v>
      </c>
      <c r="N51" s="729" t="str">
        <f>IFERROR(VLOOKUP(D51,$Y$9:$AC$10,5,FALSE)*IF($D51="Inhalation",IF($J51="Central Tendency",SUMIFS('Inhalation Exposure'!$Q$6:$Q$32,'Inhalation Exposure'!$B$6:$B$32,$B51,'Inhalation Exposure'!$D$6:$D$32,$C51),SUMIFS('Inhalation Exposure'!$P$6:$P$32,'Inhalation Exposure'!$B$6:$B$32,$B51,'Inhalation Exposure'!$D$6:$D$32,$C51)),IF($J51="Central Tendency",VLOOKUP($B51,'Dermal Crosswalk'!$A$6:$V$39,22,FALSE),VLOOKUP($B51,'Dermal Crosswalk'!$A$6:$V$39,17,FALSE))),"--")</f>
        <v>--</v>
      </c>
      <c r="O51" s="279">
        <f>IFERROR(K51*T51, "--")</f>
        <v>3542.5011125945707</v>
      </c>
      <c r="P51" s="279">
        <f>IFERROR(L51*U51, "--")</f>
        <v>2209.0059473237043</v>
      </c>
      <c r="Q51" s="279">
        <f>IFERROR(M51*V51, "--")</f>
        <v>22741.433021806857</v>
      </c>
      <c r="R51" s="298" t="str">
        <f>IFERROR(N51/W51, "--")</f>
        <v>--</v>
      </c>
      <c r="T51" s="287">
        <v>5</v>
      </c>
      <c r="U51" s="288">
        <v>5</v>
      </c>
      <c r="V51" s="288">
        <v>5</v>
      </c>
      <c r="W51" s="289">
        <v>5</v>
      </c>
    </row>
    <row r="52" spans="2:29" ht="15.75" thickBot="1" x14ac:dyDescent="0.3">
      <c r="B52" s="277" t="s">
        <v>188</v>
      </c>
      <c r="C52" s="278" t="s">
        <v>97</v>
      </c>
      <c r="D52" s="278" t="s">
        <v>72</v>
      </c>
      <c r="E52" s="744"/>
      <c r="F52" s="744"/>
      <c r="G52" s="747"/>
      <c r="H52" s="732"/>
      <c r="I52" s="740"/>
      <c r="J52" s="738"/>
      <c r="K52" s="728"/>
      <c r="L52" s="728"/>
      <c r="M52" s="728"/>
      <c r="N52" s="730"/>
      <c r="O52" s="279" t="str">
        <f>CONCATENATE("(PF ",T51,")")</f>
        <v>(PF 5)</v>
      </c>
      <c r="P52" s="279" t="str">
        <f>CONCATENATE("(PF ",U51,")")</f>
        <v>(PF 5)</v>
      </c>
      <c r="Q52" s="279" t="str">
        <f>CONCATENATE("(PF ",V51,")")</f>
        <v>(PF 5)</v>
      </c>
      <c r="R52" s="298" t="str">
        <f>CONCATENATE("(PF ",W51,")")</f>
        <v>(PF 5)</v>
      </c>
      <c r="T52" s="295" t="s">
        <v>184</v>
      </c>
      <c r="U52" s="296" t="s">
        <v>184</v>
      </c>
      <c r="V52" s="296" t="s">
        <v>184</v>
      </c>
      <c r="W52" s="297" t="s">
        <v>184</v>
      </c>
    </row>
    <row r="53" spans="2:29" ht="15.75" thickBot="1" x14ac:dyDescent="0.3">
      <c r="B53" s="277" t="s">
        <v>188</v>
      </c>
      <c r="C53" s="278" t="s">
        <v>97</v>
      </c>
      <c r="D53" s="278" t="s">
        <v>72</v>
      </c>
      <c r="E53" s="744"/>
      <c r="F53" s="744"/>
      <c r="G53" s="747"/>
      <c r="H53" s="732"/>
      <c r="I53" s="732"/>
      <c r="J53" s="739" t="s">
        <v>174</v>
      </c>
      <c r="K53" s="727">
        <f>IFERROR(VLOOKUP($D53,$Y$9:$AC$10,2,FALSE)/IF($D53="Inhalation",IF($J53="Central Tendency",SUMIFS('Inhalation Exposure'!$K$6:$K$32,'Inhalation Exposure'!$B$6:$B$32,$B53,'Inhalation Exposure'!$D$6:$D$32,$C53),SUMIFS('Inhalation Exposure'!$J$6:$J$32,'Inhalation Exposure'!$B$6:$B$32,$B53,'Inhalation Exposure'!$D$6:$D$32,$C53)),IF($J53="Central Tendency",VLOOKUP($B53,'Dermal Crosswalk'!$A$6:$V$39,19,FALSE),VLOOKUP($B53,'Dermal Crosswalk'!$A$6:$V$39,14,FALSE))),"--")</f>
        <v>236.16674083963801</v>
      </c>
      <c r="L53" s="727">
        <f>IFERROR(VLOOKUP($D53,$Y$9:$AC$10,3,FALSE)/IF($D53="Inhalation",IF($J53="Central Tendency",SUMIFS('Inhalation Exposure'!$M$6:$M$32,'Inhalation Exposure'!$B$6:$B$32,$B53,'Inhalation Exposure'!$D$6:$D$32,$C53),SUMIFS('Inhalation Exposure'!$L$6:$L$32,'Inhalation Exposure'!$B$6:$B$32,$B53,'Inhalation Exposure'!$D$6:$D$32,$C53)),IF($J53="Central Tendency",VLOOKUP($B53,'Dermal Crosswalk'!$A$6:$V$39,20,FALSE),VLOOKUP($B53,'Dermal Crosswalk'!$A$6:$V$39,15,FALSE))),"--")</f>
        <v>147.26706315491359</v>
      </c>
      <c r="M53" s="727">
        <f>IFERROR(VLOOKUP($D53,$Y$9:$AC$10,4,FALSE)/IF($D53="Inhalation",IF($J53="Central Tendency",SUMIFS('Inhalation Exposure'!$O$6:$O$32,'Inhalation Exposure'!$B$6:$B$32,$B53,'Inhalation Exposure'!$D$6:$D$32,$C53),SUMIFS('Inhalation Exposure'!$N$6:$N$32,'Inhalation Exposure'!$B$6:$B$32,$B53,'Inhalation Exposure'!$D$6:$D$32,$C53)),IF($J53="Central Tendency",VLOOKUP($B53,'Dermal Crosswalk'!$A$6:$V$39,21,FALSE),VLOOKUP($B53,'Dermal Crosswalk'!$A$6:$V$39,16,FALSE))),"--")</f>
        <v>307.95690550363446</v>
      </c>
      <c r="N53" s="729" t="str">
        <f>IFERROR(VLOOKUP(D53,$Y$9:$AC$10,5,FALSE)*IF($D53="Inhalation",IF($J53="Central Tendency",SUMIFS('Inhalation Exposure'!$Q$6:$Q$32,'Inhalation Exposure'!$B$6:$B$32,$B53,'Inhalation Exposure'!$D$6:$D$32,$C53),SUMIFS('Inhalation Exposure'!$P$6:$P$32,'Inhalation Exposure'!$B$6:$B$32,$B53,'Inhalation Exposure'!$D$6:$D$32,$C53)),IF($J53="Central Tendency",VLOOKUP($B53,'Dermal Crosswalk'!$A$6:$V$39,22,FALSE),VLOOKUP($B53,'Dermal Crosswalk'!$A$6:$V$39,17,FALSE))),"--")</f>
        <v>--</v>
      </c>
      <c r="O53" s="647">
        <f>IFERROR(K53*T53, "--")</f>
        <v>1180.8337041981899</v>
      </c>
      <c r="P53" s="647">
        <f>IFERROR(L53*U53, "--")</f>
        <v>736.3353157745679</v>
      </c>
      <c r="Q53" s="647">
        <f>IFERROR(M53*V53, "--")</f>
        <v>1539.7845275181724</v>
      </c>
      <c r="R53" s="299" t="str">
        <f>IFERROR(N53/W53, "--")</f>
        <v>--</v>
      </c>
      <c r="T53" s="287">
        <v>5</v>
      </c>
      <c r="U53" s="288">
        <v>5</v>
      </c>
      <c r="V53" s="288">
        <v>5</v>
      </c>
      <c r="W53" s="289">
        <v>5</v>
      </c>
    </row>
    <row r="54" spans="2:29" ht="15.75" thickBot="1" x14ac:dyDescent="0.3">
      <c r="B54" s="277" t="s">
        <v>188</v>
      </c>
      <c r="C54" s="278" t="s">
        <v>97</v>
      </c>
      <c r="D54" s="278" t="s">
        <v>72</v>
      </c>
      <c r="E54" s="744"/>
      <c r="F54" s="744"/>
      <c r="G54" s="747"/>
      <c r="H54" s="733"/>
      <c r="I54" s="733"/>
      <c r="J54" s="736"/>
      <c r="K54" s="728"/>
      <c r="L54" s="728"/>
      <c r="M54" s="728"/>
      <c r="N54" s="730"/>
      <c r="O54" s="649" t="str">
        <f>CONCATENATE("(PF ",T53,")")</f>
        <v>(PF 5)</v>
      </c>
      <c r="P54" s="649" t="str">
        <f>CONCATENATE("(PF ",U53,")")</f>
        <v>(PF 5)</v>
      </c>
      <c r="Q54" s="649" t="str">
        <f>CONCATENATE("(PF ",V53,")")</f>
        <v>(PF 5)</v>
      </c>
      <c r="R54" s="294" t="str">
        <f>CONCATENATE("(PF ",W53,")")</f>
        <v>(PF 5)</v>
      </c>
      <c r="T54" s="295" t="s">
        <v>184</v>
      </c>
      <c r="U54" s="296" t="s">
        <v>184</v>
      </c>
      <c r="V54" s="296" t="s">
        <v>184</v>
      </c>
      <c r="W54" s="297" t="s">
        <v>184</v>
      </c>
    </row>
    <row r="55" spans="2:29" ht="16.5" thickTop="1" thickBot="1" x14ac:dyDescent="0.3">
      <c r="B55" s="277" t="s">
        <v>197</v>
      </c>
      <c r="C55" s="278" t="s">
        <v>97</v>
      </c>
      <c r="D55" s="278" t="s">
        <v>72</v>
      </c>
      <c r="E55" s="744"/>
      <c r="F55" s="744"/>
      <c r="G55" s="747"/>
      <c r="H55" s="732" t="s">
        <v>186</v>
      </c>
      <c r="I55" s="737" t="s">
        <v>72</v>
      </c>
      <c r="J55" s="742" t="s">
        <v>101</v>
      </c>
      <c r="K55" s="727">
        <f>IFERROR(VLOOKUP($D55,$Y$9:$AC$10,2,FALSE)/IF($D55="Inhalation",IF($J55="Central Tendency",SUMIFS('Inhalation Exposure'!$K$6:$K$32,'Inhalation Exposure'!$B$6:$B$32,$B55,'Inhalation Exposure'!$D$6:$D$32,$C55),SUMIFS('Inhalation Exposure'!$J$6:$J$32,'Inhalation Exposure'!$B$6:$B$32,$B55,'Inhalation Exposure'!$D$6:$D$32,$C55)),IF($J55="Central Tendency",VLOOKUP($B55,'Dermal Crosswalk'!$A$6:$V$39,19,FALSE),VLOOKUP($B55,'Dermal Crosswalk'!$A$6:$V$39,14,FALSE))),"--")</f>
        <v>490.91318532180293</v>
      </c>
      <c r="L55" s="727">
        <f>IFERROR(VLOOKUP($D55,$Y$9:$AC$10,3,FALSE)/IF($D55="Inhalation",IF($J55="Central Tendency",SUMIFS('Inhalation Exposure'!$M$6:$M$32,'Inhalation Exposure'!$B$6:$B$32,$B55,'Inhalation Exposure'!$D$6:$D$32,$C55),SUMIFS('Inhalation Exposure'!$L$6:$L$32,'Inhalation Exposure'!$B$6:$B$32,$B55,'Inhalation Exposure'!$D$6:$D$32,$C55)),IF($J55="Central Tendency",VLOOKUP($B55,'Dermal Crosswalk'!$A$6:$V$39,20,FALSE),VLOOKUP($B55,'Dermal Crosswalk'!$A$6:$V$39,15,FALSE))),"--")</f>
        <v>306.11991684068573</v>
      </c>
      <c r="M55" s="727">
        <f>IFERROR(VLOOKUP($D55,$Y$9:$AC$10,4,FALSE)/IF($D55="Inhalation",IF($J55="Central Tendency",SUMIFS('Inhalation Exposure'!$O$6:$O$32,'Inhalation Exposure'!$B$6:$B$32,$B55,'Inhalation Exposure'!$D$6:$D$32,$C55),SUMIFS('Inhalation Exposure'!$N$6:$N$32,'Inhalation Exposure'!$B$6:$B$32,$B55,'Inhalation Exposure'!$D$6:$D$32,$C55)),IF($J55="Central Tendency",VLOOKUP($B55,'Dermal Crosswalk'!$A$6:$V$39,21,FALSE),VLOOKUP($B55,'Dermal Crosswalk'!$A$6:$V$39,16,FALSE))),"--")</f>
        <v>1140.3651808619777</v>
      </c>
      <c r="N55" s="729" t="str">
        <f>IFERROR(VLOOKUP(D55,$Y$9:$AC$10,5,FALSE)*IF($D55="Inhalation",IF($J55="Central Tendency",SUMIFS('Inhalation Exposure'!$Q$6:$Q$32,'Inhalation Exposure'!$B$6:$B$32,$B55,'Inhalation Exposure'!$D$6:$D$32,$C55),SUMIFS('Inhalation Exposure'!$P$6:$P$32,'Inhalation Exposure'!$B$6:$B$32,$B55,'Inhalation Exposure'!$D$6:$D$32,$C55)),IF($J55="Central Tendency",VLOOKUP($B55,'Dermal Crosswalk'!$A$6:$V$39,22,FALSE),VLOOKUP($B55,'Dermal Crosswalk'!$A$6:$V$39,17,FALSE))),"--")</f>
        <v>--</v>
      </c>
      <c r="O55" s="650"/>
      <c r="P55" s="650"/>
      <c r="Q55" s="650"/>
      <c r="R55" s="488"/>
      <c r="T55" s="287"/>
      <c r="U55" s="288"/>
      <c r="V55" s="288"/>
      <c r="W55" s="289"/>
    </row>
    <row r="56" spans="2:29" ht="15.75" thickBot="1" x14ac:dyDescent="0.3">
      <c r="B56" s="277" t="s">
        <v>197</v>
      </c>
      <c r="C56" s="278" t="s">
        <v>97</v>
      </c>
      <c r="D56" s="278" t="s">
        <v>72</v>
      </c>
      <c r="E56" s="744"/>
      <c r="F56" s="744"/>
      <c r="G56" s="747"/>
      <c r="H56" s="732"/>
      <c r="I56" s="732"/>
      <c r="J56" s="739"/>
      <c r="K56" s="728"/>
      <c r="L56" s="728"/>
      <c r="M56" s="728"/>
      <c r="N56" s="730"/>
      <c r="O56" s="650"/>
      <c r="P56" s="650"/>
      <c r="Q56" s="650"/>
      <c r="R56" s="488"/>
      <c r="T56" s="287"/>
      <c r="U56" s="288"/>
      <c r="V56" s="288"/>
      <c r="W56" s="289"/>
    </row>
    <row r="57" spans="2:29" ht="15.75" thickBot="1" x14ac:dyDescent="0.3">
      <c r="B57" s="277" t="s">
        <v>197</v>
      </c>
      <c r="C57" s="278" t="s">
        <v>97</v>
      </c>
      <c r="D57" s="278" t="s">
        <v>72</v>
      </c>
      <c r="E57" s="744"/>
      <c r="F57" s="744"/>
      <c r="G57" s="747"/>
      <c r="H57" s="732"/>
      <c r="I57" s="732"/>
      <c r="J57" s="739" t="s">
        <v>174</v>
      </c>
      <c r="K57" s="727">
        <f>IFERROR(VLOOKUP($D57,$Y$9:$AC$10,2,FALSE)/IF($D57="Inhalation",IF($J57="Central Tendency",SUMIFS('Inhalation Exposure'!$K$6:$K$32,'Inhalation Exposure'!$B$6:$B$32,$B57,'Inhalation Exposure'!$D$6:$D$32,$C57),SUMIFS('Inhalation Exposure'!$J$6:$J$32,'Inhalation Exposure'!$B$6:$B$32,$B57,'Inhalation Exposure'!$D$6:$D$32,$C57)),IF($J57="Central Tendency",VLOOKUP($B57,'Dermal Crosswalk'!$A$6:$V$39,19,FALSE),VLOOKUP($B57,'Dermal Crosswalk'!$A$6:$V$39,14,FALSE))),"--")</f>
        <v>287.23808402409537</v>
      </c>
      <c r="L57" s="727">
        <f>IFERROR(VLOOKUP($D57,$Y$9:$AC$10,3,FALSE)/IF($D57="Inhalation",IF($J57="Central Tendency",SUMIFS('Inhalation Exposure'!$M$6:$M$32,'Inhalation Exposure'!$B$6:$B$32,$B57,'Inhalation Exposure'!$D$6:$D$32,$C57),SUMIFS('Inhalation Exposure'!$L$6:$L$32,'Inhalation Exposure'!$B$6:$B$32,$B57,'Inhalation Exposure'!$D$6:$D$32,$C57)),IF($J57="Central Tendency",VLOOKUP($B57,'Dermal Crosswalk'!$A$6:$V$39,20,FALSE),VLOOKUP($B57,'Dermal Crosswalk'!$A$6:$V$39,15,FALSE))),"--")</f>
        <v>179.11374357829612</v>
      </c>
      <c r="M57" s="727">
        <f>IFERROR(VLOOKUP($D57,$Y$9:$AC$10,4,FALSE)/IF($D57="Inhalation",IF($J57="Central Tendency",SUMIFS('Inhalation Exposure'!$O$6:$O$32,'Inhalation Exposure'!$B$6:$B$32,$B57,'Inhalation Exposure'!$D$6:$D$32,$C57),SUMIFS('Inhalation Exposure'!$N$6:$N$32,'Inhalation Exposure'!$B$6:$B$32,$B57,'Inhalation Exposure'!$D$6:$D$32,$C57)),IF($J57="Central Tendency",VLOOKUP($B57,'Dermal Crosswalk'!$A$6:$V$39,21,FALSE),VLOOKUP($B57,'Dermal Crosswalk'!$A$6:$V$39,16,FALSE))),"--")</f>
        <v>494.44988211822505</v>
      </c>
      <c r="N57" s="729" t="str">
        <f>IFERROR(VLOOKUP(D57,$Y$9:$AC$10,5,FALSE)*IF($D57="Inhalation",IF($J57="Central Tendency",SUMIFS('Inhalation Exposure'!$Q$6:$Q$32,'Inhalation Exposure'!$B$6:$B$32,$B57,'Inhalation Exposure'!$D$6:$D$32,$C57),SUMIFS('Inhalation Exposure'!$P$6:$P$32,'Inhalation Exposure'!$B$6:$B$32,$B57,'Inhalation Exposure'!$D$6:$D$32,$C57)),IF($J57="Central Tendency",VLOOKUP($B57,'Dermal Crosswalk'!$A$6:$V$39,22,FALSE),VLOOKUP($B57,'Dermal Crosswalk'!$A$6:$V$39,17,FALSE))),"--")</f>
        <v>--</v>
      </c>
      <c r="O57" s="650"/>
      <c r="P57" s="650"/>
      <c r="Q57" s="650"/>
      <c r="R57" s="488"/>
      <c r="T57" s="287"/>
      <c r="U57" s="288"/>
      <c r="V57" s="288"/>
      <c r="W57" s="289"/>
    </row>
    <row r="58" spans="2:29" ht="15.75" thickBot="1" x14ac:dyDescent="0.3">
      <c r="B58" s="277" t="s">
        <v>197</v>
      </c>
      <c r="C58" s="278" t="s">
        <v>97</v>
      </c>
      <c r="D58" s="278" t="s">
        <v>72</v>
      </c>
      <c r="E58" s="744"/>
      <c r="F58" s="744"/>
      <c r="G58" s="747"/>
      <c r="H58" s="733"/>
      <c r="I58" s="733"/>
      <c r="J58" s="736"/>
      <c r="K58" s="728"/>
      <c r="L58" s="728"/>
      <c r="M58" s="728"/>
      <c r="N58" s="730"/>
      <c r="O58" s="650"/>
      <c r="P58" s="650"/>
      <c r="Q58" s="650"/>
      <c r="R58" s="488"/>
      <c r="T58" s="287"/>
      <c r="U58" s="288"/>
      <c r="V58" s="288"/>
      <c r="W58" s="289"/>
    </row>
    <row r="59" spans="2:29" ht="27" thickTop="1" thickBot="1" x14ac:dyDescent="0.3">
      <c r="B59" s="277" t="s">
        <v>188</v>
      </c>
      <c r="C59" s="278" t="s">
        <v>100</v>
      </c>
      <c r="D59" s="278" t="s">
        <v>167</v>
      </c>
      <c r="E59" s="744"/>
      <c r="F59" s="744"/>
      <c r="G59" s="747"/>
      <c r="H59" s="737" t="s">
        <v>100</v>
      </c>
      <c r="I59" s="737" t="s">
        <v>143</v>
      </c>
      <c r="J59" s="306" t="s">
        <v>101</v>
      </c>
      <c r="K59" s="648">
        <f>IFERROR(VLOOKUP($D59,$Y$9:$AC$10,2,FALSE)/IF($D59="Inhalation",IF($J59="Central Tendency",SUMIFS('Inhalation Exposure'!$K$6:$K$32,'Inhalation Exposure'!$B$6:$B$32,$B59,'Inhalation Exposure'!$D$6:$D$32,$C59),SUMIFS('Inhalation Exposure'!$J$6:$J$32,'Inhalation Exposure'!$B$6:$B$32,$B59,'Inhalation Exposure'!$D$6:$D$32,$C59)),IF($J59="Central Tendency",VLOOKUP($B59,'Dermal Crosswalk'!$A$8:$V$21,17,FALSE),VLOOKUP($B59,'Dermal Crosswalk'!$A$8:$V$21,12,FALSE))),"--")</f>
        <v>4.2472707946584096</v>
      </c>
      <c r="L59" s="300">
        <f>IFERROR(VLOOKUP($D59,$Y$9:$AC$10,3,FALSE)/IF($D59="Inhalation",IF($J59="Central Tendency",SUMIFS('Inhalation Exposure'!$M$6:$M$32,'Inhalation Exposure'!$B$6:$B$32,$B59,'Inhalation Exposure'!$D$6:$D$32,$C59),SUMIFS('Inhalation Exposure'!$L$6:$L$32,'Inhalation Exposure'!$B$6:$B$32,$B59,'Inhalation Exposure'!$D$6:$D$32,$C59)),IF($J59="Central Tendency",VLOOKUP($B59,'Dermal Crosswalk'!$A$8:$V$21,18,FALSE),VLOOKUP($B59,'Dermal Crosswalk'!$A$8:$V$21,13,FALSE))),"--")</f>
        <v>12.56588992502488</v>
      </c>
      <c r="M59" s="647">
        <f>IFERROR(VLOOKUP($D59,$Y$9:$AC$10,4,FALSE)/IF($D59="Inhalation",IF($J59="Central Tendency",SUMIFS('Inhalation Exposure'!$O$6:$O$32,'Inhalation Exposure'!$B$6:$B$32,$B59,'Inhalation Exposure'!$D$6:$D$32,$C59),SUMIFS('Inhalation Exposure'!$N$6:$N$32,'Inhalation Exposure'!$B$6:$B$32,$B59,'Inhalation Exposure'!$D$6:$D$32,$C59)),IF($J59="Central Tendency",VLOOKUP($B59,'Dermal Crosswalk'!$A$8:$V$21,19,FALSE),VLOOKUP($B59,'Dermal Crosswalk'!$A$8:$V$21,14,FALSE))),"--")</f>
        <v>129.36422576660229</v>
      </c>
      <c r="N59" s="301">
        <f>IFERROR(VLOOKUP(D59,$Y$9:$AC$10,5,FALSE)*IF($D59="Inhalation",IF($J59="Central Tendency",SUMIFS('Inhalation Exposure'!$Q$6:$Q$32,'Inhalation Exposure'!$B$6:$B$32,$B59,'Inhalation Exposure'!$D$6:$D$32,$C59),SUMIFS('Inhalation Exposure'!$P$6:$P$32,'Inhalation Exposure'!$B$6:$B$32,$B59,'Inhalation Exposure'!$D$6:$D$32,$C59)),IF($J59="Central Tendency",VLOOKUP($B59,'Dermal Crosswalk'!$A$8:$V$21,20,FALSE),VLOOKUP($B59,'Dermal Crosswalk'!$A$8:$V$21,15,FALSE))),"--")</f>
        <v>6.420948455561898E-4</v>
      </c>
      <c r="O59" s="648" t="s">
        <v>187</v>
      </c>
      <c r="P59" s="648" t="s">
        <v>187</v>
      </c>
      <c r="Q59" s="648" t="s">
        <v>187</v>
      </c>
      <c r="R59" s="648" t="s">
        <v>187</v>
      </c>
      <c r="T59" s="287" t="s">
        <v>187</v>
      </c>
      <c r="U59" s="288" t="s">
        <v>187</v>
      </c>
      <c r="V59" s="288" t="s">
        <v>187</v>
      </c>
      <c r="W59" s="289" t="s">
        <v>187</v>
      </c>
    </row>
    <row r="60" spans="2:29" ht="15.75" thickBot="1" x14ac:dyDescent="0.3">
      <c r="B60" s="277" t="s">
        <v>188</v>
      </c>
      <c r="C60" s="278" t="s">
        <v>100</v>
      </c>
      <c r="D60" s="278" t="s">
        <v>167</v>
      </c>
      <c r="E60" s="744"/>
      <c r="F60" s="745"/>
      <c r="G60" s="748"/>
      <c r="H60" s="732"/>
      <c r="I60" s="738"/>
      <c r="J60" s="648" t="s">
        <v>174</v>
      </c>
      <c r="K60" s="648">
        <f>IFERROR(VLOOKUP($D60,$Y$9:$AC$10,2,FALSE)/IF($D60="Inhalation",IF($J60="Central Tendency",SUMIFS('Inhalation Exposure'!$K$6:$K$32,'Inhalation Exposure'!$B$6:$B$32,$B60,'Inhalation Exposure'!$D$6:$D$32,$C60),SUMIFS('Inhalation Exposure'!$J$6:$J$32,'Inhalation Exposure'!$B$6:$B$32,$B60,'Inhalation Exposure'!$D$6:$D$32,$C60)),IF($J60="Central Tendency",VLOOKUP($B60,'Dermal Crosswalk'!$A$8:$V$21,17,FALSE),VLOOKUP($B60,'Dermal Crosswalk'!$A$8:$V$21,12,FALSE))),"--")</f>
        <v>4.2472707946584096</v>
      </c>
      <c r="L60" s="300">
        <f>IFERROR(VLOOKUP($D60,$Y$9:$AC$10,3,FALSE)/IF($D60="Inhalation",IF($J60="Central Tendency",SUMIFS('Inhalation Exposure'!$M$6:$M$32,'Inhalation Exposure'!$B$6:$B$32,$B60,'Inhalation Exposure'!$D$6:$D$32,$C60),SUMIFS('Inhalation Exposure'!$L$6:$L$32,'Inhalation Exposure'!$B$6:$B$32,$B60,'Inhalation Exposure'!$D$6:$D$32,$C60)),IF($J60="Central Tendency",VLOOKUP($B60,'Dermal Crosswalk'!$A$8:$V$21,18,FALSE),VLOOKUP($B60,'Dermal Crosswalk'!$A$8:$V$21,13,FALSE))),"--")</f>
        <v>12.56588992502488</v>
      </c>
      <c r="M60" s="647">
        <f>IFERROR(VLOOKUP($D60,$Y$9:$AC$10,4,FALSE)/IF($D60="Inhalation",IF($J60="Central Tendency",SUMIFS('Inhalation Exposure'!$O$6:$O$32,'Inhalation Exposure'!$B$6:$B$32,$B60,'Inhalation Exposure'!$D$6:$D$32,$C60),SUMIFS('Inhalation Exposure'!$N$6:$N$32,'Inhalation Exposure'!$B$6:$B$32,$B60,'Inhalation Exposure'!$D$6:$D$32,$C60)),IF($J60="Central Tendency",VLOOKUP($B60,'Dermal Crosswalk'!$A$8:$V$21,19,FALSE),VLOOKUP($B60,'Dermal Crosswalk'!$A$8:$V$21,14,FALSE))),"--")</f>
        <v>26.27710835884109</v>
      </c>
      <c r="N60" s="301">
        <f>IFERROR(VLOOKUP(D60,$Y$9:$AC$10,5,FALSE)*IF($D60="Inhalation",IF($J60="Central Tendency",SUMIFS('Inhalation Exposure'!$Q$6:$Q$32,'Inhalation Exposure'!$B$6:$B$32,$B60,'Inhalation Exposure'!$D$6:$D$32,$C60),SUMIFS('Inhalation Exposure'!$P$6:$P$32,'Inhalation Exposure'!$B$6:$B$32,$B60,'Inhalation Exposure'!$D$6:$D$32,$C60)),IF($J60="Central Tendency",VLOOKUP($B60,'Dermal Crosswalk'!$A$8:$V$21,20,FALSE),VLOOKUP($B60,'Dermal Crosswalk'!$A$8:$V$21,15,FALSE))),"--")</f>
        <v>4.0788158923668631E-3</v>
      </c>
      <c r="O60" s="302" t="s">
        <v>187</v>
      </c>
      <c r="P60" s="302" t="s">
        <v>187</v>
      </c>
      <c r="Q60" s="302" t="s">
        <v>187</v>
      </c>
      <c r="R60" s="302" t="s">
        <v>187</v>
      </c>
      <c r="T60" s="303" t="s">
        <v>187</v>
      </c>
      <c r="U60" s="304" t="s">
        <v>187</v>
      </c>
      <c r="V60" s="304" t="s">
        <v>187</v>
      </c>
      <c r="W60" s="305" t="s">
        <v>187</v>
      </c>
    </row>
    <row r="61" spans="2:29" ht="15.75" thickBot="1" x14ac:dyDescent="0.3">
      <c r="B61" s="277" t="s">
        <v>198</v>
      </c>
      <c r="C61" s="278" t="s">
        <v>97</v>
      </c>
      <c r="D61" s="278" t="s">
        <v>167</v>
      </c>
      <c r="E61" s="743" t="s">
        <v>199</v>
      </c>
      <c r="F61" s="743" t="s">
        <v>200</v>
      </c>
      <c r="G61" s="746" t="s">
        <v>201</v>
      </c>
      <c r="H61" s="731" t="s">
        <v>171</v>
      </c>
      <c r="I61" s="731" t="s">
        <v>143</v>
      </c>
      <c r="J61" s="734" t="s">
        <v>101</v>
      </c>
      <c r="K61" s="727">
        <f>IFERROR(VLOOKUP($D61,$Y$9:$AC$10,2,FALSE)/IF($D61="Inhalation",IF($J61="Central Tendency",SUMIFS('Inhalation Exposure'!$K$6:$K$32,'Inhalation Exposure'!$B$6:$B$32,$B61,'Inhalation Exposure'!$D$6:$D$32,$C61),SUMIFS('Inhalation Exposure'!$J$6:$J$32,'Inhalation Exposure'!$B$6:$B$32,$B61,'Inhalation Exposure'!$D$6:$D$32,$C61)),IF($J61="Central Tendency",VLOOKUP($B61,'Dermal Crosswalk'!$A$6:$V$39,19,FALSE),VLOOKUP($B61,'Dermal Crosswalk'!$A$6:$V$39,14,FALSE))),"--")</f>
        <v>1910.5407354001443</v>
      </c>
      <c r="L61" s="727">
        <f>IFERROR(VLOOKUP($D61,$Y$9:$AC$10,3,FALSE)/IF($D61="Inhalation",IF($J61="Central Tendency",SUMIFS('Inhalation Exposure'!$M$6:$M$32,'Inhalation Exposure'!$B$6:$B$32,$B61,'Inhalation Exposure'!$D$6:$D$32,$C61),SUMIFS('Inhalation Exposure'!$L$6:$L$32,'Inhalation Exposure'!$B$6:$B$32,$B61,'Inhalation Exposure'!$D$6:$D$32,$C61)),IF($J61="Central Tendency",VLOOKUP($B61,'Dermal Crosswalk'!$A$6:$V$39,20,FALSE),VLOOKUP($B61,'Dermal Crosswalk'!$A$6:$V$39,15,FALSE))),"--")</f>
        <v>5652.4873828406635</v>
      </c>
      <c r="M61" s="727">
        <f>IFERROR(VLOOKUP($D61,$Y$9:$AC$10,4,FALSE)/IF($D61="Inhalation",IF($J61="Central Tendency",SUMIFS('Inhalation Exposure'!$O$6:$O$32,'Inhalation Exposure'!$B$6:$B$32,$B61,'Inhalation Exposure'!$D$6:$D$32,$C61),SUMIFS('Inhalation Exposure'!$N$6:$N$32,'Inhalation Exposure'!$B$6:$B$32,$B61,'Inhalation Exposure'!$D$6:$D$32,$C61)),IF($J61="Central Tendency",VLOOKUP($B61,'Dermal Crosswalk'!$A$6:$V$39,21,FALSE),VLOOKUP($B61,'Dermal Crosswalk'!$A$6:$V$39,16,FALSE))),"--")</f>
        <v>6051.9298245614027</v>
      </c>
      <c r="N61" s="729">
        <f>IFERROR(VLOOKUP(D61,$Y$9:$AC$10,5,FALSE)*IF($D61="Inhalation",IF($J61="Central Tendency",SUMIFS('Inhalation Exposure'!$Q$6:$Q$32,'Inhalation Exposure'!$B$6:$B$32,$B61,'Inhalation Exposure'!$D$6:$D$32,$C61),SUMIFS('Inhalation Exposure'!$P$6:$P$32,'Inhalation Exposure'!$B$6:$B$32,$B61,'Inhalation Exposure'!$D$6:$D$32,$C61)),IF($J61="Central Tendency",VLOOKUP($B61,'Dermal Crosswalk'!$A$6:$V$39,22,FALSE),VLOOKUP($B61,'Dermal Crosswalk'!$A$6:$V$39,17,FALSE))),"--")</f>
        <v>1.3725225667189953E-5</v>
      </c>
      <c r="O61" s="279">
        <f>IFERROR(K61*T61, "--")</f>
        <v>19105.407354001443</v>
      </c>
      <c r="P61" s="279">
        <f>IFERROR(L61*U61, "--")</f>
        <v>56524.873828406635</v>
      </c>
      <c r="Q61" s="279">
        <f>IFERROR(M61*V61, "--")</f>
        <v>60519.298245614031</v>
      </c>
      <c r="R61" s="280">
        <f>IFERROR(N61/W61, "--")</f>
        <v>1.3725225667189953E-6</v>
      </c>
      <c r="T61" s="281">
        <v>10</v>
      </c>
      <c r="U61" s="282">
        <v>10</v>
      </c>
      <c r="V61" s="282">
        <v>10</v>
      </c>
      <c r="W61" s="283">
        <v>10</v>
      </c>
    </row>
    <row r="62" spans="2:29" ht="15.75" thickBot="1" x14ac:dyDescent="0.3">
      <c r="B62" s="277" t="s">
        <v>198</v>
      </c>
      <c r="C62" s="278" t="s">
        <v>97</v>
      </c>
      <c r="D62" s="278" t="s">
        <v>167</v>
      </c>
      <c r="E62" s="744"/>
      <c r="F62" s="744"/>
      <c r="G62" s="747"/>
      <c r="H62" s="732"/>
      <c r="I62" s="732"/>
      <c r="J62" s="735"/>
      <c r="K62" s="728"/>
      <c r="L62" s="728"/>
      <c r="M62" s="728"/>
      <c r="N62" s="730"/>
      <c r="O62" s="648" t="str">
        <f>CONCATENATE("(APF ",T61,")")</f>
        <v>(APF 10)</v>
      </c>
      <c r="P62" s="648" t="str">
        <f>CONCATENATE("(APF ",U61,")")</f>
        <v>(APF 10)</v>
      </c>
      <c r="Q62" s="648" t="str">
        <f>CONCATENATE("(APF ",V61,")")</f>
        <v>(APF 10)</v>
      </c>
      <c r="R62" s="648" t="str">
        <f>CONCATENATE("(APF ",W61,")")</f>
        <v>(APF 10)</v>
      </c>
      <c r="T62" s="287" t="s">
        <v>172</v>
      </c>
      <c r="U62" s="288" t="s">
        <v>172</v>
      </c>
      <c r="V62" s="288" t="s">
        <v>172</v>
      </c>
      <c r="W62" s="289" t="s">
        <v>172</v>
      </c>
    </row>
    <row r="63" spans="2:29" ht="15.75" thickBot="1" x14ac:dyDescent="0.3">
      <c r="B63" s="277" t="s">
        <v>198</v>
      </c>
      <c r="C63" s="278" t="s">
        <v>97</v>
      </c>
      <c r="D63" s="278" t="s">
        <v>167</v>
      </c>
      <c r="E63" s="744"/>
      <c r="F63" s="744"/>
      <c r="G63" s="747"/>
      <c r="H63" s="732"/>
      <c r="I63" s="732"/>
      <c r="J63" s="734" t="s">
        <v>174</v>
      </c>
      <c r="K63" s="727">
        <f>IFERROR(VLOOKUP($D63,$Y$9:$AC$10,2,FALSE)/IF($D63="Inhalation",IF($J63="Central Tendency",SUMIFS('Inhalation Exposure'!$K$6:$K$32,'Inhalation Exposure'!$B$6:$B$32,$B63,'Inhalation Exposure'!$D$6:$D$32,$C63),SUMIFS('Inhalation Exposure'!$J$6:$J$32,'Inhalation Exposure'!$B$6:$B$32,$B63,'Inhalation Exposure'!$D$6:$D$32,$C63)),IF($J63="Central Tendency",VLOOKUP($B63,'Dermal Crosswalk'!$A$6:$V$39,19,FALSE),VLOOKUP($B63,'Dermal Crosswalk'!$A$6:$V$39,14,FALSE))),"--")</f>
        <v>20.297029253568752</v>
      </c>
      <c r="L63" s="727">
        <f>IFERROR(VLOOKUP($D63,$Y$9:$AC$10,3,FALSE)/IF($D63="Inhalation",IF($J63="Central Tendency",SUMIFS('Inhalation Exposure'!$M$6:$M$32,'Inhalation Exposure'!$B$6:$B$32,$B63,'Inhalation Exposure'!$D$6:$D$32,$C63),SUMIFS('Inhalation Exposure'!$L$6:$L$32,'Inhalation Exposure'!$B$6:$B$32,$B63,'Inhalation Exposure'!$D$6:$D$32,$C63)),IF($J63="Central Tendency",VLOOKUP($B63,'Dermal Crosswalk'!$A$6:$V$39,20,FALSE),VLOOKUP($B63,'Dermal Crosswalk'!$A$6:$V$39,15,FALSE))),"--")</f>
        <v>60.050382407008136</v>
      </c>
      <c r="M63" s="727">
        <f>IFERROR(VLOOKUP($D63,$Y$9:$AC$10,4,FALSE)/IF($D63="Inhalation",IF($J63="Central Tendency",SUMIFS('Inhalation Exposure'!$O$6:$O$32,'Inhalation Exposure'!$B$6:$B$32,$B63,'Inhalation Exposure'!$D$6:$D$32,$C63),SUMIFS('Inhalation Exposure'!$N$6:$N$32,'Inhalation Exposure'!$B$6:$B$32,$B63,'Inhalation Exposure'!$D$6:$D$32,$C63)),IF($J63="Central Tendency",VLOOKUP($B63,'Dermal Crosswalk'!$A$6:$V$39,21,FALSE),VLOOKUP($B63,'Dermal Crosswalk'!$A$6:$V$39,16,FALSE))),"--")</f>
        <v>64.293942763770062</v>
      </c>
      <c r="N63" s="729">
        <f>IFERROR(VLOOKUP(D63,$Y$9:$AC$10,5,FALSE)*IF($D63="Inhalation",IF($J63="Central Tendency",SUMIFS('Inhalation Exposure'!$Q$6:$Q$32,'Inhalation Exposure'!$B$6:$B$32,$B63,'Inhalation Exposure'!$D$6:$D$32,$C63),SUMIFS('Inhalation Exposure'!$P$6:$P$32,'Inhalation Exposure'!$B$6:$B$32,$B63,'Inhalation Exposure'!$D$6:$D$32,$C63)),IF($J63="Central Tendency",VLOOKUP($B63,'Dermal Crosswalk'!$A$6:$V$39,22,FALSE),VLOOKUP($B63,'Dermal Crosswalk'!$A$6:$V$39,17,FALSE))),"--")</f>
        <v>1.6670230907021516E-3</v>
      </c>
      <c r="O63" s="279">
        <f>IFERROR(K63*T63, "--")</f>
        <v>202.97029253568752</v>
      </c>
      <c r="P63" s="279">
        <f>IFERROR(L63*U63, "--")</f>
        <v>600.50382407008135</v>
      </c>
      <c r="Q63" s="279">
        <f>IFERROR(M63*V63, "--")</f>
        <v>642.93942763770065</v>
      </c>
      <c r="R63" s="280">
        <f>IFERROR(N63/W63, "--")</f>
        <v>3.334046181404303E-5</v>
      </c>
      <c r="T63" s="290">
        <v>10</v>
      </c>
      <c r="U63" s="291">
        <v>10</v>
      </c>
      <c r="V63" s="291">
        <v>10</v>
      </c>
      <c r="W63" s="292">
        <v>50</v>
      </c>
      <c r="AC63" s="293"/>
    </row>
    <row r="64" spans="2:29" ht="15.75" thickBot="1" x14ac:dyDescent="0.3">
      <c r="B64" s="277" t="s">
        <v>198</v>
      </c>
      <c r="C64" s="278" t="s">
        <v>97</v>
      </c>
      <c r="D64" s="278" t="s">
        <v>167</v>
      </c>
      <c r="E64" s="744"/>
      <c r="F64" s="744"/>
      <c r="G64" s="747"/>
      <c r="H64" s="733"/>
      <c r="I64" s="733"/>
      <c r="J64" s="739"/>
      <c r="K64" s="728"/>
      <c r="L64" s="728"/>
      <c r="M64" s="728"/>
      <c r="N64" s="730"/>
      <c r="O64" s="649" t="str">
        <f>CONCATENATE("(APF ",T63,")")</f>
        <v>(APF 10)</v>
      </c>
      <c r="P64" s="649" t="str">
        <f>CONCATENATE("(APF ",U63,")")</f>
        <v>(APF 10)</v>
      </c>
      <c r="Q64" s="649" t="str">
        <f>CONCATENATE("(APF ",V63,")")</f>
        <v>(APF 10)</v>
      </c>
      <c r="R64" s="649" t="str">
        <f>CONCATENATE("(APF ",W63,")")</f>
        <v>(APF 50)</v>
      </c>
      <c r="T64" s="295" t="s">
        <v>172</v>
      </c>
      <c r="U64" s="296" t="s">
        <v>172</v>
      </c>
      <c r="V64" s="296" t="s">
        <v>172</v>
      </c>
      <c r="W64" s="297" t="s">
        <v>172</v>
      </c>
    </row>
    <row r="65" spans="2:23" ht="15" customHeight="1" thickBot="1" x14ac:dyDescent="0.3">
      <c r="B65" s="277" t="s">
        <v>202</v>
      </c>
      <c r="C65" s="278" t="s">
        <v>97</v>
      </c>
      <c r="D65" s="278" t="s">
        <v>167</v>
      </c>
      <c r="E65" s="744"/>
      <c r="F65" s="744"/>
      <c r="G65" s="747"/>
      <c r="H65" s="731" t="s">
        <v>178</v>
      </c>
      <c r="I65" s="731" t="s">
        <v>143</v>
      </c>
      <c r="J65" s="734" t="s">
        <v>101</v>
      </c>
      <c r="K65" s="727">
        <f>IFERROR(VLOOKUP($D65,$Y$9:$AC$10,2,FALSE)/IF($D65="Inhalation",IF($J65="Central Tendency",SUMIFS('Inhalation Exposure'!$K$6:$K$32,'Inhalation Exposure'!$B$6:$B$32,$B65,'Inhalation Exposure'!$D$6:$D$32,$C65),SUMIFS('Inhalation Exposure'!$J$6:$J$32,'Inhalation Exposure'!$B$6:$B$32,$B65,'Inhalation Exposure'!$D$6:$D$32,$C65)),IF($J65="Central Tendency",VLOOKUP($B65,'Dermal Crosswalk'!$A$6:$V$39,19,FALSE),VLOOKUP($B65,'Dermal Crosswalk'!$A$6:$V$39,14,FALSE))),"--")</f>
        <v>187.69108079748165</v>
      </c>
      <c r="L65" s="727">
        <f>IFERROR(VLOOKUP($D65,$Y$9:$AC$10,3,FALSE)/IF($D65="Inhalation",IF($J65="Central Tendency",SUMIFS('Inhalation Exposure'!$M$6:$M$32,'Inhalation Exposure'!$B$6:$B$32,$B65,'Inhalation Exposure'!$D$6:$D$32,$C65),SUMIFS('Inhalation Exposure'!$L$6:$L$32,'Inhalation Exposure'!$B$6:$B$32,$B65,'Inhalation Exposure'!$D$6:$D$32,$C65)),IF($J65="Central Tendency",VLOOKUP($B65,'Dermal Crosswalk'!$A$6:$V$39,20,FALSE),VLOOKUP($B65,'Dermal Crosswalk'!$A$6:$V$39,15,FALSE))),"--")</f>
        <v>555.29905561385101</v>
      </c>
      <c r="M65" s="727">
        <f>IFERROR(VLOOKUP($D65,$Y$9:$AC$10,4,FALSE)/IF($D65="Inhalation",IF($J65="Central Tendency",SUMIFS('Inhalation Exposure'!$O$6:$O$32,'Inhalation Exposure'!$B$6:$B$32,$B65,'Inhalation Exposure'!$D$6:$D$32,$C65),SUMIFS('Inhalation Exposure'!$N$6:$N$32,'Inhalation Exposure'!$B$6:$B$32,$B65,'Inhalation Exposure'!$D$6:$D$32,$C65)),IF($J65="Central Tendency",VLOOKUP($B65,'Dermal Crosswalk'!$A$6:$V$39,21,FALSE),VLOOKUP($B65,'Dermal Crosswalk'!$A$6:$V$39,16,FALSE))),"--")</f>
        <v>594.54018887722987</v>
      </c>
      <c r="N65" s="729">
        <f>IFERROR(VLOOKUP(D65,$Y$9:$AC$10,5,FALSE)*IF($D65="Inhalation",IF($J65="Central Tendency",SUMIFS('Inhalation Exposure'!$Q$6:$Q$32,'Inhalation Exposure'!$B$6:$B$32,$B65,'Inhalation Exposure'!$D$6:$D$32,$C65),SUMIFS('Inhalation Exposure'!$P$6:$P$32,'Inhalation Exposure'!$B$6:$B$32,$B65,'Inhalation Exposure'!$D$6:$D$32,$C65)),IF($J65="Central Tendency",VLOOKUP($B65,'Dermal Crosswalk'!$A$6:$V$39,22,FALSE),VLOOKUP($B65,'Dermal Crosswalk'!$A$6:$V$39,17,FALSE))),"--")</f>
        <v>1.3971150162441748E-4</v>
      </c>
      <c r="O65" s="650"/>
      <c r="P65" s="650"/>
      <c r="Q65" s="650"/>
      <c r="R65" s="650"/>
      <c r="T65" s="287"/>
      <c r="U65" s="288"/>
      <c r="V65" s="288"/>
      <c r="W65" s="289"/>
    </row>
    <row r="66" spans="2:23" ht="15.75" thickBot="1" x14ac:dyDescent="0.3">
      <c r="B66" s="277" t="s">
        <v>202</v>
      </c>
      <c r="C66" s="278" t="s">
        <v>97</v>
      </c>
      <c r="D66" s="278" t="s">
        <v>167</v>
      </c>
      <c r="E66" s="744"/>
      <c r="F66" s="744"/>
      <c r="G66" s="747"/>
      <c r="H66" s="732"/>
      <c r="I66" s="732"/>
      <c r="J66" s="735"/>
      <c r="K66" s="728"/>
      <c r="L66" s="728"/>
      <c r="M66" s="728"/>
      <c r="N66" s="730"/>
      <c r="O66" s="650"/>
      <c r="P66" s="650"/>
      <c r="Q66" s="650"/>
      <c r="R66" s="650"/>
      <c r="T66" s="287"/>
      <c r="U66" s="288"/>
      <c r="V66" s="288"/>
      <c r="W66" s="289"/>
    </row>
    <row r="67" spans="2:23" ht="15.75" thickBot="1" x14ac:dyDescent="0.3">
      <c r="B67" s="277" t="s">
        <v>202</v>
      </c>
      <c r="C67" s="278" t="s">
        <v>97</v>
      </c>
      <c r="D67" s="278" t="s">
        <v>167</v>
      </c>
      <c r="E67" s="744"/>
      <c r="F67" s="744"/>
      <c r="G67" s="747"/>
      <c r="H67" s="732"/>
      <c r="I67" s="732"/>
      <c r="J67" s="734" t="s">
        <v>174</v>
      </c>
      <c r="K67" s="727">
        <f>IFERROR(VLOOKUP($D67,$Y$9:$AC$10,2,FALSE)/IF($D67="Inhalation",IF($J67="Central Tendency",SUMIFS('Inhalation Exposure'!$K$6:$K$32,'Inhalation Exposure'!$B$6:$B$32,$B67,'Inhalation Exposure'!$D$6:$D$32,$C67),SUMIFS('Inhalation Exposure'!$J$6:$J$32,'Inhalation Exposure'!$B$6:$B$32,$B67,'Inhalation Exposure'!$D$6:$D$32,$C67)),IF($J67="Central Tendency",VLOOKUP($B67,'Dermal Crosswalk'!$A$6:$V$39,19,FALSE),VLOOKUP($B67,'Dermal Crosswalk'!$A$6:$V$39,14,FALSE))),"--")</f>
        <v>36.143213281705833</v>
      </c>
      <c r="L67" s="727">
        <f>IFERROR(VLOOKUP($D67,$Y$9:$AC$10,3,FALSE)/IF($D67="Inhalation",IF($J67="Central Tendency",SUMIFS('Inhalation Exposure'!$M$6:$M$32,'Inhalation Exposure'!$B$6:$B$32,$B67,'Inhalation Exposure'!$D$6:$D$32,$C67),SUMIFS('Inhalation Exposure'!$L$6:$L$32,'Inhalation Exposure'!$B$6:$B$32,$B67,'Inhalation Exposure'!$D$6:$D$32,$C67)),IF($J67="Central Tendency",VLOOKUP($B67,'Dermal Crosswalk'!$A$6:$V$39,20,FALSE),VLOOKUP($B67,'Dermal Crosswalk'!$A$6:$V$39,15,FALSE))),"--")</f>
        <v>106.93258367368588</v>
      </c>
      <c r="M67" s="727">
        <f>IFERROR(VLOOKUP($D67,$Y$9:$AC$10,4,FALSE)/IF($D67="Inhalation",IF($J67="Central Tendency",SUMIFS('Inhalation Exposure'!$O$6:$O$32,'Inhalation Exposure'!$B$6:$B$32,$B67,'Inhalation Exposure'!$D$6:$D$32,$C67),SUMIFS('Inhalation Exposure'!$N$6:$N$32,'Inhalation Exposure'!$B$6:$B$32,$B67,'Inhalation Exposure'!$D$6:$D$32,$C67)),IF($J67="Central Tendency",VLOOKUP($B67,'Dermal Crosswalk'!$A$6:$V$39,21,FALSE),VLOOKUP($B67,'Dermal Crosswalk'!$A$6:$V$39,16,FALSE))),"--")</f>
        <v>114.48915291995969</v>
      </c>
      <c r="N67" s="729">
        <f>IFERROR(VLOOKUP(D67,$Y$9:$AC$10,5,FALSE)*IF($D67="Inhalation",IF($J67="Central Tendency",SUMIFS('Inhalation Exposure'!$Q$6:$Q$32,'Inhalation Exposure'!$B$6:$B$32,$B67,'Inhalation Exposure'!$D$6:$D$32,$C67),SUMIFS('Inhalation Exposure'!$P$6:$P$32,'Inhalation Exposure'!$B$6:$B$32,$B67,'Inhalation Exposure'!$D$6:$D$32,$C67)),IF($J67="Central Tendency",VLOOKUP($B67,'Dermal Crosswalk'!$A$6:$V$39,22,FALSE),VLOOKUP($B67,'Dermal Crosswalk'!$A$6:$V$39,17,FALSE))),"--")</f>
        <v>9.3615407613695288E-4</v>
      </c>
      <c r="O67" s="650"/>
      <c r="P67" s="650"/>
      <c r="Q67" s="650"/>
      <c r="R67" s="650"/>
      <c r="T67" s="287"/>
      <c r="U67" s="288"/>
      <c r="V67" s="288"/>
      <c r="W67" s="289"/>
    </row>
    <row r="68" spans="2:23" ht="15.75" thickBot="1" x14ac:dyDescent="0.3">
      <c r="B68" s="277" t="s">
        <v>202</v>
      </c>
      <c r="C68" s="278" t="s">
        <v>97</v>
      </c>
      <c r="D68" s="278" t="s">
        <v>167</v>
      </c>
      <c r="E68" s="744"/>
      <c r="F68" s="744"/>
      <c r="G68" s="747"/>
      <c r="H68" s="733"/>
      <c r="I68" s="733"/>
      <c r="J68" s="736"/>
      <c r="K68" s="728"/>
      <c r="L68" s="728"/>
      <c r="M68" s="728"/>
      <c r="N68" s="730"/>
      <c r="O68" s="650"/>
      <c r="P68" s="650"/>
      <c r="Q68" s="650"/>
      <c r="R68" s="650"/>
      <c r="T68" s="287"/>
      <c r="U68" s="288"/>
      <c r="V68" s="288"/>
      <c r="W68" s="289"/>
    </row>
    <row r="69" spans="2:23" ht="15" customHeight="1" thickBot="1" x14ac:dyDescent="0.3">
      <c r="B69" s="277" t="s">
        <v>203</v>
      </c>
      <c r="C69" s="278" t="s">
        <v>97</v>
      </c>
      <c r="D69" s="278" t="s">
        <v>167</v>
      </c>
      <c r="E69" s="744"/>
      <c r="F69" s="744"/>
      <c r="G69" s="747"/>
      <c r="H69" s="731" t="s">
        <v>180</v>
      </c>
      <c r="I69" s="731" t="s">
        <v>143</v>
      </c>
      <c r="J69" s="734" t="s">
        <v>101</v>
      </c>
      <c r="K69" s="727">
        <f>IFERROR(VLOOKUP($D69,$Y$9:$AC$10,2,FALSE)/IF($D69="Inhalation",IF($J69="Central Tendency",SUMIFS('Inhalation Exposure'!$K$6:$K$32,'Inhalation Exposure'!$B$6:$B$32,$B69,'Inhalation Exposure'!$D$6:$D$32,$C69),SUMIFS('Inhalation Exposure'!$J$6:$J$32,'Inhalation Exposure'!$B$6:$B$32,$B69,'Inhalation Exposure'!$D$6:$D$32,$C69)),IF($J69="Central Tendency",VLOOKUP($B69,'Dermal Crosswalk'!$A$6:$V$39,19,FALSE),VLOOKUP($B69,'Dermal Crosswalk'!$A$6:$V$39,14,FALSE))),"--")</f>
        <v>5284.1831610044319</v>
      </c>
      <c r="L69" s="727">
        <f>IFERROR(VLOOKUP($D69,$Y$9:$AC$10,3,FALSE)/IF($D69="Inhalation",IF($J69="Central Tendency",SUMIFS('Inhalation Exposure'!$M$6:$M$32,'Inhalation Exposure'!$B$6:$B$32,$B69,'Inhalation Exposure'!$D$6:$D$32,$C69),SUMIFS('Inhalation Exposure'!$L$6:$L$32,'Inhalation Exposure'!$B$6:$B$32,$B69,'Inhalation Exposure'!$D$6:$D$32,$C69)),IF($J69="Central Tendency",VLOOKUP($B69,'Dermal Crosswalk'!$A$6:$V$39,20,FALSE),VLOOKUP($B69,'Dermal Crosswalk'!$A$6:$V$39,15,FALSE))),"--")</f>
        <v>15633.677991137371</v>
      </c>
      <c r="M69" s="727">
        <f>IFERROR(VLOOKUP($D69,$Y$9:$AC$10,4,FALSE)/IF($D69="Inhalation",IF($J69="Central Tendency",SUMIFS('Inhalation Exposure'!$O$6:$O$32,'Inhalation Exposure'!$B$6:$B$32,$B69,'Inhalation Exposure'!$D$6:$D$32,$C69),SUMIFS('Inhalation Exposure'!$N$6:$N$32,'Inhalation Exposure'!$B$6:$B$32,$B69,'Inhalation Exposure'!$D$6:$D$32,$C69)),IF($J69="Central Tendency",VLOOKUP($B69,'Dermal Crosswalk'!$A$6:$V$39,21,FALSE),VLOOKUP($B69,'Dermal Crosswalk'!$A$6:$V$39,16,FALSE))),"--")</f>
        <v>16738.45790251108</v>
      </c>
      <c r="N69" s="729">
        <f>IFERROR(VLOOKUP(D69,$Y$9:$AC$10,5,FALSE)*IF($D69="Inhalation",IF($J69="Central Tendency",SUMIFS('Inhalation Exposure'!$Q$6:$Q$32,'Inhalation Exposure'!$B$6:$B$32,$B69,'Inhalation Exposure'!$D$6:$D$32,$C69),SUMIFS('Inhalation Exposure'!$P$6:$P$32,'Inhalation Exposure'!$B$6:$B$32,$B69,'Inhalation Exposure'!$D$6:$D$32,$C69)),IF($J69="Central Tendency",VLOOKUP($B69,'Dermal Crosswalk'!$A$6:$V$39,22,FALSE),VLOOKUP($B69,'Dermal Crosswalk'!$A$6:$V$39,17,FALSE))),"--")</f>
        <v>4.9624704406994026E-6</v>
      </c>
      <c r="O69" s="650"/>
      <c r="P69" s="650"/>
      <c r="Q69" s="650"/>
      <c r="R69" s="650"/>
      <c r="T69" s="287"/>
      <c r="U69" s="288"/>
      <c r="V69" s="288"/>
      <c r="W69" s="289"/>
    </row>
    <row r="70" spans="2:23" ht="15.75" thickBot="1" x14ac:dyDescent="0.3">
      <c r="B70" s="277" t="s">
        <v>203</v>
      </c>
      <c r="C70" s="278" t="s">
        <v>97</v>
      </c>
      <c r="D70" s="278" t="s">
        <v>167</v>
      </c>
      <c r="E70" s="744"/>
      <c r="F70" s="744"/>
      <c r="G70" s="747"/>
      <c r="H70" s="732"/>
      <c r="I70" s="732"/>
      <c r="J70" s="735"/>
      <c r="K70" s="728"/>
      <c r="L70" s="728"/>
      <c r="M70" s="728"/>
      <c r="N70" s="730"/>
      <c r="O70" s="650"/>
      <c r="P70" s="650"/>
      <c r="Q70" s="650"/>
      <c r="R70" s="650"/>
      <c r="T70" s="287"/>
      <c r="U70" s="288"/>
      <c r="V70" s="288"/>
      <c r="W70" s="289"/>
    </row>
    <row r="71" spans="2:23" ht="15.75" thickBot="1" x14ac:dyDescent="0.3">
      <c r="B71" s="277" t="s">
        <v>203</v>
      </c>
      <c r="C71" s="278" t="s">
        <v>97</v>
      </c>
      <c r="D71" s="278" t="s">
        <v>167</v>
      </c>
      <c r="E71" s="744"/>
      <c r="F71" s="744"/>
      <c r="G71" s="747"/>
      <c r="H71" s="732"/>
      <c r="I71" s="732"/>
      <c r="J71" s="734" t="s">
        <v>174</v>
      </c>
      <c r="K71" s="727">
        <f>IFERROR(VLOOKUP($D71,$Y$9:$AC$10,2,FALSE)/IF($D71="Inhalation",IF($J71="Central Tendency",SUMIFS('Inhalation Exposure'!$K$6:$K$32,'Inhalation Exposure'!$B$6:$B$32,$B71,'Inhalation Exposure'!$D$6:$D$32,$C71),SUMIFS('Inhalation Exposure'!$J$6:$J$32,'Inhalation Exposure'!$B$6:$B$32,$B71,'Inhalation Exposure'!$D$6:$D$32,$C71)),IF($J71="Central Tendency",VLOOKUP($B71,'Dermal Crosswalk'!$A$6:$V$39,19,FALSE),VLOOKUP($B71,'Dermal Crosswalk'!$A$6:$V$39,14,FALSE))),"--")</f>
        <v>2837.1959488932421</v>
      </c>
      <c r="L71" s="727">
        <f>IFERROR(VLOOKUP($D71,$Y$9:$AC$10,3,FALSE)/IF($D71="Inhalation",IF($J71="Central Tendency",SUMIFS('Inhalation Exposure'!$M$6:$M$32,'Inhalation Exposure'!$B$6:$B$32,$B71,'Inhalation Exposure'!$D$6:$D$32,$C71),SUMIFS('Inhalation Exposure'!$L$6:$L$32,'Inhalation Exposure'!$B$6:$B$32,$B71,'Inhalation Exposure'!$D$6:$D$32,$C71)),IF($J71="Central Tendency",VLOOKUP($B71,'Dermal Crosswalk'!$A$6:$V$39,20,FALSE),VLOOKUP($B71,'Dermal Crosswalk'!$A$6:$V$39,15,FALSE))),"--")</f>
        <v>8394.0708547137347</v>
      </c>
      <c r="M71" s="727">
        <f>IFERROR(VLOOKUP($D71,$Y$9:$AC$10,4,FALSE)/IF($D71="Inhalation",IF($J71="Central Tendency",SUMIFS('Inhalation Exposure'!$O$6:$O$32,'Inhalation Exposure'!$B$6:$B$32,$B71,'Inhalation Exposure'!$D$6:$D$32,$C71),SUMIFS('Inhalation Exposure'!$N$6:$N$32,'Inhalation Exposure'!$B$6:$B$32,$B71,'Inhalation Exposure'!$D$6:$D$32,$C71)),IF($J71="Central Tendency",VLOOKUP($B71,'Dermal Crosswalk'!$A$6:$V$39,21,FALSE),VLOOKUP($B71,'Dermal Crosswalk'!$A$6:$V$39,16,FALSE))),"--")</f>
        <v>8987.2518617801725</v>
      </c>
      <c r="N71" s="729">
        <f>IFERROR(VLOOKUP(D71,$Y$9:$AC$10,5,FALSE)*IF($D71="Inhalation",IF($J71="Central Tendency",SUMIFS('Inhalation Exposure'!$Q$6:$Q$32,'Inhalation Exposure'!$B$6:$B$32,$B71,'Inhalation Exposure'!$D$6:$D$32,$C71),SUMIFS('Inhalation Exposure'!$P$6:$P$32,'Inhalation Exposure'!$B$6:$B$32,$B71,'Inhalation Exposure'!$D$6:$D$32,$C71)),IF($J71="Central Tendency",VLOOKUP($B71,'Dermal Crosswalk'!$A$6:$V$39,22,FALSE),VLOOKUP($B71,'Dermal Crosswalk'!$A$6:$V$39,17,FALSE))),"--")</f>
        <v>1.192572421779858E-5</v>
      </c>
      <c r="O71" s="650"/>
      <c r="P71" s="650"/>
      <c r="Q71" s="650"/>
      <c r="R71" s="650"/>
      <c r="T71" s="287"/>
      <c r="U71" s="288"/>
      <c r="V71" s="288"/>
      <c r="W71" s="289"/>
    </row>
    <row r="72" spans="2:23" ht="15.75" thickBot="1" x14ac:dyDescent="0.3">
      <c r="B72" s="277" t="s">
        <v>203</v>
      </c>
      <c r="C72" s="278" t="s">
        <v>97</v>
      </c>
      <c r="D72" s="278" t="s">
        <v>167</v>
      </c>
      <c r="E72" s="744"/>
      <c r="F72" s="744"/>
      <c r="G72" s="747"/>
      <c r="H72" s="733"/>
      <c r="I72" s="733"/>
      <c r="J72" s="736"/>
      <c r="K72" s="728"/>
      <c r="L72" s="728"/>
      <c r="M72" s="728"/>
      <c r="N72" s="730"/>
      <c r="O72" s="650"/>
      <c r="P72" s="650"/>
      <c r="Q72" s="650"/>
      <c r="R72" s="650"/>
      <c r="T72" s="287"/>
      <c r="U72" s="288"/>
      <c r="V72" s="288"/>
      <c r="W72" s="289"/>
    </row>
    <row r="73" spans="2:23" ht="15" customHeight="1" thickBot="1" x14ac:dyDescent="0.3">
      <c r="B73" s="277" t="s">
        <v>204</v>
      </c>
      <c r="C73" s="278" t="s">
        <v>97</v>
      </c>
      <c r="D73" s="278" t="s">
        <v>167</v>
      </c>
      <c r="E73" s="744"/>
      <c r="F73" s="744"/>
      <c r="G73" s="747"/>
      <c r="H73" s="731" t="s">
        <v>182</v>
      </c>
      <c r="I73" s="731" t="s">
        <v>143</v>
      </c>
      <c r="J73" s="734" t="s">
        <v>101</v>
      </c>
      <c r="K73" s="727">
        <f>IFERROR(VLOOKUP($D73,$Y$9:$AC$10,2,FALSE)/IF($D73="Inhalation",IF($J73="Central Tendency",SUMIFS('Inhalation Exposure'!$K$6:$K$32,'Inhalation Exposure'!$B$6:$B$32,$B73,'Inhalation Exposure'!$D$6:$D$32,$C73),SUMIFS('Inhalation Exposure'!$J$6:$J$32,'Inhalation Exposure'!$B$6:$B$32,$B73,'Inhalation Exposure'!$D$6:$D$32,$C73)),IF($J73="Central Tendency",VLOOKUP($B73,'Dermal Crosswalk'!$A$6:$V$39,19,FALSE),VLOOKUP($B73,'Dermal Crosswalk'!$A$6:$V$39,14,FALSE))),"--")</f>
        <v>13152.176470588234</v>
      </c>
      <c r="L73" s="727">
        <f>IFERROR(VLOOKUP($D73,$Y$9:$AC$10,3,FALSE)/IF($D73="Inhalation",IF($J73="Central Tendency",SUMIFS('Inhalation Exposure'!$M$6:$M$32,'Inhalation Exposure'!$B$6:$B$32,$B73,'Inhalation Exposure'!$D$6:$D$32,$C73),SUMIFS('Inhalation Exposure'!$L$6:$L$32,'Inhalation Exposure'!$B$6:$B$32,$B73,'Inhalation Exposure'!$D$6:$D$32,$C73)),IF($J73="Central Tendency",VLOOKUP($B73,'Dermal Crosswalk'!$A$6:$V$39,20,FALSE),VLOOKUP($B73,'Dermal Crosswalk'!$A$6:$V$39,15,FALSE))),"--")</f>
        <v>38911.76470588235</v>
      </c>
      <c r="M73" s="727">
        <f>IFERROR(VLOOKUP($D73,$Y$9:$AC$10,4,FALSE)/IF($D73="Inhalation",IF($J73="Central Tendency",SUMIFS('Inhalation Exposure'!$O$6:$O$32,'Inhalation Exposure'!$B$6:$B$32,$B73,'Inhalation Exposure'!$D$6:$D$32,$C73),SUMIFS('Inhalation Exposure'!$N$6:$N$32,'Inhalation Exposure'!$B$6:$B$32,$B73,'Inhalation Exposure'!$D$6:$D$32,$C73)),IF($J73="Central Tendency",VLOOKUP($B73,'Dermal Crosswalk'!$A$6:$V$39,21,FALSE),VLOOKUP($B73,'Dermal Crosswalk'!$A$6:$V$39,16,FALSE))),"--")</f>
        <v>41661.529411764699</v>
      </c>
      <c r="N73" s="729">
        <f>IFERROR(VLOOKUP(D73,$Y$9:$AC$10,5,FALSE)*IF($D73="Inhalation",IF($J73="Central Tendency",SUMIFS('Inhalation Exposure'!$Q$6:$Q$32,'Inhalation Exposure'!$B$6:$B$32,$B73,'Inhalation Exposure'!$D$6:$D$32,$C73),SUMIFS('Inhalation Exposure'!$P$6:$P$32,'Inhalation Exposure'!$B$6:$B$32,$B73,'Inhalation Exposure'!$D$6:$D$32,$C73)),IF($J73="Central Tendency",VLOOKUP($B73,'Dermal Crosswalk'!$A$6:$V$39,22,FALSE),VLOOKUP($B73,'Dermal Crosswalk'!$A$6:$V$39,17,FALSE))),"--")</f>
        <v>1.9937842834124633E-6</v>
      </c>
      <c r="O73" s="650"/>
      <c r="P73" s="650"/>
      <c r="Q73" s="650"/>
      <c r="R73" s="650"/>
      <c r="T73" s="287"/>
      <c r="U73" s="288"/>
      <c r="V73" s="288"/>
      <c r="W73" s="289"/>
    </row>
    <row r="74" spans="2:23" ht="15.75" thickBot="1" x14ac:dyDescent="0.3">
      <c r="B74" s="277" t="s">
        <v>204</v>
      </c>
      <c r="C74" s="278" t="s">
        <v>97</v>
      </c>
      <c r="D74" s="278" t="s">
        <v>167</v>
      </c>
      <c r="E74" s="744"/>
      <c r="F74" s="744"/>
      <c r="G74" s="747"/>
      <c r="H74" s="732"/>
      <c r="I74" s="732"/>
      <c r="J74" s="735"/>
      <c r="K74" s="728"/>
      <c r="L74" s="728"/>
      <c r="M74" s="728"/>
      <c r="N74" s="730"/>
      <c r="O74" s="650"/>
      <c r="P74" s="650"/>
      <c r="Q74" s="650"/>
      <c r="R74" s="650"/>
      <c r="T74" s="287"/>
      <c r="U74" s="288"/>
      <c r="V74" s="288"/>
      <c r="W74" s="289"/>
    </row>
    <row r="75" spans="2:23" ht="15.75" thickBot="1" x14ac:dyDescent="0.3">
      <c r="B75" s="277" t="s">
        <v>204</v>
      </c>
      <c r="C75" s="278" t="s">
        <v>97</v>
      </c>
      <c r="D75" s="278" t="s">
        <v>167</v>
      </c>
      <c r="E75" s="744"/>
      <c r="F75" s="744"/>
      <c r="G75" s="747"/>
      <c r="H75" s="732"/>
      <c r="I75" s="732"/>
      <c r="J75" s="734" t="s">
        <v>174</v>
      </c>
      <c r="K75" s="727">
        <f>IFERROR(VLOOKUP($D75,$Y$9:$AC$10,2,FALSE)/IF($D75="Inhalation",IF($J75="Central Tendency",SUMIFS('Inhalation Exposure'!$K$6:$K$32,'Inhalation Exposure'!$B$6:$B$32,$B75,'Inhalation Exposure'!$D$6:$D$32,$C75),SUMIFS('Inhalation Exposure'!$J$6:$J$32,'Inhalation Exposure'!$B$6:$B$32,$B75,'Inhalation Exposure'!$D$6:$D$32,$C75)),IF($J75="Central Tendency",VLOOKUP($B75,'Dermal Crosswalk'!$A$6:$V$39,19,FALSE),VLOOKUP($B75,'Dermal Crosswalk'!$A$6:$V$39,14,FALSE))),"--")</f>
        <v>630.74644549763059</v>
      </c>
      <c r="L75" s="727">
        <f>IFERROR(VLOOKUP($D75,$Y$9:$AC$10,3,FALSE)/IF($D75="Inhalation",IF($J75="Central Tendency",SUMIFS('Inhalation Exposure'!$M$6:$M$32,'Inhalation Exposure'!$B$6:$B$32,$B75,'Inhalation Exposure'!$D$6:$D$32,$C75),SUMIFS('Inhalation Exposure'!$L$6:$L$32,'Inhalation Exposure'!$B$6:$B$32,$B75,'Inhalation Exposure'!$D$6:$D$32,$C75)),IF($J75="Central Tendency",VLOOKUP($B75,'Dermal Crosswalk'!$A$6:$V$39,20,FALSE),VLOOKUP($B75,'Dermal Crosswalk'!$A$6:$V$39,15,FALSE))),"--")</f>
        <v>1866.1137440758298</v>
      </c>
      <c r="M75" s="727">
        <f>IFERROR(VLOOKUP($D75,$Y$9:$AC$10,4,FALSE)/IF($D75="Inhalation",IF($J75="Central Tendency",SUMIFS('Inhalation Exposure'!$O$6:$O$32,'Inhalation Exposure'!$B$6:$B$32,$B75,'Inhalation Exposure'!$D$6:$D$32,$C75),SUMIFS('Inhalation Exposure'!$N$6:$N$32,'Inhalation Exposure'!$B$6:$B$32,$B75,'Inhalation Exposure'!$D$6:$D$32,$C75)),IF($J75="Central Tendency",VLOOKUP($B75,'Dermal Crosswalk'!$A$6:$V$39,21,FALSE),VLOOKUP($B75,'Dermal Crosswalk'!$A$6:$V$39,16,FALSE))),"--")</f>
        <v>1997.9857819905219</v>
      </c>
      <c r="N75" s="729">
        <f>IFERROR(VLOOKUP(D75,$Y$9:$AC$10,5,FALSE)*IF($D75="Inhalation",IF($J75="Central Tendency",SUMIFS('Inhalation Exposure'!$Q$6:$Q$32,'Inhalation Exposure'!$B$6:$B$32,$B75,'Inhalation Exposure'!$D$6:$D$32,$C75),SUMIFS('Inhalation Exposure'!$P$6:$P$32,'Inhalation Exposure'!$B$6:$B$32,$B75,'Inhalation Exposure'!$D$6:$D$32,$C75)),IF($J75="Central Tendency",VLOOKUP($B75,'Dermal Crosswalk'!$A$6:$V$39,22,FALSE),VLOOKUP($B75,'Dermal Crosswalk'!$A$6:$V$39,17,FALSE))),"--")</f>
        <v>5.3643768712261842E-5</v>
      </c>
      <c r="O75" s="650"/>
      <c r="P75" s="650"/>
      <c r="Q75" s="650"/>
      <c r="R75" s="650"/>
      <c r="T75" s="287"/>
      <c r="U75" s="288"/>
      <c r="V75" s="288"/>
      <c r="W75" s="289"/>
    </row>
    <row r="76" spans="2:23" ht="15.75" thickBot="1" x14ac:dyDescent="0.3">
      <c r="B76" s="277" t="s">
        <v>204</v>
      </c>
      <c r="C76" s="278" t="s">
        <v>97</v>
      </c>
      <c r="D76" s="278" t="s">
        <v>167</v>
      </c>
      <c r="E76" s="744"/>
      <c r="F76" s="744"/>
      <c r="G76" s="747"/>
      <c r="H76" s="733"/>
      <c r="I76" s="733"/>
      <c r="J76" s="736"/>
      <c r="K76" s="728"/>
      <c r="L76" s="728"/>
      <c r="M76" s="728"/>
      <c r="N76" s="730"/>
      <c r="O76" s="650"/>
      <c r="P76" s="650"/>
      <c r="Q76" s="650"/>
      <c r="R76" s="650"/>
      <c r="T76" s="287"/>
      <c r="U76" s="288"/>
      <c r="V76" s="288"/>
      <c r="W76" s="289"/>
    </row>
    <row r="77" spans="2:23" ht="16.5" thickTop="1" thickBot="1" x14ac:dyDescent="0.3">
      <c r="B77" s="277" t="s">
        <v>198</v>
      </c>
      <c r="C77" s="278" t="s">
        <v>97</v>
      </c>
      <c r="D77" s="278" t="s">
        <v>72</v>
      </c>
      <c r="E77" s="744"/>
      <c r="F77" s="744"/>
      <c r="G77" s="747"/>
      <c r="H77" s="732" t="s">
        <v>183</v>
      </c>
      <c r="I77" s="741" t="s">
        <v>72</v>
      </c>
      <c r="J77" s="737" t="s">
        <v>101</v>
      </c>
      <c r="K77" s="727">
        <f>IFERROR(VLOOKUP($D77,$Y$9:$AC$10,2,FALSE)/IF($D77="Inhalation",IF($J77="Central Tendency",SUMIFS('Inhalation Exposure'!$K$6:$K$32,'Inhalation Exposure'!$B$6:$B$32,$B77,'Inhalation Exposure'!$D$6:$D$32,$C77),SUMIFS('Inhalation Exposure'!$J$6:$J$32,'Inhalation Exposure'!$B$6:$B$32,$B77,'Inhalation Exposure'!$D$6:$D$32,$C77)),IF($J77="Central Tendency",VLOOKUP($B77,'Dermal Crosswalk'!$A$6:$V$39,19,FALSE),VLOOKUP($B77,'Dermal Crosswalk'!$A$6:$V$39,14,FALSE))),"--")</f>
        <v>708.50022251891414</v>
      </c>
      <c r="L77" s="727">
        <f>IFERROR(VLOOKUP($D77,$Y$9:$AC$10,3,FALSE)/IF($D77="Inhalation",IF($J77="Central Tendency",SUMIFS('Inhalation Exposure'!$M$6:$M$32,'Inhalation Exposure'!$B$6:$B$32,$B77,'Inhalation Exposure'!$D$6:$D$32,$C77),SUMIFS('Inhalation Exposure'!$L$6:$L$32,'Inhalation Exposure'!$B$6:$B$32,$B77,'Inhalation Exposure'!$D$6:$D$32,$C77)),IF($J77="Central Tendency",VLOOKUP($B77,'Dermal Crosswalk'!$A$6:$V$39,20,FALSE),VLOOKUP($B77,'Dermal Crosswalk'!$A$6:$V$39,15,FALSE))),"--")</f>
        <v>441.8011894647409</v>
      </c>
      <c r="M77" s="727">
        <f>IFERROR(VLOOKUP($D77,$Y$9:$AC$10,4,FALSE)/IF($D77="Inhalation",IF($J77="Central Tendency",SUMIFS('Inhalation Exposure'!$O$6:$O$32,'Inhalation Exposure'!$B$6:$B$32,$B77,'Inhalation Exposure'!$D$6:$D$32,$C77),SUMIFS('Inhalation Exposure'!$N$6:$N$32,'Inhalation Exposure'!$B$6:$B$32,$B77,'Inhalation Exposure'!$D$6:$D$32,$C77)),IF($J77="Central Tendency",VLOOKUP($B77,'Dermal Crosswalk'!$A$6:$V$39,21,FALSE),VLOOKUP($B77,'Dermal Crosswalk'!$A$6:$V$39,16,FALSE))),"--")</f>
        <v>473.02180685358252</v>
      </c>
      <c r="N77" s="729" t="str">
        <f>IFERROR(VLOOKUP(D77,$Y$9:$AC$10,5,FALSE)*IF($D77="Inhalation",IF($J77="Central Tendency",SUMIFS('Inhalation Exposure'!$Q$6:$Q$32,'Inhalation Exposure'!$B$6:$B$32,$B77,'Inhalation Exposure'!$D$6:$D$32,$C77),SUMIFS('Inhalation Exposure'!$P$6:$P$32,'Inhalation Exposure'!$B$6:$B$32,$B77,'Inhalation Exposure'!$D$6:$D$32,$C77)),IF($J77="Central Tendency",VLOOKUP($B77,'Dermal Crosswalk'!$A$6:$V$39,22,FALSE),VLOOKUP($B77,'Dermal Crosswalk'!$A$6:$V$39,17,FALSE))),"--")</f>
        <v>--</v>
      </c>
      <c r="O77" s="279">
        <f>IFERROR(K77*T77, "--")</f>
        <v>3542.5011125945707</v>
      </c>
      <c r="P77" s="279">
        <f>IFERROR(L77*U77, "--")</f>
        <v>2209.0059473237043</v>
      </c>
      <c r="Q77" s="279">
        <f>IFERROR(M77*V77, "--")</f>
        <v>2365.1090342679126</v>
      </c>
      <c r="R77" s="298" t="str">
        <f>IFERROR(N77/W77, "--")</f>
        <v>--</v>
      </c>
      <c r="T77" s="287">
        <v>5</v>
      </c>
      <c r="U77" s="288">
        <v>5</v>
      </c>
      <c r="V77" s="288">
        <v>5</v>
      </c>
      <c r="W77" s="289">
        <v>5</v>
      </c>
    </row>
    <row r="78" spans="2:23" ht="15.75" thickBot="1" x14ac:dyDescent="0.3">
      <c r="B78" s="277" t="s">
        <v>198</v>
      </c>
      <c r="C78" s="278" t="s">
        <v>97</v>
      </c>
      <c r="D78" s="278" t="s">
        <v>72</v>
      </c>
      <c r="E78" s="744"/>
      <c r="F78" s="744"/>
      <c r="G78" s="747"/>
      <c r="H78" s="732"/>
      <c r="I78" s="740"/>
      <c r="J78" s="738"/>
      <c r="K78" s="728"/>
      <c r="L78" s="728"/>
      <c r="M78" s="728"/>
      <c r="N78" s="730"/>
      <c r="O78" s="279" t="str">
        <f>CONCATENATE("(PF ",T77,")")</f>
        <v>(PF 5)</v>
      </c>
      <c r="P78" s="279" t="str">
        <f>CONCATENATE("(PF ",U77,")")</f>
        <v>(PF 5)</v>
      </c>
      <c r="Q78" s="279" t="str">
        <f>CONCATENATE("(PF ",V77,")")</f>
        <v>(PF 5)</v>
      </c>
      <c r="R78" s="298" t="str">
        <f>CONCATENATE("(PF ",W77,")")</f>
        <v>(PF 5)</v>
      </c>
      <c r="T78" s="295" t="s">
        <v>184</v>
      </c>
      <c r="U78" s="296" t="s">
        <v>184</v>
      </c>
      <c r="V78" s="296" t="s">
        <v>184</v>
      </c>
      <c r="W78" s="297" t="s">
        <v>184</v>
      </c>
    </row>
    <row r="79" spans="2:23" ht="15.75" thickBot="1" x14ac:dyDescent="0.3">
      <c r="B79" s="277" t="s">
        <v>198</v>
      </c>
      <c r="C79" s="278" t="s">
        <v>97</v>
      </c>
      <c r="D79" s="278" t="s">
        <v>72</v>
      </c>
      <c r="E79" s="744"/>
      <c r="F79" s="744"/>
      <c r="G79" s="747"/>
      <c r="H79" s="732"/>
      <c r="I79" s="732"/>
      <c r="J79" s="739" t="s">
        <v>174</v>
      </c>
      <c r="K79" s="727">
        <f>IFERROR(VLOOKUP($D79,$Y$9:$AC$10,2,FALSE)/IF($D79="Inhalation",IF($J79="Central Tendency",SUMIFS('Inhalation Exposure'!$K$6:$K$32,'Inhalation Exposure'!$B$6:$B$32,$B79,'Inhalation Exposure'!$D$6:$D$32,$C79),SUMIFS('Inhalation Exposure'!$J$6:$J$32,'Inhalation Exposure'!$B$6:$B$32,$B79,'Inhalation Exposure'!$D$6:$D$32,$C79)),IF($J79="Central Tendency",VLOOKUP($B79,'Dermal Crosswalk'!$A$6:$V$39,19,FALSE),VLOOKUP($B79,'Dermal Crosswalk'!$A$6:$V$39,14,FALSE))),"--")</f>
        <v>236.16674083963801</v>
      </c>
      <c r="L79" s="727">
        <f>IFERROR(VLOOKUP($D79,$Y$9:$AC$10,3,FALSE)/IF($D79="Inhalation",IF($J79="Central Tendency",SUMIFS('Inhalation Exposure'!$M$6:$M$32,'Inhalation Exposure'!$B$6:$B$32,$B79,'Inhalation Exposure'!$D$6:$D$32,$C79),SUMIFS('Inhalation Exposure'!$L$6:$L$32,'Inhalation Exposure'!$B$6:$B$32,$B79,'Inhalation Exposure'!$D$6:$D$32,$C79)),IF($J79="Central Tendency",VLOOKUP($B79,'Dermal Crosswalk'!$A$6:$V$39,20,FALSE),VLOOKUP($B79,'Dermal Crosswalk'!$A$6:$V$39,15,FALSE))),"--")</f>
        <v>147.26706315491359</v>
      </c>
      <c r="M79" s="727">
        <f>IFERROR(VLOOKUP($D79,$Y$9:$AC$10,4,FALSE)/IF($D79="Inhalation",IF($J79="Central Tendency",SUMIFS('Inhalation Exposure'!$O$6:$O$32,'Inhalation Exposure'!$B$6:$B$32,$B79,'Inhalation Exposure'!$D$6:$D$32,$C79),SUMIFS('Inhalation Exposure'!$N$6:$N$32,'Inhalation Exposure'!$B$6:$B$32,$B79,'Inhalation Exposure'!$D$6:$D$32,$C79)),IF($J79="Central Tendency",VLOOKUP($B79,'Dermal Crosswalk'!$A$6:$V$39,21,FALSE),VLOOKUP($B79,'Dermal Crosswalk'!$A$6:$V$39,16,FALSE))),"--")</f>
        <v>157.67393561786085</v>
      </c>
      <c r="N79" s="729" t="str">
        <f>IFERROR(VLOOKUP(D79,$Y$9:$AC$10,5,FALSE)*IF($D79="Inhalation",IF($J79="Central Tendency",SUMIFS('Inhalation Exposure'!$Q$6:$Q$32,'Inhalation Exposure'!$B$6:$B$32,$B79,'Inhalation Exposure'!$D$6:$D$32,$C79),SUMIFS('Inhalation Exposure'!$P$6:$P$32,'Inhalation Exposure'!$B$6:$B$32,$B79,'Inhalation Exposure'!$D$6:$D$32,$C79)),IF($J79="Central Tendency",VLOOKUP($B79,'Dermal Crosswalk'!$A$6:$V$39,22,FALSE),VLOOKUP($B79,'Dermal Crosswalk'!$A$6:$V$39,17,FALSE))),"--")</f>
        <v>--</v>
      </c>
      <c r="O79" s="647">
        <f>IFERROR(K79*T79, "--")</f>
        <v>1180.8337041981899</v>
      </c>
      <c r="P79" s="647">
        <f>IFERROR(L79*U79, "--")</f>
        <v>736.3353157745679</v>
      </c>
      <c r="Q79" s="647">
        <f>IFERROR(M79*V79, "--")</f>
        <v>788.36967808930422</v>
      </c>
      <c r="R79" s="299" t="str">
        <f>IFERROR(N79/W79, "--")</f>
        <v>--</v>
      </c>
      <c r="T79" s="287">
        <v>5</v>
      </c>
      <c r="U79" s="288">
        <v>5</v>
      </c>
      <c r="V79" s="288">
        <v>5</v>
      </c>
      <c r="W79" s="289">
        <v>5</v>
      </c>
    </row>
    <row r="80" spans="2:23" ht="15.75" thickBot="1" x14ac:dyDescent="0.3">
      <c r="B80" s="277" t="s">
        <v>198</v>
      </c>
      <c r="C80" s="278" t="s">
        <v>97</v>
      </c>
      <c r="D80" s="278" t="s">
        <v>72</v>
      </c>
      <c r="E80" s="744"/>
      <c r="F80" s="744"/>
      <c r="G80" s="747"/>
      <c r="H80" s="733"/>
      <c r="I80" s="733"/>
      <c r="J80" s="739"/>
      <c r="K80" s="728"/>
      <c r="L80" s="728"/>
      <c r="M80" s="728"/>
      <c r="N80" s="730"/>
      <c r="O80" s="649" t="str">
        <f>CONCATENATE("(PF ",T79,")")</f>
        <v>(PF 5)</v>
      </c>
      <c r="P80" s="649" t="str">
        <f>CONCATENATE("(PF ",U79,")")</f>
        <v>(PF 5)</v>
      </c>
      <c r="Q80" s="649" t="str">
        <f>CONCATENATE("(PF ",V79,")")</f>
        <v>(PF 5)</v>
      </c>
      <c r="R80" s="294" t="str">
        <f>CONCATENATE("(PF ",W79,")")</f>
        <v>(PF 5)</v>
      </c>
      <c r="T80" s="295" t="s">
        <v>184</v>
      </c>
      <c r="U80" s="296" t="s">
        <v>184</v>
      </c>
      <c r="V80" s="296" t="s">
        <v>184</v>
      </c>
      <c r="W80" s="297" t="s">
        <v>184</v>
      </c>
    </row>
    <row r="81" spans="2:23" ht="15.6" customHeight="1" thickTop="1" thickBot="1" x14ac:dyDescent="0.3">
      <c r="B81" s="277" t="s">
        <v>205</v>
      </c>
      <c r="C81" s="278" t="s">
        <v>97</v>
      </c>
      <c r="D81" s="278" t="s">
        <v>72</v>
      </c>
      <c r="E81" s="744"/>
      <c r="F81" s="744"/>
      <c r="G81" s="747"/>
      <c r="H81" s="732" t="s">
        <v>186</v>
      </c>
      <c r="I81" s="741" t="s">
        <v>72</v>
      </c>
      <c r="J81" s="737" t="s">
        <v>101</v>
      </c>
      <c r="K81" s="727">
        <f>IFERROR(VLOOKUP($D81,$Y$9:$AC$10,2,FALSE)/IF($D81="Inhalation",IF($J81="Central Tendency",SUMIFS('Inhalation Exposure'!$K$6:$K$32,'Inhalation Exposure'!$B$6:$B$32,$B81,'Inhalation Exposure'!$D$6:$D$32,$C81),SUMIFS('Inhalation Exposure'!$J$6:$J$32,'Inhalation Exposure'!$B$6:$B$32,$B81,'Inhalation Exposure'!$D$6:$D$32,$C81)),IF($J81="Central Tendency",VLOOKUP($B81,'Dermal Crosswalk'!$A$6:$V$39,19,FALSE),VLOOKUP($B81,'Dermal Crosswalk'!$A$6:$V$39,14,FALSE))),"--")</f>
        <v>491.6632416291572</v>
      </c>
      <c r="L81" s="727">
        <f>IFERROR(VLOOKUP($D81,$Y$9:$AC$10,3,FALSE)/IF($D81="Inhalation",IF($J81="Central Tendency",SUMIFS('Inhalation Exposure'!$M$6:$M$32,'Inhalation Exposure'!$B$6:$B$32,$B81,'Inhalation Exposure'!$D$6:$D$32,$C81),SUMIFS('Inhalation Exposure'!$L$6:$L$32,'Inhalation Exposure'!$B$6:$B$32,$B81,'Inhalation Exposure'!$D$6:$D$32,$C81)),IF($J81="Central Tendency",VLOOKUP($B81,'Dermal Crosswalk'!$A$6:$V$39,20,FALSE),VLOOKUP($B81,'Dermal Crosswalk'!$A$6:$V$39,15,FALSE))),"--")</f>
        <v>306.58763125801715</v>
      </c>
      <c r="M81" s="727">
        <f>IFERROR(VLOOKUP($D81,$Y$9:$AC$10,4,FALSE)/IF($D81="Inhalation",IF($J81="Central Tendency",SUMIFS('Inhalation Exposure'!$O$6:$O$32,'Inhalation Exposure'!$B$6:$B$32,$B81,'Inhalation Exposure'!$D$6:$D$32,$C81),SUMIFS('Inhalation Exposure'!$N$6:$N$32,'Inhalation Exposure'!$B$6:$B$32,$B81,'Inhalation Exposure'!$D$6:$D$32,$C81)),IF($J81="Central Tendency",VLOOKUP($B81,'Dermal Crosswalk'!$A$6:$V$39,21,FALSE),VLOOKUP($B81,'Dermal Crosswalk'!$A$6:$V$39,16,FALSE))),"--")</f>
        <v>328.25315720025031</v>
      </c>
      <c r="N81" s="729" t="str">
        <f>IFERROR(VLOOKUP(D81,$Y$9:$AC$10,5,FALSE)*IF($D81="Inhalation",IF($J81="Central Tendency",SUMIFS('Inhalation Exposure'!$Q$6:$Q$32,'Inhalation Exposure'!$B$6:$B$32,$B81,'Inhalation Exposure'!$D$6:$D$32,$C81),SUMIFS('Inhalation Exposure'!$P$6:$P$32,'Inhalation Exposure'!$B$6:$B$32,$B81,'Inhalation Exposure'!$D$6:$D$32,$C81)),IF($J81="Central Tendency",VLOOKUP($B81,'Dermal Crosswalk'!$A$6:$V$39,22,FALSE),VLOOKUP($B81,'Dermal Crosswalk'!$A$6:$V$39,17,FALSE))),"--")</f>
        <v>--</v>
      </c>
      <c r="O81" s="650"/>
      <c r="P81" s="650"/>
      <c r="Q81" s="650"/>
      <c r="R81" s="488"/>
      <c r="T81" s="287"/>
      <c r="U81" s="288"/>
      <c r="V81" s="288"/>
      <c r="W81" s="289"/>
    </row>
    <row r="82" spans="2:23" ht="15.75" thickBot="1" x14ac:dyDescent="0.3">
      <c r="B82" s="277" t="s">
        <v>205</v>
      </c>
      <c r="C82" s="278" t="s">
        <v>97</v>
      </c>
      <c r="D82" s="278" t="s">
        <v>72</v>
      </c>
      <c r="E82" s="744"/>
      <c r="F82" s="744"/>
      <c r="G82" s="747"/>
      <c r="H82" s="732"/>
      <c r="I82" s="740"/>
      <c r="J82" s="738"/>
      <c r="K82" s="728"/>
      <c r="L82" s="728"/>
      <c r="M82" s="728"/>
      <c r="N82" s="730"/>
      <c r="O82" s="650"/>
      <c r="P82" s="650"/>
      <c r="Q82" s="650"/>
      <c r="R82" s="488"/>
      <c r="T82" s="287"/>
      <c r="U82" s="288"/>
      <c r="V82" s="288"/>
      <c r="W82" s="289"/>
    </row>
    <row r="83" spans="2:23" ht="15.75" thickBot="1" x14ac:dyDescent="0.3">
      <c r="B83" s="277" t="s">
        <v>205</v>
      </c>
      <c r="C83" s="278" t="s">
        <v>97</v>
      </c>
      <c r="D83" s="278" t="s">
        <v>72</v>
      </c>
      <c r="E83" s="744"/>
      <c r="F83" s="744"/>
      <c r="G83" s="747"/>
      <c r="H83" s="732"/>
      <c r="I83" s="732"/>
      <c r="J83" s="739" t="s">
        <v>174</v>
      </c>
      <c r="K83" s="727">
        <f>IFERROR(VLOOKUP($D83,$Y$9:$AC$10,2,FALSE)/IF($D83="Inhalation",IF($J83="Central Tendency",SUMIFS('Inhalation Exposure'!$K$6:$K$32,'Inhalation Exposure'!$B$6:$B$32,$B83,'Inhalation Exposure'!$D$6:$D$32,$C83),SUMIFS('Inhalation Exposure'!$J$6:$J$32,'Inhalation Exposure'!$B$6:$B$32,$B83,'Inhalation Exposure'!$D$6:$D$32,$C83)),IF($J83="Central Tendency",VLOOKUP($B83,'Dermal Crosswalk'!$A$6:$V$39,19,FALSE),VLOOKUP($B83,'Dermal Crosswalk'!$A$6:$V$39,14,FALSE))),"--")</f>
        <v>287.70497640045079</v>
      </c>
      <c r="L83" s="727">
        <f>IFERROR(VLOOKUP($D83,$Y$9:$AC$10,3,FALSE)/IF($D83="Inhalation",IF($J83="Central Tendency",SUMIFS('Inhalation Exposure'!$M$6:$M$32,'Inhalation Exposure'!$B$6:$B$32,$B83,'Inhalation Exposure'!$D$6:$D$32,$C83),SUMIFS('Inhalation Exposure'!$L$6:$L$32,'Inhalation Exposure'!$B$6:$B$32,$B83,'Inhalation Exposure'!$D$6:$D$32,$C83)),IF($J83="Central Tendency",VLOOKUP($B83,'Dermal Crosswalk'!$A$6:$V$39,20,FALSE),VLOOKUP($B83,'Dermal Crosswalk'!$A$6:$V$39,15,FALSE))),"--")</f>
        <v>179.40488478145971</v>
      </c>
      <c r="M83" s="727">
        <f>IFERROR(VLOOKUP($D83,$Y$9:$AC$10,4,FALSE)/IF($D83="Inhalation",IF($J83="Central Tendency",SUMIFS('Inhalation Exposure'!$O$6:$O$32,'Inhalation Exposure'!$B$6:$B$32,$B83,'Inhalation Exposure'!$D$6:$D$32,$C83),SUMIFS('Inhalation Exposure'!$N$6:$N$32,'Inhalation Exposure'!$B$6:$B$32,$B83,'Inhalation Exposure'!$D$6:$D$32,$C83)),IF($J83="Central Tendency",VLOOKUP($B83,'Dermal Crosswalk'!$A$6:$V$39,21,FALSE),VLOOKUP($B83,'Dermal Crosswalk'!$A$6:$V$39,16,FALSE))),"--")</f>
        <v>192.08282997268287</v>
      </c>
      <c r="N83" s="729" t="str">
        <f>IFERROR(VLOOKUP(D83,$Y$9:$AC$10,5,FALSE)*IF($D83="Inhalation",IF($J83="Central Tendency",SUMIFS('Inhalation Exposure'!$Q$6:$Q$32,'Inhalation Exposure'!$B$6:$B$32,$B83,'Inhalation Exposure'!$D$6:$D$32,$C83),SUMIFS('Inhalation Exposure'!$P$6:$P$32,'Inhalation Exposure'!$B$6:$B$32,$B83,'Inhalation Exposure'!$D$6:$D$32,$C83)),IF($J83="Central Tendency",VLOOKUP($B83,'Dermal Crosswalk'!$A$6:$V$39,22,FALSE),VLOOKUP($B83,'Dermal Crosswalk'!$A$6:$V$39,17,FALSE))),"--")</f>
        <v>--</v>
      </c>
      <c r="O83" s="650"/>
      <c r="P83" s="650"/>
      <c r="Q83" s="650"/>
      <c r="R83" s="488"/>
      <c r="T83" s="287"/>
      <c r="U83" s="288"/>
      <c r="V83" s="288"/>
      <c r="W83" s="289"/>
    </row>
    <row r="84" spans="2:23" ht="15.75" thickBot="1" x14ac:dyDescent="0.3">
      <c r="B84" s="277" t="s">
        <v>205</v>
      </c>
      <c r="C84" s="278" t="s">
        <v>97</v>
      </c>
      <c r="D84" s="278" t="s">
        <v>72</v>
      </c>
      <c r="E84" s="744"/>
      <c r="F84" s="744"/>
      <c r="G84" s="747"/>
      <c r="H84" s="733"/>
      <c r="I84" s="733"/>
      <c r="J84" s="736"/>
      <c r="K84" s="728"/>
      <c r="L84" s="728"/>
      <c r="M84" s="728"/>
      <c r="N84" s="730"/>
      <c r="O84" s="650"/>
      <c r="P84" s="650"/>
      <c r="Q84" s="650"/>
      <c r="R84" s="488"/>
      <c r="T84" s="287"/>
      <c r="U84" s="288"/>
      <c r="V84" s="288"/>
      <c r="W84" s="289"/>
    </row>
    <row r="85" spans="2:23" ht="27" thickTop="1" thickBot="1" x14ac:dyDescent="0.3">
      <c r="B85" s="277" t="s">
        <v>198</v>
      </c>
      <c r="C85" s="278" t="s">
        <v>100</v>
      </c>
      <c r="D85" s="278" t="s">
        <v>167</v>
      </c>
      <c r="E85" s="744"/>
      <c r="F85" s="744"/>
      <c r="G85" s="747"/>
      <c r="H85" s="737" t="s">
        <v>100</v>
      </c>
      <c r="I85" s="737" t="s">
        <v>143</v>
      </c>
      <c r="J85" s="306" t="s">
        <v>101</v>
      </c>
      <c r="K85" s="648">
        <f>IFERROR(VLOOKUP($D85,$Y$9:$AC$10,2,FALSE)/IF($D85="Inhalation",IF($J85="Central Tendency",SUMIFS('Inhalation Exposure'!$K$6:$K$32,'Inhalation Exposure'!$B$6:$B$32,$B85,'Inhalation Exposure'!$D$6:$D$32,$C85),SUMIFS('Inhalation Exposure'!$J$6:$J$32,'Inhalation Exposure'!$B$6:$B$32,$B85,'Inhalation Exposure'!$D$6:$D$32,$C85)),IF($J85="Central Tendency",VLOOKUP($B85,'Dermal Crosswalk'!$A$8:$V$21,17,FALSE),VLOOKUP($B85,'Dermal Crosswalk'!$A$8:$V$21,12,FALSE))),"--")</f>
        <v>8327.2625698324027</v>
      </c>
      <c r="L85" s="300">
        <f>IFERROR(VLOOKUP($D85,$Y$9:$AC$10,3,FALSE)/IF($D85="Inhalation",IF($J85="Central Tendency",SUMIFS('Inhalation Exposure'!$M$6:$M$32,'Inhalation Exposure'!$B$6:$B$32,$B85,'Inhalation Exposure'!$D$6:$D$32,$C85),SUMIFS('Inhalation Exposure'!$L$6:$L$32,'Inhalation Exposure'!$B$6:$B$32,$B85,'Inhalation Exposure'!$D$6:$D$32,$C85)),IF($J85="Central Tendency",VLOOKUP($B85,'Dermal Crosswalk'!$A$8:$V$21,18,FALSE),VLOOKUP($B85,'Dermal Crosswalk'!$A$8:$V$21,13,FALSE))),"--")</f>
        <v>24636.871508379889</v>
      </c>
      <c r="M85" s="647">
        <f>IFERROR(VLOOKUP($D85,$Y$9:$AC$10,4,FALSE)/IF($D85="Inhalation",IF($J85="Central Tendency",SUMIFS('Inhalation Exposure'!$O$6:$O$32,'Inhalation Exposure'!$B$6:$B$32,$B85,'Inhalation Exposure'!$D$6:$D$32,$C85),SUMIFS('Inhalation Exposure'!$N$6:$N$32,'Inhalation Exposure'!$B$6:$B$32,$B85,'Inhalation Exposure'!$D$6:$D$32,$C85)),IF($J85="Central Tendency",VLOOKUP($B85,'Dermal Crosswalk'!$A$8:$V$21,19,FALSE),VLOOKUP($B85,'Dermal Crosswalk'!$A$8:$V$21,14,FALSE))),"--")</f>
        <v>26377.877094972064</v>
      </c>
      <c r="N85" s="301">
        <f>IFERROR(VLOOKUP(D85,$Y$9:$AC$10,5,FALSE)*IF($D85="Inhalation",IF($J85="Central Tendency",SUMIFS('Inhalation Exposure'!$Q$6:$Q$32,'Inhalation Exposure'!$B$6:$B$32,$B85,'Inhalation Exposure'!$D$6:$D$32,$C85),SUMIFS('Inhalation Exposure'!$P$6:$P$32,'Inhalation Exposure'!$B$6:$B$32,$B85,'Inhalation Exposure'!$D$6:$D$32,$C85)),IF($J85="Central Tendency",VLOOKUP($B85,'Dermal Crosswalk'!$A$8:$V$21,20,FALSE),VLOOKUP($B85,'Dermal Crosswalk'!$A$8:$V$21,15,FALSE))),"--")</f>
        <v>3.149006353507332E-6</v>
      </c>
      <c r="O85" s="648" t="s">
        <v>187</v>
      </c>
      <c r="P85" s="648" t="s">
        <v>187</v>
      </c>
      <c r="Q85" s="648" t="s">
        <v>187</v>
      </c>
      <c r="R85" s="648" t="s">
        <v>187</v>
      </c>
      <c r="T85" s="287" t="s">
        <v>187</v>
      </c>
      <c r="U85" s="288" t="s">
        <v>187</v>
      </c>
      <c r="V85" s="288" t="s">
        <v>187</v>
      </c>
      <c r="W85" s="289" t="s">
        <v>187</v>
      </c>
    </row>
    <row r="86" spans="2:23" ht="15.75" thickBot="1" x14ac:dyDescent="0.3">
      <c r="B86" s="277" t="s">
        <v>198</v>
      </c>
      <c r="C86" s="278" t="s">
        <v>100</v>
      </c>
      <c r="D86" s="278" t="s">
        <v>167</v>
      </c>
      <c r="E86" s="744"/>
      <c r="F86" s="745"/>
      <c r="G86" s="748"/>
      <c r="H86" s="732"/>
      <c r="I86" s="738"/>
      <c r="J86" s="648" t="s">
        <v>174</v>
      </c>
      <c r="K86" s="648">
        <f>IFERROR(VLOOKUP($D86,$Y$9:$AC$10,2,FALSE)/IF($D86="Inhalation",IF($J86="Central Tendency",SUMIFS('Inhalation Exposure'!$K$6:$K$32,'Inhalation Exposure'!$B$6:$B$32,$B86,'Inhalation Exposure'!$D$6:$D$32,$C86),SUMIFS('Inhalation Exposure'!$J$6:$J$32,'Inhalation Exposure'!$B$6:$B$32,$B86,'Inhalation Exposure'!$D$6:$D$32,$C86)),IF($J86="Central Tendency",VLOOKUP($B86,'Dermal Crosswalk'!$A$8:$V$21,17,FALSE),VLOOKUP($B86,'Dermal Crosswalk'!$A$8:$V$21,12,FALSE))),"--")</f>
        <v>810.56312897009548</v>
      </c>
      <c r="L86" s="300">
        <f>IFERROR(VLOOKUP($D86,$Y$9:$AC$10,3,FALSE)/IF($D86="Inhalation",IF($J86="Central Tendency",SUMIFS('Inhalation Exposure'!$M$6:$M$32,'Inhalation Exposure'!$B$6:$B$32,$B86,'Inhalation Exposure'!$D$6:$D$32,$C86),SUMIFS('Inhalation Exposure'!$L$6:$L$32,'Inhalation Exposure'!$B$6:$B$32,$B86,'Inhalation Exposure'!$D$6:$D$32,$C86)),IF($J86="Central Tendency",VLOOKUP($B86,'Dermal Crosswalk'!$A$8:$V$21,18,FALSE),VLOOKUP($B86,'Dermal Crosswalk'!$A$8:$V$21,13,FALSE))),"--")</f>
        <v>2398.1157661837146</v>
      </c>
      <c r="M86" s="647">
        <f>IFERROR(VLOOKUP($D86,$Y$9:$AC$10,4,FALSE)/IF($D86="Inhalation",IF($J86="Central Tendency",SUMIFS('Inhalation Exposure'!$O$6:$O$32,'Inhalation Exposure'!$B$6:$B$32,$B86,'Inhalation Exposure'!$D$6:$D$32,$C86),SUMIFS('Inhalation Exposure'!$N$6:$N$32,'Inhalation Exposure'!$B$6:$B$32,$B86,'Inhalation Exposure'!$D$6:$D$32,$C86)),IF($J86="Central Tendency",VLOOKUP($B86,'Dermal Crosswalk'!$A$8:$V$21,19,FALSE),VLOOKUP($B86,'Dermal Crosswalk'!$A$8:$V$21,14,FALSE))),"--")</f>
        <v>2567.5826136606961</v>
      </c>
      <c r="N86" s="301">
        <f>IFERROR(VLOOKUP(D86,$Y$9:$AC$10,5,FALSE)*IF($D86="Inhalation",IF($J86="Central Tendency",SUMIFS('Inhalation Exposure'!$Q$6:$Q$32,'Inhalation Exposure'!$B$6:$B$32,$B86,'Inhalation Exposure'!$D$6:$D$32,$C86),SUMIFS('Inhalation Exposure'!$P$6:$P$32,'Inhalation Exposure'!$B$6:$B$32,$B86,'Inhalation Exposure'!$D$6:$D$32,$C86)),IF($J86="Central Tendency",VLOOKUP($B86,'Dermal Crosswalk'!$A$8:$V$21,20,FALSE),VLOOKUP($B86,'Dermal Crosswalk'!$A$8:$V$21,15,FALSE))),"--")</f>
        <v>4.1743345125194418E-5</v>
      </c>
      <c r="O86" s="302" t="s">
        <v>187</v>
      </c>
      <c r="P86" s="302" t="s">
        <v>187</v>
      </c>
      <c r="Q86" s="302" t="s">
        <v>187</v>
      </c>
      <c r="R86" s="302" t="s">
        <v>187</v>
      </c>
      <c r="T86" s="303" t="s">
        <v>187</v>
      </c>
      <c r="U86" s="304" t="s">
        <v>187</v>
      </c>
      <c r="V86" s="304" t="s">
        <v>187</v>
      </c>
      <c r="W86" s="305" t="s">
        <v>187</v>
      </c>
    </row>
    <row r="87" spans="2:23" ht="15.75" customHeight="1" thickBot="1" x14ac:dyDescent="0.3">
      <c r="B87" s="277">
        <v>4</v>
      </c>
      <c r="C87" s="278" t="s">
        <v>97</v>
      </c>
      <c r="D87" s="278" t="s">
        <v>167</v>
      </c>
      <c r="E87" s="743" t="s">
        <v>206</v>
      </c>
      <c r="F87" s="743" t="s">
        <v>207</v>
      </c>
      <c r="G87" s="747" t="s">
        <v>208</v>
      </c>
      <c r="H87" s="731" t="s">
        <v>97</v>
      </c>
      <c r="I87" s="731" t="s">
        <v>143</v>
      </c>
      <c r="J87" s="734" t="s">
        <v>101</v>
      </c>
      <c r="K87" s="727">
        <f>IFERROR(VLOOKUP($D87,$Y$9:$AC$10,2,FALSE)/IF($D87="Inhalation",IF($J87="Central Tendency",SUMIFS('Inhalation Exposure'!$K$6:$K$32,'Inhalation Exposure'!$B$6:$B$32,$B87,'Inhalation Exposure'!$D$6:$D$32,$C87),SUMIFS('Inhalation Exposure'!$J$6:$J$32,'Inhalation Exposure'!$B$6:$B$32,$B87,'Inhalation Exposure'!$D$6:$D$32,$C87)),IF($J87="Central Tendency",VLOOKUP($B87,'Dermal Crosswalk'!$A$6:$V$39,19,FALSE),VLOOKUP($B87,'Dermal Crosswalk'!$A$6:$V$39,14,FALSE))),"--")</f>
        <v>13152.176470588234</v>
      </c>
      <c r="L87" s="727">
        <f>IFERROR(VLOOKUP($D87,$Y$9:$AC$10,3,FALSE)/IF($D87="Inhalation",IF($J87="Central Tendency",SUMIFS('Inhalation Exposure'!$M$6:$M$32,'Inhalation Exposure'!$B$6:$B$32,$B87,'Inhalation Exposure'!$D$6:$D$32,$C87),SUMIFS('Inhalation Exposure'!$L$6:$L$32,'Inhalation Exposure'!$B$6:$B$32,$B87,'Inhalation Exposure'!$D$6:$D$32,$C87)),IF($J87="Central Tendency",VLOOKUP($B87,'Dermal Crosswalk'!$A$6:$V$39,20,FALSE),VLOOKUP($B87,'Dermal Crosswalk'!$A$6:$V$39,15,FALSE))),"--")</f>
        <v>38911.76470588235</v>
      </c>
      <c r="M87" s="727">
        <f>IFERROR(VLOOKUP($D87,$Y$9:$AC$10,4,FALSE)/IF($D87="Inhalation",IF($J87="Central Tendency",SUMIFS('Inhalation Exposure'!$O$6:$O$32,'Inhalation Exposure'!$B$6:$B$32,$B87,'Inhalation Exposure'!$D$6:$D$32,$C87),SUMIFS('Inhalation Exposure'!$N$6:$N$32,'Inhalation Exposure'!$B$6:$B$32,$B87,'Inhalation Exposure'!$D$6:$D$32,$C87)),IF($J87="Central Tendency",VLOOKUP($B87,'Dermal Crosswalk'!$A$6:$V$39,21,FALSE),VLOOKUP($B87,'Dermal Crosswalk'!$A$6:$V$39,16,FALSE))),"--")</f>
        <v>59858.519269776865</v>
      </c>
      <c r="N87" s="729">
        <f>IFERROR(VLOOKUP(D87,$Y$9:$AC$10,5,FALSE)*IF($D87="Inhalation",IF($J87="Central Tendency",SUMIFS('Inhalation Exposure'!$Q$6:$Q$32,'Inhalation Exposure'!$B$6:$B$32,$B87,'Inhalation Exposure'!$D$6:$D$32,$C87),SUMIFS('Inhalation Exposure'!$P$6:$P$32,'Inhalation Exposure'!$B$6:$B$32,$B87,'Inhalation Exposure'!$D$6:$D$32,$C87)),IF($J87="Central Tendency",VLOOKUP($B87,'Dermal Crosswalk'!$A$6:$V$39,22,FALSE),VLOOKUP($B87,'Dermal Crosswalk'!$A$6:$V$39,17,FALSE))),"--")</f>
        <v>1.3876738612550749E-6</v>
      </c>
      <c r="O87" s="279">
        <f>IFERROR(K87*T87, "--")</f>
        <v>131521.76470588235</v>
      </c>
      <c r="P87" s="279">
        <f>IFERROR(L87*U87, "--")</f>
        <v>389117.6470588235</v>
      </c>
      <c r="Q87" s="279">
        <f>IFERROR(M87*V87, "--")</f>
        <v>598585.19269776868</v>
      </c>
      <c r="R87" s="280">
        <f>IFERROR(N87/W87, "--")</f>
        <v>1.3876738612550748E-7</v>
      </c>
      <c r="T87" s="281">
        <v>10</v>
      </c>
      <c r="U87" s="282">
        <v>10</v>
      </c>
      <c r="V87" s="282">
        <v>10</v>
      </c>
      <c r="W87" s="283">
        <v>10</v>
      </c>
    </row>
    <row r="88" spans="2:23" ht="15.75" thickBot="1" x14ac:dyDescent="0.3">
      <c r="B88" s="277">
        <v>4</v>
      </c>
      <c r="C88" s="278" t="s">
        <v>97</v>
      </c>
      <c r="D88" s="278" t="s">
        <v>167</v>
      </c>
      <c r="E88" s="744"/>
      <c r="F88" s="744"/>
      <c r="G88" s="747"/>
      <c r="H88" s="732"/>
      <c r="I88" s="732"/>
      <c r="J88" s="735"/>
      <c r="K88" s="728"/>
      <c r="L88" s="728"/>
      <c r="M88" s="728"/>
      <c r="N88" s="730"/>
      <c r="O88" s="648" t="str">
        <f>CONCATENATE("(APF ",T87,")")</f>
        <v>(APF 10)</v>
      </c>
      <c r="P88" s="648" t="str">
        <f>CONCATENATE("(APF ",U87,")")</f>
        <v>(APF 10)</v>
      </c>
      <c r="Q88" s="648" t="str">
        <f>CONCATENATE("(APF ",V87,")")</f>
        <v>(APF 10)</v>
      </c>
      <c r="R88" s="648" t="str">
        <f>CONCATENATE("(APF ",W87,")")</f>
        <v>(APF 10)</v>
      </c>
      <c r="T88" s="287" t="s">
        <v>172</v>
      </c>
      <c r="U88" s="288" t="s">
        <v>172</v>
      </c>
      <c r="V88" s="288" t="s">
        <v>172</v>
      </c>
      <c r="W88" s="289" t="s">
        <v>172</v>
      </c>
    </row>
    <row r="89" spans="2:23" ht="15.75" thickBot="1" x14ac:dyDescent="0.3">
      <c r="B89" s="277">
        <v>4</v>
      </c>
      <c r="C89" s="278" t="s">
        <v>97</v>
      </c>
      <c r="D89" s="278" t="s">
        <v>167</v>
      </c>
      <c r="E89" s="744"/>
      <c r="F89" s="744"/>
      <c r="G89" s="747"/>
      <c r="H89" s="732"/>
      <c r="I89" s="732"/>
      <c r="J89" s="734" t="s">
        <v>174</v>
      </c>
      <c r="K89" s="727">
        <f>IFERROR(VLOOKUP($D89,$Y$9:$AC$10,2,FALSE)/IF($D89="Inhalation",IF($J89="Central Tendency",SUMIFS('Inhalation Exposure'!$K$6:$K$32,'Inhalation Exposure'!$B$6:$B$32,$B89,'Inhalation Exposure'!$D$6:$D$32,$C89),SUMIFS('Inhalation Exposure'!$J$6:$J$32,'Inhalation Exposure'!$B$6:$B$32,$B89,'Inhalation Exposure'!$D$6:$D$32,$C89)),IF($J89="Central Tendency",VLOOKUP($B89,'Dermal Crosswalk'!$A$6:$V$39,19,FALSE),VLOOKUP($B89,'Dermal Crosswalk'!$A$6:$V$39,14,FALSE))),"--")</f>
        <v>630.74644549763059</v>
      </c>
      <c r="L89" s="727">
        <f>IFERROR(VLOOKUP($D89,$Y$9:$AC$10,3,FALSE)/IF($D89="Inhalation",IF($J89="Central Tendency",SUMIFS('Inhalation Exposure'!$M$6:$M$32,'Inhalation Exposure'!$B$6:$B$32,$B89,'Inhalation Exposure'!$D$6:$D$32,$C89),SUMIFS('Inhalation Exposure'!$L$6:$L$32,'Inhalation Exposure'!$B$6:$B$32,$B89,'Inhalation Exposure'!$D$6:$D$32,$C89)),IF($J89="Central Tendency",VLOOKUP($B89,'Dermal Crosswalk'!$A$6:$V$39,20,FALSE),VLOOKUP($B89,'Dermal Crosswalk'!$A$6:$V$39,15,FALSE))),"--")</f>
        <v>1866.1137440758298</v>
      </c>
      <c r="M89" s="727">
        <f>IFERROR(VLOOKUP($D89,$Y$9:$AC$10,4,FALSE)/IF($D89="Inhalation",IF($J89="Central Tendency",SUMIFS('Inhalation Exposure'!$O$6:$O$32,'Inhalation Exposure'!$B$6:$B$32,$B89,'Inhalation Exposure'!$D$6:$D$32,$C89),SUMIFS('Inhalation Exposure'!$N$6:$N$32,'Inhalation Exposure'!$B$6:$B$32,$B89,'Inhalation Exposure'!$D$6:$D$32,$C89)),IF($J89="Central Tendency",VLOOKUP($B89,'Dermal Crosswalk'!$A$6:$V$39,21,FALSE),VLOOKUP($B89,'Dermal Crosswalk'!$A$6:$V$39,16,FALSE))),"--")</f>
        <v>1997.9857819905219</v>
      </c>
      <c r="N89" s="729">
        <f>IFERROR(VLOOKUP(D89,$Y$9:$AC$10,5,FALSE)*IF($D89="Inhalation",IF($J89="Central Tendency",SUMIFS('Inhalation Exposure'!$Q$6:$Q$32,'Inhalation Exposure'!$B$6:$B$32,$B89,'Inhalation Exposure'!$D$6:$D$32,$C89),SUMIFS('Inhalation Exposure'!$P$6:$P$32,'Inhalation Exposure'!$B$6:$B$32,$B89,'Inhalation Exposure'!$D$6:$D$32,$C89)),IF($J89="Central Tendency",VLOOKUP($B89,'Dermal Crosswalk'!$A$6:$V$39,22,FALSE),VLOOKUP($B89,'Dermal Crosswalk'!$A$6:$V$39,17,FALSE))),"--")</f>
        <v>5.3643768712261842E-5</v>
      </c>
      <c r="O89" s="279">
        <f>IFERROR(K89*T89, "--")</f>
        <v>6307.4644549763061</v>
      </c>
      <c r="P89" s="279">
        <f>IFERROR(L89*U89, "--")</f>
        <v>18661.137440758299</v>
      </c>
      <c r="Q89" s="279">
        <f>IFERROR(M89*V89, "--")</f>
        <v>19979.857819905221</v>
      </c>
      <c r="R89" s="280">
        <f>IFERROR(N89/W89, "--")</f>
        <v>1.0728753742452367E-6</v>
      </c>
      <c r="T89" s="290">
        <v>10</v>
      </c>
      <c r="U89" s="291">
        <v>10</v>
      </c>
      <c r="V89" s="291">
        <v>10</v>
      </c>
      <c r="W89" s="292">
        <v>50</v>
      </c>
    </row>
    <row r="90" spans="2:23" ht="15.75" thickBot="1" x14ac:dyDescent="0.3">
      <c r="B90" s="277">
        <v>4</v>
      </c>
      <c r="C90" s="278" t="s">
        <v>97</v>
      </c>
      <c r="D90" s="278" t="s">
        <v>167</v>
      </c>
      <c r="E90" s="744"/>
      <c r="F90" s="744"/>
      <c r="G90" s="747"/>
      <c r="H90" s="733"/>
      <c r="I90" s="733"/>
      <c r="J90" s="739"/>
      <c r="K90" s="728"/>
      <c r="L90" s="728"/>
      <c r="M90" s="728"/>
      <c r="N90" s="730"/>
      <c r="O90" s="649" t="str">
        <f>CONCATENATE("(APF ",T89,")")</f>
        <v>(APF 10)</v>
      </c>
      <c r="P90" s="649" t="str">
        <f>CONCATENATE("(APF ",U89,")")</f>
        <v>(APF 10)</v>
      </c>
      <c r="Q90" s="649" t="str">
        <f>CONCATENATE("(APF ",V89,")")</f>
        <v>(APF 10)</v>
      </c>
      <c r="R90" s="649" t="str">
        <f>CONCATENATE("(APF ",W89,")")</f>
        <v>(APF 50)</v>
      </c>
      <c r="T90" s="295" t="s">
        <v>172</v>
      </c>
      <c r="U90" s="296" t="s">
        <v>172</v>
      </c>
      <c r="V90" s="296" t="s">
        <v>172</v>
      </c>
      <c r="W90" s="297" t="s">
        <v>172</v>
      </c>
    </row>
    <row r="91" spans="2:23" ht="16.5" customHeight="1" thickTop="1" thickBot="1" x14ac:dyDescent="0.3">
      <c r="B91" s="277">
        <v>4</v>
      </c>
      <c r="C91" s="278" t="s">
        <v>97</v>
      </c>
      <c r="D91" s="278" t="s">
        <v>72</v>
      </c>
      <c r="E91" s="744"/>
      <c r="F91" s="744"/>
      <c r="G91" s="747"/>
      <c r="H91" s="732" t="s">
        <v>183</v>
      </c>
      <c r="I91" s="741" t="s">
        <v>72</v>
      </c>
      <c r="J91" s="737" t="s">
        <v>101</v>
      </c>
      <c r="K91" s="727">
        <f>IFERROR(VLOOKUP($D91,$Y$9:$AC$10,2,FALSE)/IF($D91="Inhalation",IF($J91="Central Tendency",SUMIFS('Inhalation Exposure'!$K$6:$K$32,'Inhalation Exposure'!$B$6:$B$32,$B91,'Inhalation Exposure'!$D$6:$D$32,$C91),SUMIFS('Inhalation Exposure'!$J$6:$J$32,'Inhalation Exposure'!$B$6:$B$32,$B91,'Inhalation Exposure'!$D$6:$D$32,$C91)),IF($J91="Central Tendency",VLOOKUP($B91,'Dermal Crosswalk'!$A$6:$V$39,19,FALSE),VLOOKUP($B91,'Dermal Crosswalk'!$A$6:$V$39,14,FALSE))),"--")</f>
        <v>708.50022251891414</v>
      </c>
      <c r="L91" s="727">
        <f>IFERROR(VLOOKUP($D91,$Y$9:$AC$10,3,FALSE)/IF($D91="Inhalation",IF($J91="Central Tendency",SUMIFS('Inhalation Exposure'!$M$6:$M$32,'Inhalation Exposure'!$B$6:$B$32,$B91,'Inhalation Exposure'!$D$6:$D$32,$C91),SUMIFS('Inhalation Exposure'!$L$6:$L$32,'Inhalation Exposure'!$B$6:$B$32,$B91,'Inhalation Exposure'!$D$6:$D$32,$C91)),IF($J91="Central Tendency",VLOOKUP($B91,'Dermal Crosswalk'!$A$6:$V$39,20,FALSE),VLOOKUP($B91,'Dermal Crosswalk'!$A$6:$V$39,15,FALSE))),"--")</f>
        <v>441.8011894647409</v>
      </c>
      <c r="M91" s="727">
        <f>IFERROR(VLOOKUP($D91,$Y$9:$AC$10,4,FALSE)/IF($D91="Inhalation",IF($J91="Central Tendency",SUMIFS('Inhalation Exposure'!$O$6:$O$32,'Inhalation Exposure'!$B$6:$B$32,$B91,'Inhalation Exposure'!$D$6:$D$32,$C91),SUMIFS('Inhalation Exposure'!$N$6:$N$32,'Inhalation Exposure'!$B$6:$B$32,$B91,'Inhalation Exposure'!$D$6:$D$32,$C91)),IF($J91="Central Tendency",VLOOKUP($B91,'Dermal Crosswalk'!$A$6:$V$39,21,FALSE),VLOOKUP($B91,'Dermal Crosswalk'!$A$6:$V$39,16,FALSE))),"--")</f>
        <v>679.62903283560706</v>
      </c>
      <c r="N91" s="729" t="str">
        <f>IFERROR(VLOOKUP(D91,$Y$9:$AC$10,5,FALSE)*IF($D91="Inhalation",IF($J91="Central Tendency",SUMIFS('Inhalation Exposure'!$Q$6:$Q$32,'Inhalation Exposure'!$B$6:$B$32,$B91,'Inhalation Exposure'!$D$6:$D$32,$C91),SUMIFS('Inhalation Exposure'!$P$6:$P$32,'Inhalation Exposure'!$B$6:$B$32,$B91,'Inhalation Exposure'!$D$6:$D$32,$C91)),IF($J91="Central Tendency",VLOOKUP($B91,'Dermal Crosswalk'!$A$6:$V$39,22,FALSE),VLOOKUP($B91,'Dermal Crosswalk'!$A$6:$V$39,17,FALSE))),"--")</f>
        <v>--</v>
      </c>
      <c r="O91" s="279">
        <f>IFERROR(K91*T91, "--")</f>
        <v>3542.5011125945707</v>
      </c>
      <c r="P91" s="279">
        <f>IFERROR(L91*U91, "--")</f>
        <v>2209.0059473237043</v>
      </c>
      <c r="Q91" s="279">
        <f>IFERROR(M91*V91, "--")</f>
        <v>3398.1451641780354</v>
      </c>
      <c r="R91" s="298" t="str">
        <f>IFERROR(N91/W91, "--")</f>
        <v>--</v>
      </c>
      <c r="T91" s="287">
        <v>5</v>
      </c>
      <c r="U91" s="288">
        <v>5</v>
      </c>
      <c r="V91" s="288">
        <v>5</v>
      </c>
      <c r="W91" s="289">
        <v>5</v>
      </c>
    </row>
    <row r="92" spans="2:23" ht="15.75" thickBot="1" x14ac:dyDescent="0.3">
      <c r="B92" s="277">
        <v>4</v>
      </c>
      <c r="C92" s="278" t="s">
        <v>97</v>
      </c>
      <c r="D92" s="278" t="s">
        <v>72</v>
      </c>
      <c r="E92" s="744"/>
      <c r="F92" s="744"/>
      <c r="G92" s="747"/>
      <c r="H92" s="732"/>
      <c r="I92" s="740"/>
      <c r="J92" s="738"/>
      <c r="K92" s="728"/>
      <c r="L92" s="728"/>
      <c r="M92" s="728"/>
      <c r="N92" s="730"/>
      <c r="O92" s="279" t="str">
        <f>CONCATENATE("(PF ",T91,")")</f>
        <v>(PF 5)</v>
      </c>
      <c r="P92" s="279" t="str">
        <f>CONCATENATE("(PF ",U91,")")</f>
        <v>(PF 5)</v>
      </c>
      <c r="Q92" s="279" t="str">
        <f>CONCATENATE("(PF ",V91,")")</f>
        <v>(PF 5)</v>
      </c>
      <c r="R92" s="298" t="str">
        <f>CONCATENATE("(PF ",W91,")")</f>
        <v>(PF 5)</v>
      </c>
      <c r="T92" s="295" t="s">
        <v>184</v>
      </c>
      <c r="U92" s="296" t="s">
        <v>184</v>
      </c>
      <c r="V92" s="296" t="s">
        <v>184</v>
      </c>
      <c r="W92" s="297" t="s">
        <v>184</v>
      </c>
    </row>
    <row r="93" spans="2:23" ht="15.75" thickBot="1" x14ac:dyDescent="0.3">
      <c r="B93" s="277">
        <v>4</v>
      </c>
      <c r="C93" s="278" t="s">
        <v>97</v>
      </c>
      <c r="D93" s="278" t="s">
        <v>72</v>
      </c>
      <c r="E93" s="744"/>
      <c r="F93" s="744"/>
      <c r="G93" s="747"/>
      <c r="H93" s="732"/>
      <c r="I93" s="732"/>
      <c r="J93" s="739" t="s">
        <v>174</v>
      </c>
      <c r="K93" s="727">
        <f>IFERROR(VLOOKUP($D93,$Y$9:$AC$10,2,FALSE)/IF($D93="Inhalation",IF($J93="Central Tendency",SUMIFS('Inhalation Exposure'!$K$6:$K$32,'Inhalation Exposure'!$B$6:$B$32,$B93,'Inhalation Exposure'!$D$6:$D$32,$C93),SUMIFS('Inhalation Exposure'!$J$6:$J$32,'Inhalation Exposure'!$B$6:$B$32,$B93,'Inhalation Exposure'!$D$6:$D$32,$C93)),IF($J93="Central Tendency",VLOOKUP($B93,'Dermal Crosswalk'!$A$6:$V$39,19,FALSE),VLOOKUP($B93,'Dermal Crosswalk'!$A$6:$V$39,14,FALSE))),"--")</f>
        <v>236.16674083963801</v>
      </c>
      <c r="L93" s="727">
        <f>IFERROR(VLOOKUP($D93,$Y$9:$AC$10,3,FALSE)/IF($D93="Inhalation",IF($J93="Central Tendency",SUMIFS('Inhalation Exposure'!$M$6:$M$32,'Inhalation Exposure'!$B$6:$B$32,$B93,'Inhalation Exposure'!$D$6:$D$32,$C93),SUMIFS('Inhalation Exposure'!$L$6:$L$32,'Inhalation Exposure'!$B$6:$B$32,$B93,'Inhalation Exposure'!$D$6:$D$32,$C93)),IF($J93="Central Tendency",VLOOKUP($B93,'Dermal Crosswalk'!$A$6:$V$39,20,FALSE),VLOOKUP($B93,'Dermal Crosswalk'!$A$6:$V$39,15,FALSE))),"--")</f>
        <v>147.26706315491359</v>
      </c>
      <c r="M93" s="727">
        <f>IFERROR(VLOOKUP($D93,$Y$9:$AC$10,4,FALSE)/IF($D93="Inhalation",IF($J93="Central Tendency",SUMIFS('Inhalation Exposure'!$O$6:$O$32,'Inhalation Exposure'!$B$6:$B$32,$B93,'Inhalation Exposure'!$D$6:$D$32,$C93),SUMIFS('Inhalation Exposure'!$N$6:$N$32,'Inhalation Exposure'!$B$6:$B$32,$B93,'Inhalation Exposure'!$D$6:$D$32,$C93)),IF($J93="Central Tendency",VLOOKUP($B93,'Dermal Crosswalk'!$A$6:$V$39,21,FALSE),VLOOKUP($B93,'Dermal Crosswalk'!$A$6:$V$39,16,FALSE))),"--")</f>
        <v>157.67393561786085</v>
      </c>
      <c r="N93" s="729" t="str">
        <f>IFERROR(VLOOKUP(D93,$Y$9:$AC$10,5,FALSE)*IF($D93="Inhalation",IF($J93="Central Tendency",SUMIFS('Inhalation Exposure'!$Q$6:$Q$32,'Inhalation Exposure'!$B$6:$B$32,$B93,'Inhalation Exposure'!$D$6:$D$32,$C93),SUMIFS('Inhalation Exposure'!$P$6:$P$32,'Inhalation Exposure'!$B$6:$B$32,$B93,'Inhalation Exposure'!$D$6:$D$32,$C93)),IF($J93="Central Tendency",VLOOKUP($B93,'Dermal Crosswalk'!$A$6:$V$39,22,FALSE),VLOOKUP($B93,'Dermal Crosswalk'!$A$6:$V$39,17,FALSE))),"--")</f>
        <v>--</v>
      </c>
      <c r="O93" s="647">
        <f>IFERROR(K93*T93, "--")</f>
        <v>1180.8337041981899</v>
      </c>
      <c r="P93" s="647">
        <f>IFERROR(L93*U93, "--")</f>
        <v>736.3353157745679</v>
      </c>
      <c r="Q93" s="647">
        <f>IFERROR(M93*V93, "--")</f>
        <v>788.36967808930422</v>
      </c>
      <c r="R93" s="299" t="str">
        <f>IFERROR(N93/W93, "--")</f>
        <v>--</v>
      </c>
      <c r="T93" s="287">
        <v>5</v>
      </c>
      <c r="U93" s="288">
        <v>5</v>
      </c>
      <c r="V93" s="288">
        <v>5</v>
      </c>
      <c r="W93" s="289">
        <v>5</v>
      </c>
    </row>
    <row r="94" spans="2:23" ht="15.75" thickBot="1" x14ac:dyDescent="0.3">
      <c r="B94" s="277">
        <v>4</v>
      </c>
      <c r="C94" s="278" t="s">
        <v>97</v>
      </c>
      <c r="D94" s="278" t="s">
        <v>72</v>
      </c>
      <c r="E94" s="744"/>
      <c r="F94" s="744"/>
      <c r="G94" s="747"/>
      <c r="H94" s="733"/>
      <c r="I94" s="733"/>
      <c r="J94" s="736"/>
      <c r="K94" s="728"/>
      <c r="L94" s="728"/>
      <c r="M94" s="728"/>
      <c r="N94" s="730"/>
      <c r="O94" s="649" t="str">
        <f>CONCATENATE("(PF ",T93,")")</f>
        <v>(PF 5)</v>
      </c>
      <c r="P94" s="649" t="str">
        <f>CONCATENATE("(PF ",U93,")")</f>
        <v>(PF 5)</v>
      </c>
      <c r="Q94" s="649" t="str">
        <f>CONCATENATE("(PF ",V93,")")</f>
        <v>(PF 5)</v>
      </c>
      <c r="R94" s="294" t="str">
        <f>CONCATENATE("(PF ",W93,")")</f>
        <v>(PF 5)</v>
      </c>
      <c r="T94" s="295" t="s">
        <v>184</v>
      </c>
      <c r="U94" s="296" t="s">
        <v>184</v>
      </c>
      <c r="V94" s="296" t="s">
        <v>184</v>
      </c>
      <c r="W94" s="297" t="s">
        <v>184</v>
      </c>
    </row>
    <row r="95" spans="2:23" ht="16.5" thickTop="1" thickBot="1" x14ac:dyDescent="0.3">
      <c r="B95" s="277" t="s">
        <v>209</v>
      </c>
      <c r="C95" s="278" t="s">
        <v>97</v>
      </c>
      <c r="D95" s="278" t="s">
        <v>72</v>
      </c>
      <c r="E95" s="744"/>
      <c r="F95" s="744"/>
      <c r="G95" s="747"/>
      <c r="H95" s="732" t="s">
        <v>186</v>
      </c>
      <c r="I95" s="737" t="s">
        <v>72</v>
      </c>
      <c r="J95" s="737" t="s">
        <v>101</v>
      </c>
      <c r="K95" s="727">
        <f>IFERROR(VLOOKUP($D95,$Y$9:$AC$10,2,FALSE)/IF($D95="Inhalation",IF($J95="Central Tendency",SUMIFS('Inhalation Exposure'!$K$6:$K$32,'Inhalation Exposure'!$B$6:$B$32,$B95,'Inhalation Exposure'!$D$6:$D$32,$C95),SUMIFS('Inhalation Exposure'!$J$6:$J$32,'Inhalation Exposure'!$B$6:$B$32,$B95,'Inhalation Exposure'!$D$6:$D$32,$C95)),IF($J95="Central Tendency",VLOOKUP($B95,'Dermal Crosswalk'!$A$6:$V$39,19,FALSE),VLOOKUP($B95,'Dermal Crosswalk'!$A$6:$V$39,14,FALSE))),"--")</f>
        <v>499.12753948054342</v>
      </c>
      <c r="L95" s="727">
        <f>IFERROR(VLOOKUP($D95,$Y$9:$AC$10,3,FALSE)/IF($D95="Inhalation",IF($J95="Central Tendency",SUMIFS('Inhalation Exposure'!$M$6:$M$32,'Inhalation Exposure'!$B$6:$B$32,$B95,'Inhalation Exposure'!$D$6:$D$32,$C95),SUMIFS('Inhalation Exposure'!$L$6:$L$32,'Inhalation Exposure'!$B$6:$B$32,$B95,'Inhalation Exposure'!$D$6:$D$32,$C95)),IF($J95="Central Tendency",VLOOKUP($B95,'Dermal Crosswalk'!$A$6:$V$39,20,FALSE),VLOOKUP($B95,'Dermal Crosswalk'!$A$6:$V$39,15,FALSE))),"--")</f>
        <v>311.24216143944346</v>
      </c>
      <c r="M95" s="727">
        <f>IFERROR(VLOOKUP($D95,$Y$9:$AC$10,4,FALSE)/IF($D95="Inhalation",IF($J95="Central Tendency",SUMIFS('Inhalation Exposure'!$O$6:$O$32,'Inhalation Exposure'!$B$6:$B$32,$B95,'Inhalation Exposure'!$D$6:$D$32,$C95),SUMIFS('Inhalation Exposure'!$N$6:$N$32,'Inhalation Exposure'!$B$6:$B$32,$B95,'Inhalation Exposure'!$D$6:$D$32,$C95)),IF($J95="Central Tendency",VLOOKUP($B95,'Dermal Crosswalk'!$A$6:$V$39,21,FALSE),VLOOKUP($B95,'Dermal Crosswalk'!$A$6:$V$39,16,FALSE))),"--")</f>
        <v>372.55075438735764</v>
      </c>
      <c r="N95" s="729" t="str">
        <f>IFERROR(VLOOKUP(D95,$Y$9:$AC$10,5,FALSE)*IF($D95="Inhalation",IF($J95="Central Tendency",SUMIFS('Inhalation Exposure'!$Q$6:$Q$32,'Inhalation Exposure'!$B$6:$B$32,$B95,'Inhalation Exposure'!$D$6:$D$32,$C95),SUMIFS('Inhalation Exposure'!$P$6:$P$32,'Inhalation Exposure'!$B$6:$B$32,$B95,'Inhalation Exposure'!$D$6:$D$32,$C95)),IF($J95="Central Tendency",VLOOKUP($B95,'Dermal Crosswalk'!$A$6:$V$39,22,FALSE),VLOOKUP($B95,'Dermal Crosswalk'!$A$6:$V$39,17,FALSE))),"--")</f>
        <v>--</v>
      </c>
      <c r="O95" s="650"/>
      <c r="P95" s="650"/>
      <c r="Q95" s="650"/>
      <c r="R95" s="488"/>
      <c r="T95" s="287"/>
      <c r="U95" s="288"/>
      <c r="V95" s="288"/>
      <c r="W95" s="289"/>
    </row>
    <row r="96" spans="2:23" ht="15.75" thickBot="1" x14ac:dyDescent="0.3">
      <c r="B96" s="277" t="s">
        <v>209</v>
      </c>
      <c r="C96" s="278" t="s">
        <v>97</v>
      </c>
      <c r="D96" s="278" t="s">
        <v>72</v>
      </c>
      <c r="E96" s="744"/>
      <c r="F96" s="744"/>
      <c r="G96" s="747"/>
      <c r="H96" s="732"/>
      <c r="I96" s="740"/>
      <c r="J96" s="738"/>
      <c r="K96" s="728"/>
      <c r="L96" s="728"/>
      <c r="M96" s="728"/>
      <c r="N96" s="730"/>
      <c r="O96" s="650"/>
      <c r="P96" s="650"/>
      <c r="Q96" s="650"/>
      <c r="R96" s="488"/>
      <c r="T96" s="287"/>
      <c r="U96" s="288"/>
      <c r="V96" s="288"/>
      <c r="W96" s="289"/>
    </row>
    <row r="97" spans="2:23" ht="15.75" thickBot="1" x14ac:dyDescent="0.3">
      <c r="B97" s="277" t="s">
        <v>209</v>
      </c>
      <c r="C97" s="278" t="s">
        <v>97</v>
      </c>
      <c r="D97" s="278" t="s">
        <v>72</v>
      </c>
      <c r="E97" s="744"/>
      <c r="F97" s="744"/>
      <c r="G97" s="747"/>
      <c r="H97" s="732"/>
      <c r="I97" s="732"/>
      <c r="J97" s="739" t="s">
        <v>174</v>
      </c>
      <c r="K97" s="727">
        <f>IFERROR(VLOOKUP($D97,$Y$9:$AC$10,2,FALSE)/IF($D97="Inhalation",IF($J97="Central Tendency",SUMIFS('Inhalation Exposure'!$K$6:$K$32,'Inhalation Exposure'!$B$6:$B$32,$B97,'Inhalation Exposure'!$D$6:$D$32,$C97),SUMIFS('Inhalation Exposure'!$J$6:$J$32,'Inhalation Exposure'!$B$6:$B$32,$B97,'Inhalation Exposure'!$D$6:$D$32,$C97)),IF($J97="Central Tendency",VLOOKUP($B97,'Dermal Crosswalk'!$A$6:$V$39,19,FALSE),VLOOKUP($B97,'Dermal Crosswalk'!$A$6:$V$39,14,FALSE))),"--")</f>
        <v>292.09031134237574</v>
      </c>
      <c r="L97" s="727">
        <f>IFERROR(VLOOKUP($D97,$Y$9:$AC$10,3,FALSE)/IF($D97="Inhalation",IF($J97="Central Tendency",SUMIFS('Inhalation Exposure'!$M$6:$M$32,'Inhalation Exposure'!$B$6:$B$32,$B97,'Inhalation Exposure'!$D$6:$D$32,$C97),SUMIFS('Inhalation Exposure'!$L$6:$L$32,'Inhalation Exposure'!$B$6:$B$32,$B97,'Inhalation Exposure'!$D$6:$D$32,$C97)),IF($J97="Central Tendency",VLOOKUP($B97,'Dermal Crosswalk'!$A$6:$V$39,20,FALSE),VLOOKUP($B97,'Dermal Crosswalk'!$A$6:$V$39,15,FALSE))),"--")</f>
        <v>182.13945864885468</v>
      </c>
      <c r="M97" s="727">
        <f>IFERROR(VLOOKUP($D97,$Y$9:$AC$10,4,FALSE)/IF($D97="Inhalation",IF($J97="Central Tendency",SUMIFS('Inhalation Exposure'!$O$6:$O$32,'Inhalation Exposure'!$B$6:$B$32,$B97,'Inhalation Exposure'!$D$6:$D$32,$C97),SUMIFS('Inhalation Exposure'!$N$6:$N$32,'Inhalation Exposure'!$B$6:$B$32,$B97,'Inhalation Exposure'!$D$6:$D$32,$C97)),IF($J97="Central Tendency",VLOOKUP($B97,'Dermal Crosswalk'!$A$6:$V$39,21,FALSE),VLOOKUP($B97,'Dermal Crosswalk'!$A$6:$V$39,16,FALSE))),"--")</f>
        <v>213.97811031127023</v>
      </c>
      <c r="N97" s="729" t="str">
        <f>IFERROR(VLOOKUP(D97,$Y$9:$AC$10,5,FALSE)*IF($D97="Inhalation",IF($J97="Central Tendency",SUMIFS('Inhalation Exposure'!$Q$6:$Q$32,'Inhalation Exposure'!$B$6:$B$32,$B97,'Inhalation Exposure'!$D$6:$D$32,$C97),SUMIFS('Inhalation Exposure'!$P$6:$P$32,'Inhalation Exposure'!$B$6:$B$32,$B97,'Inhalation Exposure'!$D$6:$D$32,$C97)),IF($J97="Central Tendency",VLOOKUP($B97,'Dermal Crosswalk'!$A$6:$V$39,22,FALSE),VLOOKUP($B97,'Dermal Crosswalk'!$A$6:$V$39,17,FALSE))),"--")</f>
        <v>--</v>
      </c>
      <c r="O97" s="650"/>
      <c r="P97" s="650"/>
      <c r="Q97" s="650"/>
      <c r="R97" s="488"/>
      <c r="T97" s="287"/>
      <c r="U97" s="288"/>
      <c r="V97" s="288"/>
      <c r="W97" s="289"/>
    </row>
    <row r="98" spans="2:23" ht="15.75" thickBot="1" x14ac:dyDescent="0.3">
      <c r="B98" s="277" t="s">
        <v>209</v>
      </c>
      <c r="C98" s="278" t="s">
        <v>97</v>
      </c>
      <c r="D98" s="278" t="s">
        <v>72</v>
      </c>
      <c r="E98" s="744"/>
      <c r="F98" s="744"/>
      <c r="G98" s="747"/>
      <c r="H98" s="733"/>
      <c r="I98" s="733"/>
      <c r="J98" s="736"/>
      <c r="K98" s="728"/>
      <c r="L98" s="728"/>
      <c r="M98" s="728"/>
      <c r="N98" s="730"/>
      <c r="O98" s="650"/>
      <c r="P98" s="650"/>
      <c r="Q98" s="650"/>
      <c r="R98" s="488"/>
      <c r="T98" s="287"/>
      <c r="U98" s="288"/>
      <c r="V98" s="288"/>
      <c r="W98" s="289"/>
    </row>
    <row r="99" spans="2:23" ht="27" thickTop="1" thickBot="1" x14ac:dyDescent="0.3">
      <c r="B99" s="277">
        <v>4</v>
      </c>
      <c r="C99" s="278" t="s">
        <v>100</v>
      </c>
      <c r="D99" s="278" t="s">
        <v>167</v>
      </c>
      <c r="E99" s="744"/>
      <c r="F99" s="744"/>
      <c r="G99" s="747"/>
      <c r="H99" s="737" t="s">
        <v>100</v>
      </c>
      <c r="I99" s="737" t="s">
        <v>143</v>
      </c>
      <c r="J99" s="306" t="s">
        <v>101</v>
      </c>
      <c r="K99" s="648">
        <f>IFERROR(VLOOKUP($D99,$Y$9:$AC$10,2,FALSE)/IF($D99="Inhalation",IF($J99="Central Tendency",SUMIFS('Inhalation Exposure'!$K$6:$K$32,'Inhalation Exposure'!$B$6:$B$32,$B99,'Inhalation Exposure'!$D$6:$D$32,$C99),SUMIFS('Inhalation Exposure'!$J$6:$J$32,'Inhalation Exposure'!$B$6:$B$32,$B99,'Inhalation Exposure'!$D$6:$D$32,$C99)),IF($J99="Central Tendency",VLOOKUP($B99,'Dermal Crosswalk'!$A$8:$V$21,17,FALSE),VLOOKUP($B99,'Dermal Crosswalk'!$A$8:$V$21,12,FALSE))),"--")</f>
        <v>13152.176470588234</v>
      </c>
      <c r="L99" s="300">
        <f>IFERROR(VLOOKUP($D99,$Y$9:$AC$10,3,FALSE)/IF($D99="Inhalation",IF($J99="Central Tendency",SUMIFS('Inhalation Exposure'!$M$6:$M$32,'Inhalation Exposure'!$B$6:$B$32,$B99,'Inhalation Exposure'!$D$6:$D$32,$C99),SUMIFS('Inhalation Exposure'!$L$6:$L$32,'Inhalation Exposure'!$B$6:$B$32,$B99,'Inhalation Exposure'!$D$6:$D$32,$C99)),IF($J99="Central Tendency",VLOOKUP($B99,'Dermal Crosswalk'!$A$8:$V$21,18,FALSE),VLOOKUP($B99,'Dermal Crosswalk'!$A$8:$V$21,13,FALSE))),"--")</f>
        <v>38911.76470588235</v>
      </c>
      <c r="M99" s="647">
        <f>IFERROR(VLOOKUP($D99,$Y$9:$AC$10,4,FALSE)/IF($D99="Inhalation",IF($J99="Central Tendency",SUMIFS('Inhalation Exposure'!$O$6:$O$32,'Inhalation Exposure'!$B$6:$B$32,$B99,'Inhalation Exposure'!$D$6:$D$32,$C99),SUMIFS('Inhalation Exposure'!$N$6:$N$32,'Inhalation Exposure'!$B$6:$B$32,$B99,'Inhalation Exposure'!$D$6:$D$32,$C99)),IF($J99="Central Tendency",VLOOKUP($B99,'Dermal Crosswalk'!$A$8:$V$21,19,FALSE),VLOOKUP($B99,'Dermal Crosswalk'!$A$8:$V$21,14,FALSE))),"--")</f>
        <v>59858.519269776865</v>
      </c>
      <c r="N99" s="301">
        <f>IFERROR(VLOOKUP(D99,$Y$9:$AC$10,5,FALSE)*IF($D99="Inhalation",IF($J99="Central Tendency",SUMIFS('Inhalation Exposure'!$Q$6:$Q$32,'Inhalation Exposure'!$B$6:$B$32,$B99,'Inhalation Exposure'!$D$6:$D$32,$C99),SUMIFS('Inhalation Exposure'!$P$6:$P$32,'Inhalation Exposure'!$B$6:$B$32,$B99,'Inhalation Exposure'!$D$6:$D$32,$C99)),IF($J99="Central Tendency",VLOOKUP($B99,'Dermal Crosswalk'!$A$8:$V$21,20,FALSE),VLOOKUP($B99,'Dermal Crosswalk'!$A$8:$V$21,15,FALSE))),"--")</f>
        <v>1.3876738612550749E-6</v>
      </c>
      <c r="O99" s="648" t="s">
        <v>187</v>
      </c>
      <c r="P99" s="648" t="s">
        <v>187</v>
      </c>
      <c r="Q99" s="648" t="s">
        <v>187</v>
      </c>
      <c r="R99" s="648" t="s">
        <v>187</v>
      </c>
      <c r="T99" s="287" t="s">
        <v>187</v>
      </c>
      <c r="U99" s="288" t="s">
        <v>187</v>
      </c>
      <c r="V99" s="288" t="s">
        <v>187</v>
      </c>
      <c r="W99" s="289" t="s">
        <v>187</v>
      </c>
    </row>
    <row r="100" spans="2:23" ht="15.75" thickBot="1" x14ac:dyDescent="0.3">
      <c r="B100" s="277">
        <v>4</v>
      </c>
      <c r="C100" s="278" t="s">
        <v>100</v>
      </c>
      <c r="D100" s="278" t="s">
        <v>167</v>
      </c>
      <c r="E100" s="744"/>
      <c r="F100" s="745"/>
      <c r="G100" s="747"/>
      <c r="H100" s="732"/>
      <c r="I100" s="738"/>
      <c r="J100" s="648" t="s">
        <v>174</v>
      </c>
      <c r="K100" s="648">
        <f>IFERROR(VLOOKUP($D100,$Y$9:$AC$10,2,FALSE)/IF($D100="Inhalation",IF($J100="Central Tendency",SUMIFS('Inhalation Exposure'!$K$6:$K$32,'Inhalation Exposure'!$B$6:$B$32,$B100,'Inhalation Exposure'!$D$6:$D$32,$C100),SUMIFS('Inhalation Exposure'!$J$6:$J$32,'Inhalation Exposure'!$B$6:$B$32,$B100,'Inhalation Exposure'!$D$6:$D$32,$C100)),IF($J100="Central Tendency",VLOOKUP($B100,'Dermal Crosswalk'!$A$8:$V$21,17,FALSE),VLOOKUP($B100,'Dermal Crosswalk'!$A$8:$V$21,12,FALSE))),"--")</f>
        <v>13152.176470588234</v>
      </c>
      <c r="L100" s="300">
        <f>IFERROR(VLOOKUP($D100,$Y$9:$AC$10,3,FALSE)/IF($D100="Inhalation",IF($J100="Central Tendency",SUMIFS('Inhalation Exposure'!$M$6:$M$32,'Inhalation Exposure'!$B$6:$B$32,$B100,'Inhalation Exposure'!$D$6:$D$32,$C100),SUMIFS('Inhalation Exposure'!$L$6:$L$32,'Inhalation Exposure'!$B$6:$B$32,$B100,'Inhalation Exposure'!$D$6:$D$32,$C100)),IF($J100="Central Tendency",VLOOKUP($B100,'Dermal Crosswalk'!$A$8:$V$21,18,FALSE),VLOOKUP($B100,'Dermal Crosswalk'!$A$8:$V$21,13,FALSE))),"--")</f>
        <v>38911.76470588235</v>
      </c>
      <c r="M100" s="647">
        <f>IFERROR(VLOOKUP($D100,$Y$9:$AC$10,4,FALSE)/IF($D100="Inhalation",IF($J100="Central Tendency",SUMIFS('Inhalation Exposure'!$O$6:$O$32,'Inhalation Exposure'!$B$6:$B$32,$B100,'Inhalation Exposure'!$D$6:$D$32,$C100),SUMIFS('Inhalation Exposure'!$N$6:$N$32,'Inhalation Exposure'!$B$6:$B$32,$B100,'Inhalation Exposure'!$D$6:$D$32,$C100)),IF($J100="Central Tendency",VLOOKUP($B100,'Dermal Crosswalk'!$A$8:$V$21,19,FALSE),VLOOKUP($B100,'Dermal Crosswalk'!$A$8:$V$21,14,FALSE))),"--")</f>
        <v>41661.529411764714</v>
      </c>
      <c r="N100" s="301">
        <f>IFERROR(VLOOKUP(D100,$Y$9:$AC$10,5,FALSE)*IF($D100="Inhalation",IF($J100="Central Tendency",SUMIFS('Inhalation Exposure'!$Q$6:$Q$32,'Inhalation Exposure'!$B$6:$B$32,$B100,'Inhalation Exposure'!$D$6:$D$32,$C100),SUMIFS('Inhalation Exposure'!$P$6:$P$32,'Inhalation Exposure'!$B$6:$B$32,$B100,'Inhalation Exposure'!$D$6:$D$32,$C100)),IF($J100="Central Tendency",VLOOKUP($B100,'Dermal Crosswalk'!$A$8:$V$21,20,FALSE),VLOOKUP($B100,'Dermal Crosswalk'!$A$8:$V$21,15,FALSE))),"--")</f>
        <v>2.5726248818225335E-6</v>
      </c>
      <c r="O100" s="302" t="s">
        <v>187</v>
      </c>
      <c r="P100" s="302" t="s">
        <v>187</v>
      </c>
      <c r="Q100" s="302" t="s">
        <v>187</v>
      </c>
      <c r="R100" s="302" t="s">
        <v>187</v>
      </c>
      <c r="T100" s="303" t="s">
        <v>187</v>
      </c>
      <c r="U100" s="304" t="s">
        <v>187</v>
      </c>
      <c r="V100" s="304" t="s">
        <v>187</v>
      </c>
      <c r="W100" s="305" t="s">
        <v>187</v>
      </c>
    </row>
    <row r="101" spans="2:23" ht="15.75" customHeight="1" thickBot="1" x14ac:dyDescent="0.3">
      <c r="B101" s="277" t="s">
        <v>210</v>
      </c>
      <c r="C101" s="278" t="s">
        <v>97</v>
      </c>
      <c r="D101" s="278" t="s">
        <v>167</v>
      </c>
      <c r="E101" s="743" t="s">
        <v>211</v>
      </c>
      <c r="F101" s="743" t="s">
        <v>212</v>
      </c>
      <c r="G101" s="746" t="s">
        <v>213</v>
      </c>
      <c r="H101" s="731" t="s">
        <v>97</v>
      </c>
      <c r="I101" s="731" t="s">
        <v>143</v>
      </c>
      <c r="J101" s="734" t="s">
        <v>101</v>
      </c>
      <c r="K101" s="727">
        <f>IFERROR(VLOOKUP($D101,$Y$9:$AC$10,2,FALSE)/IF($D101="Inhalation",IF($J101="Central Tendency",SUMIFS('Inhalation Exposure'!$K$6:$K$32,'Inhalation Exposure'!$B$6:$B$32,$B101,'Inhalation Exposure'!$D$6:$D$32,$C101),SUMIFS('Inhalation Exposure'!$J$6:$J$32,'Inhalation Exposure'!$B$6:$B$32,$B101,'Inhalation Exposure'!$D$6:$D$32,$C101)),IF($J101="Central Tendency",VLOOKUP($B101,'Dermal Crosswalk'!$A$6:$V$39,19,FALSE),VLOOKUP($B101,'Dermal Crosswalk'!$A$6:$V$39,14,FALSE))),"--")</f>
        <v>50.260613861200007</v>
      </c>
      <c r="L101" s="727">
        <f>IFERROR(VLOOKUP($D101,$Y$9:$AC$10,3,FALSE)/IF($D101="Inhalation",IF($J101="Central Tendency",SUMIFS('Inhalation Exposure'!$M$6:$M$32,'Inhalation Exposure'!$B$6:$B$32,$B101,'Inhalation Exposure'!$D$6:$D$32,$C101),SUMIFS('Inhalation Exposure'!$L$6:$L$32,'Inhalation Exposure'!$B$6:$B$32,$B101,'Inhalation Exposure'!$D$6:$D$32,$C101)),IF($J101="Central Tendency",VLOOKUP($B101,'Dermal Crosswalk'!$A$6:$V$39,20,FALSE),VLOOKUP($B101,'Dermal Crosswalk'!$A$6:$V$39,15,FALSE))),"--")</f>
        <v>148.70004100946747</v>
      </c>
      <c r="M101" s="727">
        <f>IFERROR(VLOOKUP($D101,$Y$9:$AC$10,4,FALSE)/IF($D101="Inhalation",IF($J101="Central Tendency",SUMIFS('Inhalation Exposure'!$O$6:$O$32,'Inhalation Exposure'!$B$6:$B$32,$B101,'Inhalation Exposure'!$D$6:$D$32,$C101),SUMIFS('Inhalation Exposure'!$N$6:$N$32,'Inhalation Exposure'!$B$6:$B$32,$B101,'Inhalation Exposure'!$D$6:$D$32,$C101)),IF($J101="Central Tendency",VLOOKUP($B101,'Dermal Crosswalk'!$A$6:$V$39,21,FALSE),VLOOKUP($B101,'Dermal Crosswalk'!$A$6:$V$39,16,FALSE))),"--")</f>
        <v>159.20817724080314</v>
      </c>
      <c r="N101" s="729">
        <f>IFERROR(VLOOKUP(D101,$Y$9:$AC$10,5,FALSE)*IF($D101="Inhalation",IF($J101="Central Tendency",SUMIFS('Inhalation Exposure'!$Q$6:$Q$32,'Inhalation Exposure'!$B$6:$B$32,$B101,'Inhalation Exposure'!$D$6:$D$32,$C101),SUMIFS('Inhalation Exposure'!$P$6:$P$32,'Inhalation Exposure'!$B$6:$B$32,$B101,'Inhalation Exposure'!$D$6:$D$32,$C101)),IF($J101="Central Tendency",VLOOKUP($B101,'Dermal Crosswalk'!$A$6:$V$39,22,FALSE),VLOOKUP($B101,'Dermal Crosswalk'!$A$6:$V$39,17,FALSE))),"--")</f>
        <v>5.2173263963990811E-4</v>
      </c>
      <c r="O101" s="279">
        <f>IFERROR(K101*T101, "--")</f>
        <v>502.60613861200005</v>
      </c>
      <c r="P101" s="279">
        <f>IFERROR(L101*U101, "--")</f>
        <v>1487.0004100946746</v>
      </c>
      <c r="Q101" s="279">
        <f>IFERROR(M101*V101, "--")</f>
        <v>1592.0817724080314</v>
      </c>
      <c r="R101" s="280">
        <f>IFERROR(N101/W101, "--")</f>
        <v>5.2173263963990812E-5</v>
      </c>
      <c r="T101" s="281">
        <v>10</v>
      </c>
      <c r="U101" s="282">
        <v>10</v>
      </c>
      <c r="V101" s="282">
        <v>10</v>
      </c>
      <c r="W101" s="283">
        <v>10</v>
      </c>
    </row>
    <row r="102" spans="2:23" ht="15.75" thickBot="1" x14ac:dyDescent="0.3">
      <c r="B102" s="277" t="s">
        <v>210</v>
      </c>
      <c r="C102" s="278" t="s">
        <v>97</v>
      </c>
      <c r="D102" s="278" t="s">
        <v>167</v>
      </c>
      <c r="E102" s="744"/>
      <c r="F102" s="744"/>
      <c r="G102" s="747"/>
      <c r="H102" s="732"/>
      <c r="I102" s="732"/>
      <c r="J102" s="735"/>
      <c r="K102" s="728"/>
      <c r="L102" s="728"/>
      <c r="M102" s="728"/>
      <c r="N102" s="730"/>
      <c r="O102" s="648" t="str">
        <f>CONCATENATE("(APF ",T101,")")</f>
        <v>(APF 10)</v>
      </c>
      <c r="P102" s="648" t="str">
        <f>CONCATENATE("(APF ",U101,")")</f>
        <v>(APF 10)</v>
      </c>
      <c r="Q102" s="648" t="str">
        <f>CONCATENATE("(APF ",V101,")")</f>
        <v>(APF 10)</v>
      </c>
      <c r="R102" s="648" t="str">
        <f>CONCATENATE("(APF ",W101,")")</f>
        <v>(APF 10)</v>
      </c>
      <c r="T102" s="287" t="s">
        <v>172</v>
      </c>
      <c r="U102" s="288" t="s">
        <v>172</v>
      </c>
      <c r="V102" s="288" t="s">
        <v>172</v>
      </c>
      <c r="W102" s="289" t="s">
        <v>172</v>
      </c>
    </row>
    <row r="103" spans="2:23" ht="15.75" customHeight="1" thickBot="1" x14ac:dyDescent="0.3">
      <c r="B103" s="277" t="s">
        <v>210</v>
      </c>
      <c r="C103" s="278" t="s">
        <v>97</v>
      </c>
      <c r="D103" s="278" t="s">
        <v>167</v>
      </c>
      <c r="E103" s="744"/>
      <c r="F103" s="744"/>
      <c r="G103" s="747"/>
      <c r="H103" s="732"/>
      <c r="I103" s="732"/>
      <c r="J103" s="734" t="s">
        <v>174</v>
      </c>
      <c r="K103" s="727">
        <f>IFERROR(VLOOKUP($D103,$Y$9:$AC$10,2,FALSE)/IF($D103="Inhalation",IF($J103="Central Tendency",SUMIFS('Inhalation Exposure'!$K$6:$K$32,'Inhalation Exposure'!$B$6:$B$32,$B103,'Inhalation Exposure'!$D$6:$D$32,$C103),SUMIFS('Inhalation Exposure'!$J$6:$J$32,'Inhalation Exposure'!$B$6:$B$32,$B103,'Inhalation Exposure'!$D$6:$D$32,$C103)),IF($J103="Central Tendency",VLOOKUP($B103,'Dermal Crosswalk'!$A$6:$V$39,19,FALSE),VLOOKUP($B103,'Dermal Crosswalk'!$A$6:$V$39,14,FALSE))),"--")</f>
        <v>1.4271532330958021</v>
      </c>
      <c r="L103" s="727">
        <f>IFERROR(VLOOKUP($D103,$Y$9:$AC$10,3,FALSE)/IF($D103="Inhalation",IF($J103="Central Tendency",SUMIFS('Inhalation Exposure'!$M$6:$M$32,'Inhalation Exposure'!$B$6:$B$32,$B103,'Inhalation Exposure'!$D$6:$D$32,$C103),SUMIFS('Inhalation Exposure'!$L$6:$L$32,'Inhalation Exposure'!$B$6:$B$32,$B103,'Inhalation Exposure'!$D$6:$D$32,$C103)),IF($J103="Central Tendency",VLOOKUP($B103,'Dermal Crosswalk'!$A$6:$V$39,20,FALSE),VLOOKUP($B103,'Dermal Crosswalk'!$A$6:$V$39,15,FALSE))),"--")</f>
        <v>4.2223468434787046</v>
      </c>
      <c r="M103" s="727">
        <f>IFERROR(VLOOKUP($D103,$Y$9:$AC$10,4,FALSE)/IF($D103="Inhalation",IF($J103="Central Tendency",SUMIFS('Inhalation Exposure'!$O$6:$O$32,'Inhalation Exposure'!$B$6:$B$32,$B103,'Inhalation Exposure'!$D$6:$D$32,$C103),SUMIFS('Inhalation Exposure'!$N$6:$N$32,'Inhalation Exposure'!$B$6:$B$32,$B103,'Inhalation Exposure'!$D$6:$D$32,$C103)),IF($J103="Central Tendency",VLOOKUP($B103,'Dermal Crosswalk'!$A$6:$V$39,21,FALSE),VLOOKUP($B103,'Dermal Crosswalk'!$A$6:$V$39,16,FALSE))),"--")</f>
        <v>4.5207260204178663</v>
      </c>
      <c r="N103" s="729">
        <f>IFERROR(VLOOKUP(D103,$Y$9:$AC$10,5,FALSE)*IF($D103="Inhalation",IF($J103="Central Tendency",SUMIFS('Inhalation Exposure'!$Q$6:$Q$32,'Inhalation Exposure'!$B$6:$B$32,$B103,'Inhalation Exposure'!$D$6:$D$32,$C103),SUMIFS('Inhalation Exposure'!$P$6:$P$32,'Inhalation Exposure'!$B$6:$B$32,$B103,'Inhalation Exposure'!$D$6:$D$32,$C103)),IF($J103="Central Tendency",VLOOKUP($B103,'Dermal Crosswalk'!$A$6:$V$39,22,FALSE),VLOOKUP($B103,'Dermal Crosswalk'!$A$6:$V$39,17,FALSE))),"--")</f>
        <v>2.3708467776063148E-2</v>
      </c>
      <c r="O103" s="279">
        <f>IFERROR(K103*T103, "--")</f>
        <v>14.271532330958021</v>
      </c>
      <c r="P103" s="279">
        <f>IFERROR(L103*U103, "--")</f>
        <v>42.223468434787044</v>
      </c>
      <c r="Q103" s="279">
        <f>IFERROR(M103*V103, "--")</f>
        <v>45.207260204178667</v>
      </c>
      <c r="R103" s="280">
        <f>IFERROR(N103/W103, "--")</f>
        <v>4.7416935552126296E-4</v>
      </c>
      <c r="T103" s="290">
        <v>10</v>
      </c>
      <c r="U103" s="291">
        <v>10</v>
      </c>
      <c r="V103" s="291">
        <v>10</v>
      </c>
      <c r="W103" s="292">
        <v>50</v>
      </c>
    </row>
    <row r="104" spans="2:23" ht="15.75" thickBot="1" x14ac:dyDescent="0.3">
      <c r="B104" s="277" t="s">
        <v>210</v>
      </c>
      <c r="C104" s="278" t="s">
        <v>97</v>
      </c>
      <c r="D104" s="278" t="s">
        <v>167</v>
      </c>
      <c r="E104" s="744"/>
      <c r="F104" s="744"/>
      <c r="G104" s="747"/>
      <c r="H104" s="733"/>
      <c r="I104" s="733"/>
      <c r="J104" s="739"/>
      <c r="K104" s="728"/>
      <c r="L104" s="728"/>
      <c r="M104" s="728"/>
      <c r="N104" s="730"/>
      <c r="O104" s="649" t="str">
        <f>CONCATENATE("(APF ",T103,")")</f>
        <v>(APF 10)</v>
      </c>
      <c r="P104" s="649" t="str">
        <f>CONCATENATE("(APF ",U103,")")</f>
        <v>(APF 10)</v>
      </c>
      <c r="Q104" s="649" t="str">
        <f>CONCATENATE("(APF ",V103,")")</f>
        <v>(APF 10)</v>
      </c>
      <c r="R104" s="649" t="str">
        <f>CONCATENATE("(APF ",W103,")")</f>
        <v>(APF 50)</v>
      </c>
      <c r="T104" s="295" t="s">
        <v>172</v>
      </c>
      <c r="U104" s="296" t="s">
        <v>172</v>
      </c>
      <c r="V104" s="296" t="s">
        <v>172</v>
      </c>
      <c r="W104" s="297" t="s">
        <v>172</v>
      </c>
    </row>
    <row r="105" spans="2:23" ht="16.5" customHeight="1" thickTop="1" thickBot="1" x14ac:dyDescent="0.3">
      <c r="B105" s="277" t="s">
        <v>210</v>
      </c>
      <c r="C105" s="278" t="s">
        <v>97</v>
      </c>
      <c r="D105" s="278" t="s">
        <v>72</v>
      </c>
      <c r="E105" s="744"/>
      <c r="F105" s="744"/>
      <c r="G105" s="747"/>
      <c r="H105" s="732" t="s">
        <v>183</v>
      </c>
      <c r="I105" s="741" t="s">
        <v>72</v>
      </c>
      <c r="J105" s="737" t="s">
        <v>101</v>
      </c>
      <c r="K105" s="727">
        <f>IFERROR(VLOOKUP($D105,$Y$9:$AC$10,2,FALSE)/IF($D105="Inhalation",IF($J105="Central Tendency",SUMIFS('Inhalation Exposure'!$K$6:$K$32,'Inhalation Exposure'!$B$6:$B$32,$B105,'Inhalation Exposure'!$D$6:$D$32,$C105),SUMIFS('Inhalation Exposure'!$J$6:$J$32,'Inhalation Exposure'!$B$6:$B$32,$B105,'Inhalation Exposure'!$D$6:$D$32,$C105)),IF($J105="Central Tendency",VLOOKUP($B105,'Dermal Crosswalk'!$A$6:$V$39,19,FALSE),VLOOKUP($B105,'Dermal Crosswalk'!$A$6:$V$39,14,FALSE))),"--")</f>
        <v>708.50022251891414</v>
      </c>
      <c r="L105" s="727">
        <f>IFERROR(VLOOKUP($D105,$Y$9:$AC$10,3,FALSE)/IF($D105="Inhalation",IF($J105="Central Tendency",SUMIFS('Inhalation Exposure'!$M$6:$M$32,'Inhalation Exposure'!$B$6:$B$32,$B105,'Inhalation Exposure'!$D$6:$D$32,$C105),SUMIFS('Inhalation Exposure'!$L$6:$L$32,'Inhalation Exposure'!$B$6:$B$32,$B105,'Inhalation Exposure'!$D$6:$D$32,$C105)),IF($J105="Central Tendency",VLOOKUP($B105,'Dermal Crosswalk'!$A$6:$V$39,20,FALSE),VLOOKUP($B105,'Dermal Crosswalk'!$A$6:$V$39,15,FALSE))),"--")</f>
        <v>441.8011894647409</v>
      </c>
      <c r="M105" s="727">
        <f>IFERROR(VLOOKUP($D105,$Y$9:$AC$10,4,FALSE)/IF($D105="Inhalation",IF($J105="Central Tendency",SUMIFS('Inhalation Exposure'!$O$6:$O$32,'Inhalation Exposure'!$B$6:$B$32,$B105,'Inhalation Exposure'!$D$6:$D$32,$C105),SUMIFS('Inhalation Exposure'!$N$6:$N$32,'Inhalation Exposure'!$B$6:$B$32,$B105,'Inhalation Exposure'!$D$6:$D$32,$C105)),IF($J105="Central Tendency",VLOOKUP($B105,'Dermal Crosswalk'!$A$6:$V$39,21,FALSE),VLOOKUP($B105,'Dermal Crosswalk'!$A$6:$V$39,16,FALSE))),"--")</f>
        <v>473.02180685358252</v>
      </c>
      <c r="N105" s="729" t="str">
        <f>IFERROR(VLOOKUP(D105,$Y$9:$AC$10,5,FALSE)*IF($D105="Inhalation",IF($J105="Central Tendency",SUMIFS('Inhalation Exposure'!$Q$6:$Q$32,'Inhalation Exposure'!$B$6:$B$32,$B105,'Inhalation Exposure'!$D$6:$D$32,$C105),SUMIFS('Inhalation Exposure'!$P$6:$P$32,'Inhalation Exposure'!$B$6:$B$32,$B105,'Inhalation Exposure'!$D$6:$D$32,$C105)),IF($J105="Central Tendency",VLOOKUP($B105,'Dermal Crosswalk'!$A$6:$V$39,22,FALSE),VLOOKUP($B105,'Dermal Crosswalk'!$A$6:$V$39,17,FALSE))),"--")</f>
        <v>--</v>
      </c>
      <c r="O105" s="279">
        <f>IFERROR(K105*T105, "--")</f>
        <v>3542.5011125945707</v>
      </c>
      <c r="P105" s="279">
        <f>IFERROR(L105*U105, "--")</f>
        <v>2209.0059473237043</v>
      </c>
      <c r="Q105" s="279">
        <f>IFERROR(M105*V105, "--")</f>
        <v>2365.1090342679126</v>
      </c>
      <c r="R105" s="298" t="str">
        <f>IFERROR(N105/W105, "--")</f>
        <v>--</v>
      </c>
      <c r="T105" s="287">
        <v>5</v>
      </c>
      <c r="U105" s="288">
        <v>5</v>
      </c>
      <c r="V105" s="288">
        <v>5</v>
      </c>
      <c r="W105" s="289">
        <v>5</v>
      </c>
    </row>
    <row r="106" spans="2:23" ht="15.75" thickBot="1" x14ac:dyDescent="0.3">
      <c r="B106" s="277" t="s">
        <v>210</v>
      </c>
      <c r="C106" s="278" t="s">
        <v>97</v>
      </c>
      <c r="D106" s="278" t="s">
        <v>72</v>
      </c>
      <c r="E106" s="744"/>
      <c r="F106" s="744"/>
      <c r="G106" s="747"/>
      <c r="H106" s="732"/>
      <c r="I106" s="740"/>
      <c r="J106" s="738"/>
      <c r="K106" s="728"/>
      <c r="L106" s="728"/>
      <c r="M106" s="728"/>
      <c r="N106" s="730"/>
      <c r="O106" s="279" t="str">
        <f>CONCATENATE("(PF ",T105,")")</f>
        <v>(PF 5)</v>
      </c>
      <c r="P106" s="279" t="str">
        <f>CONCATENATE("(PF ",U105,")")</f>
        <v>(PF 5)</v>
      </c>
      <c r="Q106" s="279" t="str">
        <f>CONCATENATE("(PF ",V105,")")</f>
        <v>(PF 5)</v>
      </c>
      <c r="R106" s="298" t="str">
        <f>CONCATENATE("(PF ",W105,")")</f>
        <v>(PF 5)</v>
      </c>
      <c r="T106" s="295" t="s">
        <v>184</v>
      </c>
      <c r="U106" s="296" t="s">
        <v>184</v>
      </c>
      <c r="V106" s="296" t="s">
        <v>184</v>
      </c>
      <c r="W106" s="297" t="s">
        <v>184</v>
      </c>
    </row>
    <row r="107" spans="2:23" ht="15.75" thickBot="1" x14ac:dyDescent="0.3">
      <c r="B107" s="277" t="s">
        <v>210</v>
      </c>
      <c r="C107" s="278" t="s">
        <v>97</v>
      </c>
      <c r="D107" s="278" t="s">
        <v>72</v>
      </c>
      <c r="E107" s="744"/>
      <c r="F107" s="744"/>
      <c r="G107" s="747"/>
      <c r="H107" s="732"/>
      <c r="I107" s="732"/>
      <c r="J107" s="739" t="s">
        <v>174</v>
      </c>
      <c r="K107" s="727">
        <f>IFERROR(VLOOKUP($D107,$Y$9:$AC$10,2,FALSE)/IF($D107="Inhalation",IF($J107="Central Tendency",SUMIFS('Inhalation Exposure'!$K$6:$K$32,'Inhalation Exposure'!$B$6:$B$32,$B107,'Inhalation Exposure'!$D$6:$D$32,$C107),SUMIFS('Inhalation Exposure'!$J$6:$J$32,'Inhalation Exposure'!$B$6:$B$32,$B107,'Inhalation Exposure'!$D$6:$D$32,$C107)),IF($J107="Central Tendency",VLOOKUP($B107,'Dermal Crosswalk'!$A$6:$V$39,19,FALSE),VLOOKUP($B107,'Dermal Crosswalk'!$A$6:$V$39,14,FALSE))),"--")</f>
        <v>236.16674083963801</v>
      </c>
      <c r="L107" s="727">
        <f>IFERROR(VLOOKUP($D107,$Y$9:$AC$10,3,FALSE)/IF($D107="Inhalation",IF($J107="Central Tendency",SUMIFS('Inhalation Exposure'!$M$6:$M$32,'Inhalation Exposure'!$B$6:$B$32,$B107,'Inhalation Exposure'!$D$6:$D$32,$C107),SUMIFS('Inhalation Exposure'!$L$6:$L$32,'Inhalation Exposure'!$B$6:$B$32,$B107,'Inhalation Exposure'!$D$6:$D$32,$C107)),IF($J107="Central Tendency",VLOOKUP($B107,'Dermal Crosswalk'!$A$6:$V$39,20,FALSE),VLOOKUP($B107,'Dermal Crosswalk'!$A$6:$V$39,15,FALSE))),"--")</f>
        <v>147.26706315491359</v>
      </c>
      <c r="M107" s="727">
        <f>IFERROR(VLOOKUP($D107,$Y$9:$AC$10,4,FALSE)/IF($D107="Inhalation",IF($J107="Central Tendency",SUMIFS('Inhalation Exposure'!$O$6:$O$32,'Inhalation Exposure'!$B$6:$B$32,$B107,'Inhalation Exposure'!$D$6:$D$32,$C107),SUMIFS('Inhalation Exposure'!$N$6:$N$32,'Inhalation Exposure'!$B$6:$B$32,$B107,'Inhalation Exposure'!$D$6:$D$32,$C107)),IF($J107="Central Tendency",VLOOKUP($B107,'Dermal Crosswalk'!$A$6:$V$39,21,FALSE),VLOOKUP($B107,'Dermal Crosswalk'!$A$6:$V$39,16,FALSE))),"--")</f>
        <v>157.67393561786085</v>
      </c>
      <c r="N107" s="729" t="str">
        <f>IFERROR(VLOOKUP(D107,$Y$9:$AC$10,5,FALSE)*IF($D107="Inhalation",IF($J107="Central Tendency",SUMIFS('Inhalation Exposure'!$Q$6:$Q$32,'Inhalation Exposure'!$B$6:$B$32,$B107,'Inhalation Exposure'!$D$6:$D$32,$C107),SUMIFS('Inhalation Exposure'!$P$6:$P$32,'Inhalation Exposure'!$B$6:$B$32,$B107,'Inhalation Exposure'!$D$6:$D$32,$C107)),IF($J107="Central Tendency",VLOOKUP($B107,'Dermal Crosswalk'!$A$6:$V$39,22,FALSE),VLOOKUP($B107,'Dermal Crosswalk'!$A$6:$V$39,17,FALSE))),"--")</f>
        <v>--</v>
      </c>
      <c r="O107" s="647">
        <f>IFERROR(K107*T107, "--")</f>
        <v>1180.8337041981899</v>
      </c>
      <c r="P107" s="647">
        <f>IFERROR(L107*U107, "--")</f>
        <v>736.3353157745679</v>
      </c>
      <c r="Q107" s="647">
        <f>IFERROR(M107*V107, "--")</f>
        <v>788.36967808930422</v>
      </c>
      <c r="R107" s="299" t="str">
        <f>IFERROR(N107/W107, "--")</f>
        <v>--</v>
      </c>
      <c r="T107" s="287">
        <v>5</v>
      </c>
      <c r="U107" s="288">
        <v>5</v>
      </c>
      <c r="V107" s="288">
        <v>5</v>
      </c>
      <c r="W107" s="289">
        <v>5</v>
      </c>
    </row>
    <row r="108" spans="2:23" ht="15.75" thickBot="1" x14ac:dyDescent="0.3">
      <c r="B108" s="277" t="s">
        <v>210</v>
      </c>
      <c r="C108" s="278" t="s">
        <v>97</v>
      </c>
      <c r="D108" s="278" t="s">
        <v>72</v>
      </c>
      <c r="E108" s="744"/>
      <c r="F108" s="744"/>
      <c r="G108" s="747"/>
      <c r="H108" s="733"/>
      <c r="I108" s="733"/>
      <c r="J108" s="736"/>
      <c r="K108" s="728"/>
      <c r="L108" s="728"/>
      <c r="M108" s="728"/>
      <c r="N108" s="730"/>
      <c r="O108" s="649" t="str">
        <f>CONCATENATE("(PF ",T107,")")</f>
        <v>(PF 5)</v>
      </c>
      <c r="P108" s="649" t="str">
        <f>CONCATENATE("(PF ",U107,")")</f>
        <v>(PF 5)</v>
      </c>
      <c r="Q108" s="649" t="str">
        <f>CONCATENATE("(PF ",V107,")")</f>
        <v>(PF 5)</v>
      </c>
      <c r="R108" s="294" t="str">
        <f>CONCATENATE("(PF ",W107,")")</f>
        <v>(PF 5)</v>
      </c>
      <c r="T108" s="295" t="s">
        <v>184</v>
      </c>
      <c r="U108" s="296" t="s">
        <v>184</v>
      </c>
      <c r="V108" s="296" t="s">
        <v>184</v>
      </c>
      <c r="W108" s="297" t="s">
        <v>184</v>
      </c>
    </row>
    <row r="109" spans="2:23" ht="15.6" customHeight="1" thickTop="1" thickBot="1" x14ac:dyDescent="0.3">
      <c r="B109" s="277" t="s">
        <v>214</v>
      </c>
      <c r="C109" s="278" t="s">
        <v>97</v>
      </c>
      <c r="D109" s="278" t="s">
        <v>72</v>
      </c>
      <c r="E109" s="744"/>
      <c r="F109" s="744"/>
      <c r="G109" s="747"/>
      <c r="H109" s="732" t="s">
        <v>215</v>
      </c>
      <c r="I109" s="737" t="s">
        <v>72</v>
      </c>
      <c r="J109" s="737" t="s">
        <v>101</v>
      </c>
      <c r="K109" s="727">
        <f>IFERROR(VLOOKUP($D109,$Y$9:$AC$10,2,FALSE)/IF($D109="Inhalation",IF($J109="Central Tendency",SUMIFS('Inhalation Exposure'!$K$6:$K$32,'Inhalation Exposure'!$B$6:$B$32,$B109,'Inhalation Exposure'!$D$6:$D$32,$C109),SUMIFS('Inhalation Exposure'!$J$6:$J$32,'Inhalation Exposure'!$B$6:$B$32,$B109,'Inhalation Exposure'!$D$6:$D$32,$C109)),IF($J109="Central Tendency",VLOOKUP($B109,'Dermal Crosswalk'!$A$6:$V$39,19,FALSE),VLOOKUP($B109,'Dermal Crosswalk'!$A$6:$V$39,14,FALSE))),"--")</f>
        <v>35425.011125945704</v>
      </c>
      <c r="L109" s="727">
        <f>IFERROR(VLOOKUP($D109,$Y$9:$AC$10,3,FALSE)/IF($D109="Inhalation",IF($J109="Central Tendency",SUMIFS('Inhalation Exposure'!$M$6:$M$32,'Inhalation Exposure'!$B$6:$B$32,$B109,'Inhalation Exposure'!$D$6:$D$32,$C109),SUMIFS('Inhalation Exposure'!$L$6:$L$32,'Inhalation Exposure'!$B$6:$B$32,$B109,'Inhalation Exposure'!$D$6:$D$32,$C109)),IF($J109="Central Tendency",VLOOKUP($B109,'Dermal Crosswalk'!$A$6:$V$39,20,FALSE),VLOOKUP($B109,'Dermal Crosswalk'!$A$6:$V$39,15,FALSE))),"--")</f>
        <v>22090.059473237041</v>
      </c>
      <c r="M109" s="727">
        <f>IFERROR(VLOOKUP($D109,$Y$9:$AC$10,4,FALSE)/IF($D109="Inhalation",IF($J109="Central Tendency",SUMIFS('Inhalation Exposure'!$O$6:$O$32,'Inhalation Exposure'!$B$6:$B$32,$B109,'Inhalation Exposure'!$D$6:$D$32,$C109),SUMIFS('Inhalation Exposure'!$N$6:$N$32,'Inhalation Exposure'!$B$6:$B$32,$B109,'Inhalation Exposure'!$D$6:$D$32,$C109)),IF($J109="Central Tendency",VLOOKUP($B109,'Dermal Crosswalk'!$A$6:$V$39,21,FALSE),VLOOKUP($B109,'Dermal Crosswalk'!$A$6:$V$39,16,FALSE))),"--")</f>
        <v>23651.090342679126</v>
      </c>
      <c r="N109" s="729" t="str">
        <f>IFERROR(VLOOKUP(D109,$Y$9:$AC$10,5,FALSE)*IF($D109="Inhalation",IF($J109="Central Tendency",SUMIFS('Inhalation Exposure'!$Q$6:$Q$32,'Inhalation Exposure'!$B$6:$B$32,$B109,'Inhalation Exposure'!$D$6:$D$32,$C109),SUMIFS('Inhalation Exposure'!$P$6:$P$32,'Inhalation Exposure'!$B$6:$B$32,$B109,'Inhalation Exposure'!$D$6:$D$32,$C109)),IF($J109="Central Tendency",VLOOKUP($B109,'Dermal Crosswalk'!$A$6:$V$39,22,FALSE),VLOOKUP($B109,'Dermal Crosswalk'!$A$6:$V$39,17,FALSE))),"--")</f>
        <v>--</v>
      </c>
      <c r="O109" s="650"/>
      <c r="P109" s="650"/>
      <c r="Q109" s="650"/>
      <c r="R109" s="488"/>
      <c r="T109" s="287"/>
      <c r="U109" s="288"/>
      <c r="V109" s="288"/>
      <c r="W109" s="289"/>
    </row>
    <row r="110" spans="2:23" ht="15.75" thickBot="1" x14ac:dyDescent="0.3">
      <c r="B110" s="277" t="s">
        <v>214</v>
      </c>
      <c r="C110" s="278" t="s">
        <v>97</v>
      </c>
      <c r="D110" s="278" t="s">
        <v>72</v>
      </c>
      <c r="E110" s="744"/>
      <c r="F110" s="744"/>
      <c r="G110" s="747"/>
      <c r="H110" s="732"/>
      <c r="I110" s="732"/>
      <c r="J110" s="738"/>
      <c r="K110" s="728"/>
      <c r="L110" s="728"/>
      <c r="M110" s="728"/>
      <c r="N110" s="730"/>
      <c r="O110" s="650"/>
      <c r="P110" s="650"/>
      <c r="Q110" s="650"/>
      <c r="R110" s="488"/>
      <c r="T110" s="287"/>
      <c r="U110" s="288"/>
      <c r="V110" s="288"/>
      <c r="W110" s="289"/>
    </row>
    <row r="111" spans="2:23" ht="15.75" thickBot="1" x14ac:dyDescent="0.3">
      <c r="B111" s="277" t="s">
        <v>214</v>
      </c>
      <c r="C111" s="278" t="s">
        <v>97</v>
      </c>
      <c r="D111" s="278" t="s">
        <v>72</v>
      </c>
      <c r="E111" s="744"/>
      <c r="F111" s="744"/>
      <c r="G111" s="747"/>
      <c r="H111" s="732"/>
      <c r="I111" s="732"/>
      <c r="J111" s="739" t="s">
        <v>174</v>
      </c>
      <c r="K111" s="727">
        <f>IFERROR(VLOOKUP($D111,$Y$9:$AC$10,2,FALSE)/IF($D111="Inhalation",IF($J111="Central Tendency",SUMIFS('Inhalation Exposure'!$K$6:$K$32,'Inhalation Exposure'!$B$6:$B$32,$B111,'Inhalation Exposure'!$D$6:$D$32,$C111),SUMIFS('Inhalation Exposure'!$J$6:$J$32,'Inhalation Exposure'!$B$6:$B$32,$B111,'Inhalation Exposure'!$D$6:$D$32,$C111)),IF($J111="Central Tendency",VLOOKUP($B111,'Dermal Crosswalk'!$A$6:$V$39,19,FALSE),VLOOKUP($B111,'Dermal Crosswalk'!$A$6:$V$39,14,FALSE))),"--")</f>
        <v>11808.337041981902</v>
      </c>
      <c r="L111" s="727">
        <f>IFERROR(VLOOKUP($D111,$Y$9:$AC$10,3,FALSE)/IF($D111="Inhalation",IF($J111="Central Tendency",SUMIFS('Inhalation Exposure'!$M$6:$M$32,'Inhalation Exposure'!$B$6:$B$32,$B111,'Inhalation Exposure'!$D$6:$D$32,$C111),SUMIFS('Inhalation Exposure'!$L$6:$L$32,'Inhalation Exposure'!$B$6:$B$32,$B111,'Inhalation Exposure'!$D$6:$D$32,$C111)),IF($J111="Central Tendency",VLOOKUP($B111,'Dermal Crosswalk'!$A$6:$V$39,20,FALSE),VLOOKUP($B111,'Dermal Crosswalk'!$A$6:$V$39,15,FALSE))),"--")</f>
        <v>7363.3531577456815</v>
      </c>
      <c r="M111" s="727">
        <f>IFERROR(VLOOKUP($D111,$Y$9:$AC$10,4,FALSE)/IF($D111="Inhalation",IF($J111="Central Tendency",SUMIFS('Inhalation Exposure'!$O$6:$O$32,'Inhalation Exposure'!$B$6:$B$32,$B111,'Inhalation Exposure'!$D$6:$D$32,$C111),SUMIFS('Inhalation Exposure'!$N$6:$N$32,'Inhalation Exposure'!$B$6:$B$32,$B111,'Inhalation Exposure'!$D$6:$D$32,$C111)),IF($J111="Central Tendency",VLOOKUP($B111,'Dermal Crosswalk'!$A$6:$V$39,21,FALSE),VLOOKUP($B111,'Dermal Crosswalk'!$A$6:$V$39,16,FALSE))),"--")</f>
        <v>7883.6967808930422</v>
      </c>
      <c r="N111" s="729" t="str">
        <f>IFERROR(VLOOKUP(D111,$Y$9:$AC$10,5,FALSE)*IF($D111="Inhalation",IF($J111="Central Tendency",SUMIFS('Inhalation Exposure'!$Q$6:$Q$32,'Inhalation Exposure'!$B$6:$B$32,$B111,'Inhalation Exposure'!$D$6:$D$32,$C111),SUMIFS('Inhalation Exposure'!$P$6:$P$32,'Inhalation Exposure'!$B$6:$B$32,$B111,'Inhalation Exposure'!$D$6:$D$32,$C111)),IF($J111="Central Tendency",VLOOKUP($B111,'Dermal Crosswalk'!$A$6:$V$39,22,FALSE),VLOOKUP($B111,'Dermal Crosswalk'!$A$6:$V$39,17,FALSE))),"--")</f>
        <v>--</v>
      </c>
      <c r="O111" s="650"/>
      <c r="P111" s="650"/>
      <c r="Q111" s="650"/>
      <c r="R111" s="488"/>
      <c r="T111" s="287"/>
      <c r="U111" s="288"/>
      <c r="V111" s="288"/>
      <c r="W111" s="289"/>
    </row>
    <row r="112" spans="2:23" ht="15.75" thickBot="1" x14ac:dyDescent="0.3">
      <c r="B112" s="277" t="s">
        <v>214</v>
      </c>
      <c r="C112" s="278" t="s">
        <v>97</v>
      </c>
      <c r="D112" s="278" t="s">
        <v>72</v>
      </c>
      <c r="E112" s="744"/>
      <c r="F112" s="744"/>
      <c r="G112" s="747"/>
      <c r="H112" s="733"/>
      <c r="I112" s="733"/>
      <c r="J112" s="736"/>
      <c r="K112" s="728"/>
      <c r="L112" s="728"/>
      <c r="M112" s="728"/>
      <c r="N112" s="730"/>
      <c r="O112" s="650"/>
      <c r="P112" s="650"/>
      <c r="Q112" s="650"/>
      <c r="R112" s="488"/>
      <c r="T112" s="287"/>
      <c r="U112" s="288"/>
      <c r="V112" s="288"/>
      <c r="W112" s="289"/>
    </row>
    <row r="113" spans="2:23" ht="15.6" customHeight="1" thickTop="1" thickBot="1" x14ac:dyDescent="0.3">
      <c r="B113" s="277" t="s">
        <v>216</v>
      </c>
      <c r="C113" s="278" t="s">
        <v>97</v>
      </c>
      <c r="D113" s="278" t="s">
        <v>72</v>
      </c>
      <c r="E113" s="744"/>
      <c r="F113" s="744"/>
      <c r="G113" s="747"/>
      <c r="H113" s="732" t="s">
        <v>186</v>
      </c>
      <c r="I113" s="737" t="s">
        <v>72</v>
      </c>
      <c r="J113" s="737" t="s">
        <v>101</v>
      </c>
      <c r="K113" s="727">
        <f>IFERROR(VLOOKUP($D113,$Y$9:$AC$10,2,FALSE)/IF($D113="Inhalation",IF($J113="Central Tendency",SUMIFS('Inhalation Exposure'!$K$6:$K$32,'Inhalation Exposure'!$B$6:$B$32,$B113,'Inhalation Exposure'!$D$6:$D$32,$C113),SUMIFS('Inhalation Exposure'!$J$6:$J$32,'Inhalation Exposure'!$B$6:$B$32,$B113,'Inhalation Exposure'!$D$6:$D$32,$C113)),IF($J113="Central Tendency",VLOOKUP($B113,'Dermal Crosswalk'!$A$6:$V$39,19,FALSE),VLOOKUP($B113,'Dermal Crosswalk'!$A$6:$V$39,14,FALSE))),"--")</f>
        <v>491.69015038411993</v>
      </c>
      <c r="L113" s="727">
        <f>IFERROR(VLOOKUP($D113,$Y$9:$AC$10,3,FALSE)/IF($D113="Inhalation",IF($J113="Central Tendency",SUMIFS('Inhalation Exposure'!$M$6:$M$32,'Inhalation Exposure'!$B$6:$B$32,$B113,'Inhalation Exposure'!$D$6:$D$32,$C113),SUMIFS('Inhalation Exposure'!$L$6:$L$32,'Inhalation Exposure'!$B$6:$B$32,$B113,'Inhalation Exposure'!$D$6:$D$32,$C113)),IF($J113="Central Tendency",VLOOKUP($B113,'Dermal Crosswalk'!$A$6:$V$39,20,FALSE),VLOOKUP($B113,'Dermal Crosswalk'!$A$6:$V$39,15,FALSE))),"--")</f>
        <v>306.60441081513187</v>
      </c>
      <c r="M113" s="727">
        <f>IFERROR(VLOOKUP($D113,$Y$9:$AC$10,4,FALSE)/IF($D113="Inhalation",IF($J113="Central Tendency",SUMIFS('Inhalation Exposure'!$O$6:$O$32,'Inhalation Exposure'!$B$6:$B$32,$B113,'Inhalation Exposure'!$D$6:$D$32,$C113),SUMIFS('Inhalation Exposure'!$N$6:$N$32,'Inhalation Exposure'!$B$6:$B$32,$B113,'Inhalation Exposure'!$D$6:$D$32,$C113)),IF($J113="Central Tendency",VLOOKUP($B113,'Dermal Crosswalk'!$A$6:$V$39,21,FALSE),VLOOKUP($B113,'Dermal Crosswalk'!$A$6:$V$39,16,FALSE))),"--")</f>
        <v>328.27112251273451</v>
      </c>
      <c r="N113" s="729" t="str">
        <f>IFERROR(VLOOKUP(D113,$Y$9:$AC$10,5,FALSE)*IF($D113="Inhalation",IF($J113="Central Tendency",SUMIFS('Inhalation Exposure'!$Q$6:$Q$32,'Inhalation Exposure'!$B$6:$B$32,$B113,'Inhalation Exposure'!$D$6:$D$32,$C113),SUMIFS('Inhalation Exposure'!$P$6:$P$32,'Inhalation Exposure'!$B$6:$B$32,$B113,'Inhalation Exposure'!$D$6:$D$32,$C113)),IF($J113="Central Tendency",VLOOKUP($B113,'Dermal Crosswalk'!$A$6:$V$39,22,FALSE),VLOOKUP($B113,'Dermal Crosswalk'!$A$6:$V$39,17,FALSE))),"--")</f>
        <v>--</v>
      </c>
      <c r="O113" s="650"/>
      <c r="P113" s="650"/>
      <c r="Q113" s="650"/>
      <c r="R113" s="488"/>
      <c r="T113" s="287"/>
      <c r="U113" s="288"/>
      <c r="V113" s="288"/>
      <c r="W113" s="289"/>
    </row>
    <row r="114" spans="2:23" ht="15.75" thickBot="1" x14ac:dyDescent="0.3">
      <c r="B114" s="277" t="s">
        <v>216</v>
      </c>
      <c r="C114" s="278" t="s">
        <v>97</v>
      </c>
      <c r="D114" s="278" t="s">
        <v>72</v>
      </c>
      <c r="E114" s="744"/>
      <c r="F114" s="744"/>
      <c r="G114" s="747"/>
      <c r="H114" s="732"/>
      <c r="I114" s="732"/>
      <c r="J114" s="738"/>
      <c r="K114" s="728"/>
      <c r="L114" s="728"/>
      <c r="M114" s="728"/>
      <c r="N114" s="730"/>
      <c r="O114" s="650"/>
      <c r="P114" s="650"/>
      <c r="Q114" s="650"/>
      <c r="R114" s="488"/>
      <c r="T114" s="287"/>
      <c r="U114" s="288"/>
      <c r="V114" s="288"/>
      <c r="W114" s="289"/>
    </row>
    <row r="115" spans="2:23" ht="15.75" thickBot="1" x14ac:dyDescent="0.3">
      <c r="B115" s="277" t="s">
        <v>216</v>
      </c>
      <c r="C115" s="278" t="s">
        <v>97</v>
      </c>
      <c r="D115" s="278" t="s">
        <v>72</v>
      </c>
      <c r="E115" s="744"/>
      <c r="F115" s="744"/>
      <c r="G115" s="747"/>
      <c r="H115" s="732"/>
      <c r="I115" s="732"/>
      <c r="J115" s="739" t="s">
        <v>174</v>
      </c>
      <c r="K115" s="727">
        <f>IFERROR(VLOOKUP($D115,$Y$9:$AC$10,2,FALSE)/IF($D115="Inhalation",IF($J115="Central Tendency",SUMIFS('Inhalation Exposure'!$K$6:$K$32,'Inhalation Exposure'!$B$6:$B$32,$B115,'Inhalation Exposure'!$D$6:$D$32,$C115),SUMIFS('Inhalation Exposure'!$J$6:$J$32,'Inhalation Exposure'!$B$6:$B$32,$B115,'Inhalation Exposure'!$D$6:$D$32,$C115)),IF($J115="Central Tendency",VLOOKUP($B115,'Dermal Crosswalk'!$A$6:$V$39,19,FALSE),VLOOKUP($B115,'Dermal Crosswalk'!$A$6:$V$39,14,FALSE))),"--")</f>
        <v>287.64333343545377</v>
      </c>
      <c r="L115" s="727">
        <f>IFERROR(VLOOKUP($D115,$Y$9:$AC$10,3,FALSE)/IF($D115="Inhalation",IF($J115="Central Tendency",SUMIFS('Inhalation Exposure'!$M$6:$M$32,'Inhalation Exposure'!$B$6:$B$32,$B115,'Inhalation Exposure'!$D$6:$D$32,$C115),SUMIFS('Inhalation Exposure'!$L$6:$L$32,'Inhalation Exposure'!$B$6:$B$32,$B115,'Inhalation Exposure'!$D$6:$D$32,$C115)),IF($J115="Central Tendency",VLOOKUP($B115,'Dermal Crosswalk'!$A$6:$V$39,20,FALSE),VLOOKUP($B115,'Dermal Crosswalk'!$A$6:$V$39,15,FALSE))),"--")</f>
        <v>179.36644592937159</v>
      </c>
      <c r="M115" s="727">
        <f>IFERROR(VLOOKUP($D115,$Y$9:$AC$10,4,FALSE)/IF($D115="Inhalation",IF($J115="Central Tendency",SUMIFS('Inhalation Exposure'!$O$6:$O$32,'Inhalation Exposure'!$B$6:$B$32,$B115,'Inhalation Exposure'!$D$6:$D$32,$C115),SUMIFS('Inhalation Exposure'!$N$6:$N$32,'Inhalation Exposure'!$B$6:$B$32,$B115,'Inhalation Exposure'!$D$6:$D$32,$C115)),IF($J115="Central Tendency",VLOOKUP($B115,'Dermal Crosswalk'!$A$6:$V$39,21,FALSE),VLOOKUP($B115,'Dermal Crosswalk'!$A$6:$V$39,16,FALSE))),"--")</f>
        <v>192.04167477504717</v>
      </c>
      <c r="N115" s="729" t="str">
        <f>IFERROR(VLOOKUP(D115,$Y$9:$AC$10,5,FALSE)*IF($D115="Inhalation",IF($J115="Central Tendency",SUMIFS('Inhalation Exposure'!$Q$6:$Q$32,'Inhalation Exposure'!$B$6:$B$32,$B115,'Inhalation Exposure'!$D$6:$D$32,$C115),SUMIFS('Inhalation Exposure'!$P$6:$P$32,'Inhalation Exposure'!$B$6:$B$32,$B115,'Inhalation Exposure'!$D$6:$D$32,$C115)),IF($J115="Central Tendency",VLOOKUP($B115,'Dermal Crosswalk'!$A$6:$V$39,22,FALSE),VLOOKUP($B115,'Dermal Crosswalk'!$A$6:$V$39,17,FALSE))),"--")</f>
        <v>--</v>
      </c>
      <c r="O115" s="650"/>
      <c r="P115" s="650"/>
      <c r="Q115" s="650"/>
      <c r="R115" s="488"/>
      <c r="T115" s="287"/>
      <c r="U115" s="288"/>
      <c r="V115" s="288"/>
      <c r="W115" s="289"/>
    </row>
    <row r="116" spans="2:23" ht="15.75" thickBot="1" x14ac:dyDescent="0.3">
      <c r="B116" s="277" t="s">
        <v>216</v>
      </c>
      <c r="C116" s="278" t="s">
        <v>97</v>
      </c>
      <c r="D116" s="278" t="s">
        <v>72</v>
      </c>
      <c r="E116" s="744"/>
      <c r="F116" s="744"/>
      <c r="G116" s="747"/>
      <c r="H116" s="733"/>
      <c r="I116" s="733"/>
      <c r="J116" s="736"/>
      <c r="K116" s="728"/>
      <c r="L116" s="728"/>
      <c r="M116" s="728"/>
      <c r="N116" s="730"/>
      <c r="O116" s="650"/>
      <c r="P116" s="650"/>
      <c r="Q116" s="650"/>
      <c r="R116" s="488"/>
      <c r="T116" s="287"/>
      <c r="U116" s="288"/>
      <c r="V116" s="288"/>
      <c r="W116" s="289"/>
    </row>
    <row r="117" spans="2:23" ht="15.6" customHeight="1" thickTop="1" thickBot="1" x14ac:dyDescent="0.3">
      <c r="B117" s="277" t="s">
        <v>217</v>
      </c>
      <c r="C117" s="278" t="s">
        <v>97</v>
      </c>
      <c r="D117" s="278" t="s">
        <v>72</v>
      </c>
      <c r="E117" s="744"/>
      <c r="F117" s="744"/>
      <c r="G117" s="747"/>
      <c r="H117" s="732" t="s">
        <v>218</v>
      </c>
      <c r="I117" s="737" t="s">
        <v>72</v>
      </c>
      <c r="J117" s="737" t="s">
        <v>101</v>
      </c>
      <c r="K117" s="727">
        <f>IFERROR(VLOOKUP($D117,$Y$9:$AC$10,2,FALSE)/IF($D117="Inhalation",IF($J117="Central Tendency",SUMIFS('Inhalation Exposure'!$K$6:$K$32,'Inhalation Exposure'!$B$6:$B$32,$B117,'Inhalation Exposure'!$D$6:$D$32,$C117),SUMIFS('Inhalation Exposure'!$J$6:$J$32,'Inhalation Exposure'!$B$6:$B$32,$B117,'Inhalation Exposure'!$D$6:$D$32,$C117)),IF($J117="Central Tendency",VLOOKUP($B117,'Dermal Crosswalk'!$A$6:$V$39,19,FALSE),VLOOKUP($B117,'Dermal Crosswalk'!$A$6:$V$39,14,FALSE))),"--")</f>
        <v>24525.70878717722</v>
      </c>
      <c r="L117" s="727">
        <f>IFERROR(VLOOKUP($D117,$Y$9:$AC$10,3,FALSE)/IF($D117="Inhalation",IF($J117="Central Tendency",SUMIFS('Inhalation Exposure'!$M$6:$M$32,'Inhalation Exposure'!$B$6:$B$32,$B117,'Inhalation Exposure'!$D$6:$D$32,$C117),SUMIFS('Inhalation Exposure'!$L$6:$L$32,'Inhalation Exposure'!$B$6:$B$32,$B117,'Inhalation Exposure'!$D$6:$D$32,$C117)),IF($J117="Central Tendency",VLOOKUP($B117,'Dermal Crosswalk'!$A$6:$V$39,20,FALSE),VLOOKUP($B117,'Dermal Crosswalk'!$A$6:$V$39,15,FALSE))),"--")</f>
        <v>15293.555273867934</v>
      </c>
      <c r="M117" s="727">
        <f>IFERROR(VLOOKUP($D117,$Y$9:$AC$10,4,FALSE)/IF($D117="Inhalation",IF($J117="Central Tendency",SUMIFS('Inhalation Exposure'!$O$6:$O$32,'Inhalation Exposure'!$B$6:$B$32,$B117,'Inhalation Exposure'!$D$6:$D$32,$C117),SUMIFS('Inhalation Exposure'!$N$6:$N$32,'Inhalation Exposure'!$B$6:$B$32,$B117,'Inhalation Exposure'!$D$6:$D$32,$C117)),IF($J117="Central Tendency",VLOOKUP($B117,'Dermal Crosswalk'!$A$6:$V$39,21,FALSE),VLOOKUP($B117,'Dermal Crosswalk'!$A$6:$V$39,16,FALSE))),"--")</f>
        <v>16374.299846554602</v>
      </c>
      <c r="N117" s="729" t="str">
        <f>IFERROR(VLOOKUP(D117,$Y$9:$AC$10,5,FALSE)*IF($D117="Inhalation",IF($J117="Central Tendency",SUMIFS('Inhalation Exposure'!$Q$6:$Q$32,'Inhalation Exposure'!$B$6:$B$32,$B117,'Inhalation Exposure'!$D$6:$D$32,$C117),SUMIFS('Inhalation Exposure'!$P$6:$P$32,'Inhalation Exposure'!$B$6:$B$32,$B117,'Inhalation Exposure'!$D$6:$D$32,$C117)),IF($J117="Central Tendency",VLOOKUP($B117,'Dermal Crosswalk'!$A$6:$V$39,22,FALSE),VLOOKUP($B117,'Dermal Crosswalk'!$A$6:$V$39,17,FALSE))),"--")</f>
        <v>--</v>
      </c>
      <c r="O117" s="650"/>
      <c r="P117" s="650"/>
      <c r="Q117" s="650"/>
      <c r="R117" s="488"/>
      <c r="T117" s="287"/>
      <c r="U117" s="288"/>
      <c r="V117" s="288"/>
      <c r="W117" s="289"/>
    </row>
    <row r="118" spans="2:23" ht="15.75" thickBot="1" x14ac:dyDescent="0.3">
      <c r="B118" s="277" t="s">
        <v>217</v>
      </c>
      <c r="C118" s="278" t="s">
        <v>97</v>
      </c>
      <c r="D118" s="278" t="s">
        <v>72</v>
      </c>
      <c r="E118" s="744"/>
      <c r="F118" s="744"/>
      <c r="G118" s="747"/>
      <c r="H118" s="732"/>
      <c r="I118" s="732"/>
      <c r="J118" s="738"/>
      <c r="K118" s="728"/>
      <c r="L118" s="728"/>
      <c r="M118" s="728"/>
      <c r="N118" s="730"/>
      <c r="O118" s="650"/>
      <c r="P118" s="650"/>
      <c r="Q118" s="650"/>
      <c r="R118" s="488"/>
      <c r="T118" s="287"/>
      <c r="U118" s="288"/>
      <c r="V118" s="288"/>
      <c r="W118" s="289"/>
    </row>
    <row r="119" spans="2:23" ht="15.75" thickBot="1" x14ac:dyDescent="0.3">
      <c r="B119" s="277" t="s">
        <v>217</v>
      </c>
      <c r="C119" s="278" t="s">
        <v>97</v>
      </c>
      <c r="D119" s="278" t="s">
        <v>72</v>
      </c>
      <c r="E119" s="744"/>
      <c r="F119" s="744"/>
      <c r="G119" s="747"/>
      <c r="H119" s="732"/>
      <c r="I119" s="732"/>
      <c r="J119" s="739" t="s">
        <v>174</v>
      </c>
      <c r="K119" s="727">
        <f>IFERROR(VLOOKUP($D119,$Y$9:$AC$10,2,FALSE)/IF($D119="Inhalation",IF($J119="Central Tendency",SUMIFS('Inhalation Exposure'!$K$6:$K$32,'Inhalation Exposure'!$B$6:$B$32,$B119,'Inhalation Exposure'!$D$6:$D$32,$C119),SUMIFS('Inhalation Exposure'!$J$6:$J$32,'Inhalation Exposure'!$B$6:$B$32,$B119,'Inhalation Exposure'!$D$6:$D$32,$C119)),IF($J119="Central Tendency",VLOOKUP($B119,'Dermal Crosswalk'!$A$6:$V$39,19,FALSE),VLOOKUP($B119,'Dermal Crosswalk'!$A$6:$V$39,14,FALSE))),"--")</f>
        <v>14356.880193449766</v>
      </c>
      <c r="L119" s="727">
        <f>IFERROR(VLOOKUP($D119,$Y$9:$AC$10,3,FALSE)/IF($D119="Inhalation",IF($J119="Central Tendency",SUMIFS('Inhalation Exposure'!$M$6:$M$32,'Inhalation Exposure'!$B$6:$B$32,$B119,'Inhalation Exposure'!$D$6:$D$32,$C119),SUMIFS('Inhalation Exposure'!$L$6:$L$32,'Inhalation Exposure'!$B$6:$B$32,$B119,'Inhalation Exposure'!$D$6:$D$32,$C119)),IF($J119="Central Tendency",VLOOKUP($B119,'Dermal Crosswalk'!$A$6:$V$39,20,FALSE),VLOOKUP($B119,'Dermal Crosswalk'!$A$6:$V$39,15,FALSE))),"--")</f>
        <v>8952.5543463037593</v>
      </c>
      <c r="M119" s="727">
        <f>IFERROR(VLOOKUP($D119,$Y$9:$AC$10,4,FALSE)/IF($D119="Inhalation",IF($J119="Central Tendency",SUMIFS('Inhalation Exposure'!$O$6:$O$32,'Inhalation Exposure'!$B$6:$B$32,$B119,'Inhalation Exposure'!$D$6:$D$32,$C119),SUMIFS('Inhalation Exposure'!$N$6:$N$32,'Inhalation Exposure'!$B$6:$B$32,$B119,'Inhalation Exposure'!$D$6:$D$32,$C119)),IF($J119="Central Tendency",VLOOKUP($B119,'Dermal Crosswalk'!$A$6:$V$39,21,FALSE),VLOOKUP($B119,'Dermal Crosswalk'!$A$6:$V$39,16,FALSE))),"--")</f>
        <v>9585.2015201092254</v>
      </c>
      <c r="N119" s="729" t="str">
        <f>IFERROR(VLOOKUP(D119,$Y$9:$AC$10,5,FALSE)*IF($D119="Inhalation",IF($J119="Central Tendency",SUMIFS('Inhalation Exposure'!$Q$6:$Q$32,'Inhalation Exposure'!$B$6:$B$32,$B119,'Inhalation Exposure'!$D$6:$D$32,$C119),SUMIFS('Inhalation Exposure'!$P$6:$P$32,'Inhalation Exposure'!$B$6:$B$32,$B119,'Inhalation Exposure'!$D$6:$D$32,$C119)),IF($J119="Central Tendency",VLOOKUP($B119,'Dermal Crosswalk'!$A$6:$V$39,22,FALSE),VLOOKUP($B119,'Dermal Crosswalk'!$A$6:$V$39,17,FALSE))),"--")</f>
        <v>--</v>
      </c>
      <c r="O119" s="650"/>
      <c r="P119" s="650"/>
      <c r="Q119" s="650"/>
      <c r="R119" s="488"/>
      <c r="T119" s="287"/>
      <c r="U119" s="288"/>
      <c r="V119" s="288"/>
      <c r="W119" s="289"/>
    </row>
    <row r="120" spans="2:23" ht="15.75" thickBot="1" x14ac:dyDescent="0.3">
      <c r="B120" s="277" t="s">
        <v>217</v>
      </c>
      <c r="C120" s="278" t="s">
        <v>97</v>
      </c>
      <c r="D120" s="278" t="s">
        <v>72</v>
      </c>
      <c r="E120" s="744"/>
      <c r="F120" s="744"/>
      <c r="G120" s="747"/>
      <c r="H120" s="733"/>
      <c r="I120" s="733"/>
      <c r="J120" s="736"/>
      <c r="K120" s="728"/>
      <c r="L120" s="728"/>
      <c r="M120" s="728"/>
      <c r="N120" s="730"/>
      <c r="O120" s="650"/>
      <c r="P120" s="650"/>
      <c r="Q120" s="650"/>
      <c r="R120" s="488"/>
      <c r="T120" s="287"/>
      <c r="U120" s="288"/>
      <c r="V120" s="288"/>
      <c r="W120" s="289"/>
    </row>
    <row r="121" spans="2:23" ht="27" customHeight="1" thickTop="1" thickBot="1" x14ac:dyDescent="0.3">
      <c r="B121" s="277" t="s">
        <v>210</v>
      </c>
      <c r="C121" s="278" t="s">
        <v>100</v>
      </c>
      <c r="D121" s="278" t="s">
        <v>167</v>
      </c>
      <c r="E121" s="744"/>
      <c r="F121" s="744"/>
      <c r="G121" s="747"/>
      <c r="H121" s="737" t="s">
        <v>100</v>
      </c>
      <c r="I121" s="737" t="s">
        <v>143</v>
      </c>
      <c r="J121" s="306" t="s">
        <v>101</v>
      </c>
      <c r="K121" s="648">
        <f>IFERROR(VLOOKUP($D121,$Y$9:$AC$10,2,FALSE)/IF($D121="Inhalation",IF($J121="Central Tendency",SUMIFS('Inhalation Exposure'!$K$6:$K$32,'Inhalation Exposure'!$B$6:$B$32,$B121,'Inhalation Exposure'!$D$6:$D$32,$C121),SUMIFS('Inhalation Exposure'!$J$6:$J$32,'Inhalation Exposure'!$B$6:$B$32,$B121,'Inhalation Exposure'!$D$6:$D$32,$C121)),IF($J121="Central Tendency",VLOOKUP($B121,'Dermal Crosswalk'!$A$8:$V$21,17,FALSE),VLOOKUP($B121,'Dermal Crosswalk'!$A$8:$V$21,12,FALSE))),"--")</f>
        <v>50.260613861200007</v>
      </c>
      <c r="L121" s="300">
        <f>IFERROR(VLOOKUP($D121,$Y$9:$AC$10,3,FALSE)/IF($D121="Inhalation",IF($J121="Central Tendency",SUMIFS('Inhalation Exposure'!$M$6:$M$32,'Inhalation Exposure'!$B$6:$B$32,$B121,'Inhalation Exposure'!$D$6:$D$32,$C121),SUMIFS('Inhalation Exposure'!$L$6:$L$32,'Inhalation Exposure'!$B$6:$B$32,$B121,'Inhalation Exposure'!$D$6:$D$32,$C121)),IF($J121="Central Tendency",VLOOKUP($B121,'Dermal Crosswalk'!$A$8:$V$21,18,FALSE),VLOOKUP($B121,'Dermal Crosswalk'!$A$8:$V$21,13,FALSE))),"--")</f>
        <v>148.70004100946747</v>
      </c>
      <c r="M121" s="647">
        <f>IFERROR(VLOOKUP($D121,$Y$9:$AC$10,4,FALSE)/IF($D121="Inhalation",IF($J121="Central Tendency",SUMIFS('Inhalation Exposure'!$O$6:$O$32,'Inhalation Exposure'!$B$6:$B$32,$B121,'Inhalation Exposure'!$D$6:$D$32,$C121),SUMIFS('Inhalation Exposure'!$N$6:$N$32,'Inhalation Exposure'!$B$6:$B$32,$B121,'Inhalation Exposure'!$D$6:$D$32,$C121)),IF($J121="Central Tendency",VLOOKUP($B121,'Dermal Crosswalk'!$A$8:$V$21,19,FALSE),VLOOKUP($B121,'Dermal Crosswalk'!$A$8:$V$21,14,FALSE))),"--")</f>
        <v>159.20817724080314</v>
      </c>
      <c r="N121" s="301">
        <f>IFERROR(VLOOKUP(D121,$Y$9:$AC$10,5,FALSE)*IF($D121="Inhalation",IF($J121="Central Tendency",SUMIFS('Inhalation Exposure'!$Q$6:$Q$32,'Inhalation Exposure'!$B$6:$B$32,$B121,'Inhalation Exposure'!$D$6:$D$32,$C121),SUMIFS('Inhalation Exposure'!$P$6:$P$32,'Inhalation Exposure'!$B$6:$B$32,$B121,'Inhalation Exposure'!$D$6:$D$32,$C121)),IF($J121="Central Tendency",VLOOKUP($B121,'Dermal Crosswalk'!$A$8:$V$21,20,FALSE),VLOOKUP($B121,'Dermal Crosswalk'!$A$8:$V$21,15,FALSE))),"--")</f>
        <v>5.2173263963990811E-4</v>
      </c>
      <c r="O121" s="648" t="s">
        <v>187</v>
      </c>
      <c r="P121" s="648" t="s">
        <v>187</v>
      </c>
      <c r="Q121" s="648" t="s">
        <v>187</v>
      </c>
      <c r="R121" s="648" t="s">
        <v>187</v>
      </c>
      <c r="T121" s="287" t="s">
        <v>187</v>
      </c>
      <c r="U121" s="288" t="s">
        <v>187</v>
      </c>
      <c r="V121" s="288" t="s">
        <v>187</v>
      </c>
      <c r="W121" s="289" t="s">
        <v>187</v>
      </c>
    </row>
    <row r="122" spans="2:23" ht="15.75" thickBot="1" x14ac:dyDescent="0.3">
      <c r="B122" s="277" t="s">
        <v>210</v>
      </c>
      <c r="C122" s="278" t="s">
        <v>100</v>
      </c>
      <c r="D122" s="278" t="s">
        <v>167</v>
      </c>
      <c r="E122" s="745"/>
      <c r="F122" s="745"/>
      <c r="G122" s="748"/>
      <c r="H122" s="732"/>
      <c r="I122" s="738"/>
      <c r="J122" s="648" t="s">
        <v>174</v>
      </c>
      <c r="K122" s="648">
        <f>IFERROR(VLOOKUP($D122,$Y$9:$AC$10,2,FALSE)/IF($D122="Inhalation",IF($J122="Central Tendency",SUMIFS('Inhalation Exposure'!$K$6:$K$32,'Inhalation Exposure'!$B$6:$B$32,$B122,'Inhalation Exposure'!$D$6:$D$32,$C122),SUMIFS('Inhalation Exposure'!$J$6:$J$32,'Inhalation Exposure'!$B$6:$B$32,$B122,'Inhalation Exposure'!$D$6:$D$32,$C122)),IF($J122="Central Tendency",VLOOKUP($B122,'Dermal Crosswalk'!$A$8:$V$21,17,FALSE),VLOOKUP($B122,'Dermal Crosswalk'!$A$8:$V$21,12,FALSE))),"--")</f>
        <v>50.260613861200007</v>
      </c>
      <c r="L122" s="300">
        <f>IFERROR(VLOOKUP($D122,$Y$9:$AC$10,3,FALSE)/IF($D122="Inhalation",IF($J122="Central Tendency",SUMIFS('Inhalation Exposure'!$M$6:$M$32,'Inhalation Exposure'!$B$6:$B$32,$B122,'Inhalation Exposure'!$D$6:$D$32,$C122),SUMIFS('Inhalation Exposure'!$L$6:$L$32,'Inhalation Exposure'!$B$6:$B$32,$B122,'Inhalation Exposure'!$D$6:$D$32,$C122)),IF($J122="Central Tendency",VLOOKUP($B122,'Dermal Crosswalk'!$A$8:$V$21,18,FALSE),VLOOKUP($B122,'Dermal Crosswalk'!$A$8:$V$21,13,FALSE))),"--")</f>
        <v>148.70004100946747</v>
      </c>
      <c r="M122" s="647">
        <f>IFERROR(VLOOKUP($D122,$Y$9:$AC$10,4,FALSE)/IF($D122="Inhalation",IF($J122="Central Tendency",SUMIFS('Inhalation Exposure'!$O$6:$O$32,'Inhalation Exposure'!$B$6:$B$32,$B122,'Inhalation Exposure'!$D$6:$D$32,$C122),SUMIFS('Inhalation Exposure'!$N$6:$N$32,'Inhalation Exposure'!$B$6:$B$32,$B122,'Inhalation Exposure'!$D$6:$D$32,$C122)),IF($J122="Central Tendency",VLOOKUP($B122,'Dermal Crosswalk'!$A$8:$V$21,19,FALSE),VLOOKUP($B122,'Dermal Crosswalk'!$A$8:$V$21,14,FALSE))),"--")</f>
        <v>159.20817724080317</v>
      </c>
      <c r="N122" s="301">
        <f>IFERROR(VLOOKUP(D122,$Y$9:$AC$10,5,FALSE)*IF($D122="Inhalation",IF($J122="Central Tendency",SUMIFS('Inhalation Exposure'!$Q$6:$Q$32,'Inhalation Exposure'!$B$6:$B$32,$B122,'Inhalation Exposure'!$D$6:$D$32,$C122),SUMIFS('Inhalation Exposure'!$P$6:$P$32,'Inhalation Exposure'!$B$6:$B$32,$B122,'Inhalation Exposure'!$D$6:$D$32,$C122)),IF($J122="Central Tendency",VLOOKUP($B122,'Dermal Crosswalk'!$A$8:$V$21,20,FALSE),VLOOKUP($B122,'Dermal Crosswalk'!$A$8:$V$21,15,FALSE))),"--")</f>
        <v>6.7320340598697823E-4</v>
      </c>
      <c r="O122" s="302" t="s">
        <v>187</v>
      </c>
      <c r="P122" s="302" t="s">
        <v>187</v>
      </c>
      <c r="Q122" s="302" t="s">
        <v>187</v>
      </c>
      <c r="R122" s="302" t="s">
        <v>187</v>
      </c>
      <c r="T122" s="303" t="s">
        <v>187</v>
      </c>
      <c r="U122" s="304" t="s">
        <v>187</v>
      </c>
      <c r="V122" s="304" t="s">
        <v>187</v>
      </c>
      <c r="W122" s="305" t="s">
        <v>187</v>
      </c>
    </row>
    <row r="123" spans="2:23" ht="15.75" customHeight="1" thickBot="1" x14ac:dyDescent="0.3">
      <c r="B123" s="277" t="s">
        <v>219</v>
      </c>
      <c r="C123" s="278" t="s">
        <v>97</v>
      </c>
      <c r="D123" s="278" t="s">
        <v>167</v>
      </c>
      <c r="E123" s="743" t="s">
        <v>211</v>
      </c>
      <c r="F123" s="743" t="s">
        <v>212</v>
      </c>
      <c r="G123" s="746" t="s">
        <v>220</v>
      </c>
      <c r="H123" s="731" t="s">
        <v>97</v>
      </c>
      <c r="I123" s="731" t="s">
        <v>143</v>
      </c>
      <c r="J123" s="734" t="s">
        <v>101</v>
      </c>
      <c r="K123" s="727">
        <f>IFERROR(VLOOKUP($D123,$Y$9:$AC$10,2,FALSE)/IF($D123="Inhalation",IF($J123="Central Tendency",SUMIFS('Inhalation Exposure'!$K$6:$K$32,'Inhalation Exposure'!$B$6:$B$32,$B123,'Inhalation Exposure'!$D$6:$D$32,$C123),SUMIFS('Inhalation Exposure'!$J$6:$J$32,'Inhalation Exposure'!$B$6:$B$32,$B123,'Inhalation Exposure'!$D$6:$D$32,$C123)),IF($J123="Central Tendency",VLOOKUP($B123,'Dermal Crosswalk'!$A$6:$V$39,19,FALSE),VLOOKUP($B123,'Dermal Crosswalk'!$A$6:$V$39,14,FALSE))),"--")</f>
        <v>58.469998893474383</v>
      </c>
      <c r="L123" s="727">
        <f>IFERROR(VLOOKUP($D123,$Y$9:$AC$10,3,FALSE)/IF($D123="Inhalation",IF($J123="Central Tendency",SUMIFS('Inhalation Exposure'!$M$6:$M$32,'Inhalation Exposure'!$B$6:$B$32,$B123,'Inhalation Exposure'!$D$6:$D$32,$C123),SUMIFS('Inhalation Exposure'!$L$6:$L$32,'Inhalation Exposure'!$B$6:$B$32,$B123,'Inhalation Exposure'!$D$6:$D$32,$C123)),IF($J123="Central Tendency",VLOOKUP($B123,'Dermal Crosswalk'!$A$6:$V$39,20,FALSE),VLOOKUP($B123,'Dermal Crosswalk'!$A$6:$V$39,15,FALSE))),"--")</f>
        <v>172.98816240672892</v>
      </c>
      <c r="M123" s="727">
        <f>IFERROR(VLOOKUP($D123,$Y$9:$AC$10,4,FALSE)/IF($D123="Inhalation",IF($J123="Central Tendency",SUMIFS('Inhalation Exposure'!$O$6:$O$32,'Inhalation Exposure'!$B$6:$B$32,$B123,'Inhalation Exposure'!$D$6:$D$32,$C123),SUMIFS('Inhalation Exposure'!$N$6:$N$32,'Inhalation Exposure'!$B$6:$B$32,$B123,'Inhalation Exposure'!$D$6:$D$32,$C123)),IF($J123="Central Tendency",VLOOKUP($B123,'Dermal Crosswalk'!$A$6:$V$39,21,FALSE),VLOOKUP($B123,'Dermal Crosswalk'!$A$6:$V$39,16,FALSE))),"--")</f>
        <v>185.21265921680444</v>
      </c>
      <c r="N123" s="729">
        <f>IFERROR(VLOOKUP(D123,$Y$9:$AC$10,5,FALSE)*IF($D123="Inhalation",IF($J123="Central Tendency",SUMIFS('Inhalation Exposure'!$Q$6:$Q$32,'Inhalation Exposure'!$B$6:$B$32,$B123,'Inhalation Exposure'!$D$6:$D$32,$C123),SUMIFS('Inhalation Exposure'!$P$6:$P$32,'Inhalation Exposure'!$B$6:$B$32,$B123,'Inhalation Exposure'!$D$6:$D$32,$C123)),IF($J123="Central Tendency",VLOOKUP($B123,'Dermal Crosswalk'!$A$6:$V$39,22,FALSE),VLOOKUP($B123,'Dermal Crosswalk'!$A$6:$V$39,17,FALSE))),"--")</f>
        <v>4.4847961751291624E-4</v>
      </c>
      <c r="O123" s="279">
        <f>IFERROR(K123*T123, "--")</f>
        <v>584.69998893474383</v>
      </c>
      <c r="P123" s="279">
        <f>IFERROR(L123*U123, "--")</f>
        <v>1729.8816240672891</v>
      </c>
      <c r="Q123" s="279">
        <f>IFERROR(M123*V123, "--")</f>
        <v>1852.1265921680445</v>
      </c>
      <c r="R123" s="280">
        <f>IFERROR(N123/W123, "--")</f>
        <v>4.4847961751291622E-5</v>
      </c>
      <c r="T123" s="281">
        <v>10</v>
      </c>
      <c r="U123" s="282">
        <v>10</v>
      </c>
      <c r="V123" s="282">
        <v>10</v>
      </c>
      <c r="W123" s="283">
        <v>10</v>
      </c>
    </row>
    <row r="124" spans="2:23" ht="15.75" thickBot="1" x14ac:dyDescent="0.3">
      <c r="B124" s="277" t="s">
        <v>219</v>
      </c>
      <c r="C124" s="278" t="s">
        <v>97</v>
      </c>
      <c r="D124" s="278" t="s">
        <v>167</v>
      </c>
      <c r="E124" s="744"/>
      <c r="F124" s="744"/>
      <c r="G124" s="747"/>
      <c r="H124" s="732"/>
      <c r="I124" s="732"/>
      <c r="J124" s="735"/>
      <c r="K124" s="728"/>
      <c r="L124" s="728"/>
      <c r="M124" s="728"/>
      <c r="N124" s="730"/>
      <c r="O124" s="648" t="str">
        <f>CONCATENATE("(APF ",T123,")")</f>
        <v>(APF 10)</v>
      </c>
      <c r="P124" s="648" t="str">
        <f>CONCATENATE("(APF ",U123,")")</f>
        <v>(APF 10)</v>
      </c>
      <c r="Q124" s="648" t="str">
        <f>CONCATENATE("(APF ",V123,")")</f>
        <v>(APF 10)</v>
      </c>
      <c r="R124" s="648" t="str">
        <f>CONCATENATE("(APF ",W123,")")</f>
        <v>(APF 10)</v>
      </c>
      <c r="T124" s="287" t="s">
        <v>172</v>
      </c>
      <c r="U124" s="288" t="s">
        <v>172</v>
      </c>
      <c r="V124" s="288" t="s">
        <v>172</v>
      </c>
      <c r="W124" s="289" t="s">
        <v>172</v>
      </c>
    </row>
    <row r="125" spans="2:23" ht="15.75" thickBot="1" x14ac:dyDescent="0.3">
      <c r="B125" s="277" t="s">
        <v>219</v>
      </c>
      <c r="C125" s="278" t="s">
        <v>97</v>
      </c>
      <c r="D125" s="278" t="s">
        <v>167</v>
      </c>
      <c r="E125" s="744"/>
      <c r="F125" s="744"/>
      <c r="G125" s="747"/>
      <c r="H125" s="732"/>
      <c r="I125" s="732"/>
      <c r="J125" s="734" t="s">
        <v>174</v>
      </c>
      <c r="K125" s="727">
        <f>IFERROR(VLOOKUP($D125,$Y$9:$AC$10,2,FALSE)/IF($D125="Inhalation",IF($J125="Central Tendency",SUMIFS('Inhalation Exposure'!$K$6:$K$32,'Inhalation Exposure'!$B$6:$B$32,$B125,'Inhalation Exposure'!$D$6:$D$32,$C125),SUMIFS('Inhalation Exposure'!$J$6:$J$32,'Inhalation Exposure'!$B$6:$B$32,$B125,'Inhalation Exposure'!$D$6:$D$32,$C125)),IF($J125="Central Tendency",VLOOKUP($B125,'Dermal Crosswalk'!$A$6:$V$39,19,FALSE),VLOOKUP($B125,'Dermal Crosswalk'!$A$6:$V$39,14,FALSE))),"--")</f>
        <v>21.936955014856579</v>
      </c>
      <c r="L125" s="727">
        <f>IFERROR(VLOOKUP($D125,$Y$9:$AC$10,3,FALSE)/IF($D125="Inhalation",IF($J125="Central Tendency",SUMIFS('Inhalation Exposure'!$M$6:$M$32,'Inhalation Exposure'!$B$6:$B$32,$B125,'Inhalation Exposure'!$D$6:$D$32,$C125),SUMIFS('Inhalation Exposure'!$L$6:$L$32,'Inhalation Exposure'!$B$6:$B$32,$B125,'Inhalation Exposure'!$D$6:$D$32,$C125)),IF($J125="Central Tendency",VLOOKUP($B125,'Dermal Crosswalk'!$A$6:$V$39,20,FALSE),VLOOKUP($B125,'Dermal Crosswalk'!$A$6:$V$39,15,FALSE))),"--")</f>
        <v>64.902233771765026</v>
      </c>
      <c r="M125" s="727">
        <f>IFERROR(VLOOKUP($D125,$Y$9:$AC$10,4,FALSE)/IF($D125="Inhalation",IF($J125="Central Tendency",SUMIFS('Inhalation Exposure'!$O$6:$O$32,'Inhalation Exposure'!$B$6:$B$32,$B125,'Inhalation Exposure'!$D$6:$D$32,$C125),SUMIFS('Inhalation Exposure'!$N$6:$N$32,'Inhalation Exposure'!$B$6:$B$32,$B125,'Inhalation Exposure'!$D$6:$D$32,$C125)),IF($J125="Central Tendency",VLOOKUP($B125,'Dermal Crosswalk'!$A$6:$V$39,21,FALSE),VLOOKUP($B125,'Dermal Crosswalk'!$A$6:$V$39,16,FALSE))),"--")</f>
        <v>69.488658291636426</v>
      </c>
      <c r="N125" s="729">
        <f>IFERROR(VLOOKUP(D125,$Y$9:$AC$10,5,FALSE)*IF($D125="Inhalation",IF($J125="Central Tendency",SUMIFS('Inhalation Exposure'!$Q$6:$Q$32,'Inhalation Exposure'!$B$6:$B$32,$B125,'Inhalation Exposure'!$D$6:$D$32,$C125),SUMIFS('Inhalation Exposure'!$P$6:$P$32,'Inhalation Exposure'!$B$6:$B$32,$B125,'Inhalation Exposure'!$D$6:$D$32,$C125)),IF($J125="Central Tendency",VLOOKUP($B125,'Dermal Crosswalk'!$A$6:$V$39,22,FALSE),VLOOKUP($B125,'Dermal Crosswalk'!$A$6:$V$39,17,FALSE))),"--")</f>
        <v>1.5424025994237277E-3</v>
      </c>
      <c r="O125" s="279">
        <f>IFERROR(K125*T125, "--")</f>
        <v>219.36955014856579</v>
      </c>
      <c r="P125" s="279">
        <f>IFERROR(L125*U125, "--")</f>
        <v>649.02233771765032</v>
      </c>
      <c r="Q125" s="279">
        <f>IFERROR(M125*V125, "--")</f>
        <v>694.8865829163642</v>
      </c>
      <c r="R125" s="280">
        <f>IFERROR(N125/W125, "--")</f>
        <v>3.0848051988474554E-5</v>
      </c>
      <c r="T125" s="290">
        <v>10</v>
      </c>
      <c r="U125" s="291">
        <v>10</v>
      </c>
      <c r="V125" s="291">
        <v>10</v>
      </c>
      <c r="W125" s="292">
        <v>50</v>
      </c>
    </row>
    <row r="126" spans="2:23" ht="15.75" thickBot="1" x14ac:dyDescent="0.3">
      <c r="B126" s="277" t="s">
        <v>219</v>
      </c>
      <c r="C126" s="278" t="s">
        <v>97</v>
      </c>
      <c r="D126" s="278" t="s">
        <v>167</v>
      </c>
      <c r="E126" s="744"/>
      <c r="F126" s="744"/>
      <c r="G126" s="747"/>
      <c r="H126" s="733"/>
      <c r="I126" s="733"/>
      <c r="J126" s="736"/>
      <c r="K126" s="728"/>
      <c r="L126" s="728"/>
      <c r="M126" s="728"/>
      <c r="N126" s="730"/>
      <c r="O126" s="649" t="str">
        <f>CONCATENATE("(APF ",T125,")")</f>
        <v>(APF 10)</v>
      </c>
      <c r="P126" s="649" t="str">
        <f>CONCATENATE("(APF ",U125,")")</f>
        <v>(APF 10)</v>
      </c>
      <c r="Q126" s="649" t="str">
        <f>CONCATENATE("(APF ",V125,")")</f>
        <v>(APF 10)</v>
      </c>
      <c r="R126" s="649" t="str">
        <f>CONCATENATE("(APF ",W125,")")</f>
        <v>(APF 50)</v>
      </c>
      <c r="T126" s="295" t="s">
        <v>172</v>
      </c>
      <c r="U126" s="296" t="s">
        <v>172</v>
      </c>
      <c r="V126" s="296" t="s">
        <v>172</v>
      </c>
      <c r="W126" s="297" t="s">
        <v>172</v>
      </c>
    </row>
    <row r="127" spans="2:23" ht="16.5" customHeight="1" thickTop="1" thickBot="1" x14ac:dyDescent="0.3">
      <c r="B127" s="277" t="s">
        <v>219</v>
      </c>
      <c r="C127" s="278" t="s">
        <v>97</v>
      </c>
      <c r="D127" s="278" t="s">
        <v>72</v>
      </c>
      <c r="E127" s="744"/>
      <c r="F127" s="744"/>
      <c r="G127" s="747"/>
      <c r="H127" s="732" t="s">
        <v>183</v>
      </c>
      <c r="I127" s="737" t="s">
        <v>72</v>
      </c>
      <c r="J127" s="737" t="s">
        <v>101</v>
      </c>
      <c r="K127" s="727">
        <f>IFERROR(VLOOKUP($D127,$Y$9:$AC$10,2,FALSE)/IF($D127="Inhalation",IF($J127="Central Tendency",SUMIFS('Inhalation Exposure'!$K$6:$K$32,'Inhalation Exposure'!$B$6:$B$32,$B127,'Inhalation Exposure'!$D$6:$D$32,$C127),SUMIFS('Inhalation Exposure'!$J$6:$J$32,'Inhalation Exposure'!$B$6:$B$32,$B127,'Inhalation Exposure'!$D$6:$D$32,$C127)),IF($J127="Central Tendency",VLOOKUP($B127,'Dermal Crosswalk'!$A$6:$V$39,19,FALSE),VLOOKUP($B127,'Dermal Crosswalk'!$A$6:$V$39,14,FALSE))),"--")</f>
        <v>708.50022251891414</v>
      </c>
      <c r="L127" s="727">
        <f>IFERROR(VLOOKUP($D127,$Y$9:$AC$10,3,FALSE)/IF($D127="Inhalation",IF($J127="Central Tendency",SUMIFS('Inhalation Exposure'!$M$6:$M$32,'Inhalation Exposure'!$B$6:$B$32,$B127,'Inhalation Exposure'!$D$6:$D$32,$C127),SUMIFS('Inhalation Exposure'!$L$6:$L$32,'Inhalation Exposure'!$B$6:$B$32,$B127,'Inhalation Exposure'!$D$6:$D$32,$C127)),IF($J127="Central Tendency",VLOOKUP($B127,'Dermal Crosswalk'!$A$6:$V$39,20,FALSE),VLOOKUP($B127,'Dermal Crosswalk'!$A$6:$V$39,15,FALSE))),"--")</f>
        <v>441.8011894647409</v>
      </c>
      <c r="M127" s="727">
        <f>IFERROR(VLOOKUP($D127,$Y$9:$AC$10,4,FALSE)/IF($D127="Inhalation",IF($J127="Central Tendency",SUMIFS('Inhalation Exposure'!$O$6:$O$32,'Inhalation Exposure'!$B$6:$B$32,$B127,'Inhalation Exposure'!$D$6:$D$32,$C127),SUMIFS('Inhalation Exposure'!$N$6:$N$32,'Inhalation Exposure'!$B$6:$B$32,$B127,'Inhalation Exposure'!$D$6:$D$32,$C127)),IF($J127="Central Tendency",VLOOKUP($B127,'Dermal Crosswalk'!$A$6:$V$39,21,FALSE),VLOOKUP($B127,'Dermal Crosswalk'!$A$6:$V$39,16,FALSE))),"--")</f>
        <v>473.02180685358252</v>
      </c>
      <c r="N127" s="729" t="str">
        <f>IFERROR(VLOOKUP(D127,$Y$9:$AC$10,5,FALSE)*IF($D127="Inhalation",IF($J127="Central Tendency",SUMIFS('Inhalation Exposure'!$Q$6:$Q$32,'Inhalation Exposure'!$B$6:$B$32,$B127,'Inhalation Exposure'!$D$6:$D$32,$C127),SUMIFS('Inhalation Exposure'!$P$6:$P$32,'Inhalation Exposure'!$B$6:$B$32,$B127,'Inhalation Exposure'!$D$6:$D$32,$C127)),IF($J127="Central Tendency",VLOOKUP($B127,'Dermal Crosswalk'!$A$6:$V$39,22,FALSE),VLOOKUP($B127,'Dermal Crosswalk'!$A$6:$V$39,17,FALSE))),"--")</f>
        <v>--</v>
      </c>
      <c r="O127" s="279">
        <f>IFERROR(K127*T127, "--")</f>
        <v>3542.5011125945707</v>
      </c>
      <c r="P127" s="279">
        <f>IFERROR(L127*U127, "--")</f>
        <v>2209.0059473237043</v>
      </c>
      <c r="Q127" s="279">
        <f>IFERROR(M127*V127, "--")</f>
        <v>2365.1090342679126</v>
      </c>
      <c r="R127" s="298" t="str">
        <f>IFERROR(N127/W127, "--")</f>
        <v>--</v>
      </c>
      <c r="T127" s="287">
        <v>5</v>
      </c>
      <c r="U127" s="288">
        <v>5</v>
      </c>
      <c r="V127" s="288">
        <v>5</v>
      </c>
      <c r="W127" s="289">
        <v>5</v>
      </c>
    </row>
    <row r="128" spans="2:23" ht="15.75" thickBot="1" x14ac:dyDescent="0.3">
      <c r="B128" s="277" t="s">
        <v>219</v>
      </c>
      <c r="C128" s="278" t="s">
        <v>97</v>
      </c>
      <c r="D128" s="278" t="s">
        <v>72</v>
      </c>
      <c r="E128" s="744"/>
      <c r="F128" s="744"/>
      <c r="G128" s="747"/>
      <c r="H128" s="732"/>
      <c r="I128" s="732"/>
      <c r="J128" s="738"/>
      <c r="K128" s="728"/>
      <c r="L128" s="728"/>
      <c r="M128" s="728"/>
      <c r="N128" s="730"/>
      <c r="O128" s="279" t="str">
        <f>CONCATENATE("(PF ",T127,")")</f>
        <v>(PF 5)</v>
      </c>
      <c r="P128" s="279" t="str">
        <f>CONCATENATE("(PF ",U127,")")</f>
        <v>(PF 5)</v>
      </c>
      <c r="Q128" s="279" t="str">
        <f>CONCATENATE("(PF ",V127,")")</f>
        <v>(PF 5)</v>
      </c>
      <c r="R128" s="298" t="str">
        <f>CONCATENATE("(PF ",W127,")")</f>
        <v>(PF 5)</v>
      </c>
      <c r="T128" s="295" t="s">
        <v>184</v>
      </c>
      <c r="U128" s="296" t="s">
        <v>184</v>
      </c>
      <c r="V128" s="296" t="s">
        <v>184</v>
      </c>
      <c r="W128" s="297" t="s">
        <v>184</v>
      </c>
    </row>
    <row r="129" spans="2:23" ht="15.75" thickBot="1" x14ac:dyDescent="0.3">
      <c r="B129" s="277" t="s">
        <v>219</v>
      </c>
      <c r="C129" s="278" t="s">
        <v>97</v>
      </c>
      <c r="D129" s="278" t="s">
        <v>72</v>
      </c>
      <c r="E129" s="744"/>
      <c r="F129" s="744"/>
      <c r="G129" s="747"/>
      <c r="H129" s="732"/>
      <c r="I129" s="732"/>
      <c r="J129" s="739" t="s">
        <v>174</v>
      </c>
      <c r="K129" s="727">
        <f>IFERROR(VLOOKUP($D129,$Y$9:$AC$10,2,FALSE)/IF($D129="Inhalation",IF($J129="Central Tendency",SUMIFS('Inhalation Exposure'!$K$6:$K$32,'Inhalation Exposure'!$B$6:$B$32,$B129,'Inhalation Exposure'!$D$6:$D$32,$C129),SUMIFS('Inhalation Exposure'!$J$6:$J$32,'Inhalation Exposure'!$B$6:$B$32,$B129,'Inhalation Exposure'!$D$6:$D$32,$C129)),IF($J129="Central Tendency",VLOOKUP($B129,'Dermal Crosswalk'!$A$6:$V$39,19,FALSE),VLOOKUP($B129,'Dermal Crosswalk'!$A$6:$V$39,14,FALSE))),"--")</f>
        <v>236.16674083963801</v>
      </c>
      <c r="L129" s="727">
        <f>IFERROR(VLOOKUP($D129,$Y$9:$AC$10,3,FALSE)/IF($D129="Inhalation",IF($J129="Central Tendency",SUMIFS('Inhalation Exposure'!$M$6:$M$32,'Inhalation Exposure'!$B$6:$B$32,$B129,'Inhalation Exposure'!$D$6:$D$32,$C129),SUMIFS('Inhalation Exposure'!$L$6:$L$32,'Inhalation Exposure'!$B$6:$B$32,$B129,'Inhalation Exposure'!$D$6:$D$32,$C129)),IF($J129="Central Tendency",VLOOKUP($B129,'Dermal Crosswalk'!$A$6:$V$39,20,FALSE),VLOOKUP($B129,'Dermal Crosswalk'!$A$6:$V$39,15,FALSE))),"--")</f>
        <v>147.26706315491359</v>
      </c>
      <c r="M129" s="727">
        <f>IFERROR(VLOOKUP($D129,$Y$9:$AC$10,4,FALSE)/IF($D129="Inhalation",IF($J129="Central Tendency",SUMIFS('Inhalation Exposure'!$O$6:$O$32,'Inhalation Exposure'!$B$6:$B$32,$B129,'Inhalation Exposure'!$D$6:$D$32,$C129),SUMIFS('Inhalation Exposure'!$N$6:$N$32,'Inhalation Exposure'!$B$6:$B$32,$B129,'Inhalation Exposure'!$D$6:$D$32,$C129)),IF($J129="Central Tendency",VLOOKUP($B129,'Dermal Crosswalk'!$A$6:$V$39,21,FALSE),VLOOKUP($B129,'Dermal Crosswalk'!$A$6:$V$39,16,FALSE))),"--")</f>
        <v>157.67393561786085</v>
      </c>
      <c r="N129" s="729" t="str">
        <f>IFERROR(VLOOKUP(D129,$Y$9:$AC$10,5,FALSE)*IF($D129="Inhalation",IF($J129="Central Tendency",SUMIFS('Inhalation Exposure'!$Q$6:$Q$32,'Inhalation Exposure'!$B$6:$B$32,$B129,'Inhalation Exposure'!$D$6:$D$32,$C129),SUMIFS('Inhalation Exposure'!$P$6:$P$32,'Inhalation Exposure'!$B$6:$B$32,$B129,'Inhalation Exposure'!$D$6:$D$32,$C129)),IF($J129="Central Tendency",VLOOKUP($B129,'Dermal Crosswalk'!$A$6:$V$39,22,FALSE),VLOOKUP($B129,'Dermal Crosswalk'!$A$6:$V$39,17,FALSE))),"--")</f>
        <v>--</v>
      </c>
      <c r="O129" s="647">
        <f>IFERROR(K129*T129, "--")</f>
        <v>1180.8337041981899</v>
      </c>
      <c r="P129" s="647">
        <f>IFERROR(L129*U129, "--")</f>
        <v>736.3353157745679</v>
      </c>
      <c r="Q129" s="647">
        <f>IFERROR(M129*V129, "--")</f>
        <v>788.36967808930422</v>
      </c>
      <c r="R129" s="299" t="str">
        <f>IFERROR(N129/W129, "--")</f>
        <v>--</v>
      </c>
      <c r="T129" s="287">
        <v>5</v>
      </c>
      <c r="U129" s="288">
        <v>5</v>
      </c>
      <c r="V129" s="288">
        <v>5</v>
      </c>
      <c r="W129" s="289">
        <v>5</v>
      </c>
    </row>
    <row r="130" spans="2:23" ht="15.75" thickBot="1" x14ac:dyDescent="0.3">
      <c r="B130" s="277" t="s">
        <v>219</v>
      </c>
      <c r="C130" s="278" t="s">
        <v>97</v>
      </c>
      <c r="D130" s="278" t="s">
        <v>72</v>
      </c>
      <c r="E130" s="744"/>
      <c r="F130" s="744"/>
      <c r="G130" s="747"/>
      <c r="H130" s="733"/>
      <c r="I130" s="733"/>
      <c r="J130" s="736"/>
      <c r="K130" s="728"/>
      <c r="L130" s="728"/>
      <c r="M130" s="728"/>
      <c r="N130" s="730"/>
      <c r="O130" s="649" t="str">
        <f>CONCATENATE("(PF ",T129,")")</f>
        <v>(PF 5)</v>
      </c>
      <c r="P130" s="649" t="str">
        <f>CONCATENATE("(PF ",U129,")")</f>
        <v>(PF 5)</v>
      </c>
      <c r="Q130" s="649" t="str">
        <f>CONCATENATE("(PF ",V129,")")</f>
        <v>(PF 5)</v>
      </c>
      <c r="R130" s="294" t="str">
        <f>CONCATENATE("(PF ",W129,")")</f>
        <v>(PF 5)</v>
      </c>
      <c r="T130" s="295" t="s">
        <v>184</v>
      </c>
      <c r="U130" s="296" t="s">
        <v>184</v>
      </c>
      <c r="V130" s="296" t="s">
        <v>184</v>
      </c>
      <c r="W130" s="297" t="s">
        <v>184</v>
      </c>
    </row>
    <row r="131" spans="2:23" ht="15.6" customHeight="1" thickTop="1" thickBot="1" x14ac:dyDescent="0.3">
      <c r="B131" s="277" t="s">
        <v>221</v>
      </c>
      <c r="C131" s="278" t="s">
        <v>97</v>
      </c>
      <c r="D131" s="278" t="s">
        <v>72</v>
      </c>
      <c r="E131" s="744"/>
      <c r="F131" s="744"/>
      <c r="G131" s="747"/>
      <c r="H131" s="732" t="s">
        <v>215</v>
      </c>
      <c r="I131" s="737" t="s">
        <v>72</v>
      </c>
      <c r="J131" s="737" t="s">
        <v>101</v>
      </c>
      <c r="K131" s="727">
        <f>IFERROR(VLOOKUP($D131,$Y$9:$AC$10,2,FALSE)/IF($D131="Inhalation",IF($J131="Central Tendency",SUMIFS('Inhalation Exposure'!$K$6:$K$32,'Inhalation Exposure'!$B$6:$B$32,$B131,'Inhalation Exposure'!$D$6:$D$32,$C131),SUMIFS('Inhalation Exposure'!$J$6:$J$32,'Inhalation Exposure'!$B$6:$B$32,$B131,'Inhalation Exposure'!$D$6:$D$32,$C131)),IF($J131="Central Tendency",VLOOKUP($B131,'Dermal Crosswalk'!$A$6:$V$39,19,FALSE),VLOOKUP($B131,'Dermal Crosswalk'!$A$6:$V$39,14,FALSE))),"--")</f>
        <v>35425.011125945704</v>
      </c>
      <c r="L131" s="727">
        <f>IFERROR(VLOOKUP($D131,$Y$9:$AC$10,3,FALSE)/IF($D131="Inhalation",IF($J131="Central Tendency",SUMIFS('Inhalation Exposure'!$M$6:$M$32,'Inhalation Exposure'!$B$6:$B$32,$B131,'Inhalation Exposure'!$D$6:$D$32,$C131),SUMIFS('Inhalation Exposure'!$L$6:$L$32,'Inhalation Exposure'!$B$6:$B$32,$B131,'Inhalation Exposure'!$D$6:$D$32,$C131)),IF($J131="Central Tendency",VLOOKUP($B131,'Dermal Crosswalk'!$A$6:$V$39,20,FALSE),VLOOKUP($B131,'Dermal Crosswalk'!$A$6:$V$39,15,FALSE))),"--")</f>
        <v>22090.059473237041</v>
      </c>
      <c r="M131" s="727">
        <f>IFERROR(VLOOKUP($D131,$Y$9:$AC$10,4,FALSE)/IF($D131="Inhalation",IF($J131="Central Tendency",SUMIFS('Inhalation Exposure'!$O$6:$O$32,'Inhalation Exposure'!$B$6:$B$32,$B131,'Inhalation Exposure'!$D$6:$D$32,$C131),SUMIFS('Inhalation Exposure'!$N$6:$N$32,'Inhalation Exposure'!$B$6:$B$32,$B131,'Inhalation Exposure'!$D$6:$D$32,$C131)),IF($J131="Central Tendency",VLOOKUP($B131,'Dermal Crosswalk'!$A$6:$V$39,21,FALSE),VLOOKUP($B131,'Dermal Crosswalk'!$A$6:$V$39,16,FALSE))),"--")</f>
        <v>23651.090342679126</v>
      </c>
      <c r="N131" s="729" t="str">
        <f>IFERROR(VLOOKUP(D131,$Y$9:$AC$10,5,FALSE)*IF($D131="Inhalation",IF($J131="Central Tendency",SUMIFS('Inhalation Exposure'!$Q$6:$Q$32,'Inhalation Exposure'!$B$6:$B$32,$B131,'Inhalation Exposure'!$D$6:$D$32,$C131),SUMIFS('Inhalation Exposure'!$P$6:$P$32,'Inhalation Exposure'!$B$6:$B$32,$B131,'Inhalation Exposure'!$D$6:$D$32,$C131)),IF($J131="Central Tendency",VLOOKUP($B131,'Dermal Crosswalk'!$A$6:$V$39,22,FALSE),VLOOKUP($B131,'Dermal Crosswalk'!$A$6:$V$39,17,FALSE))),"--")</f>
        <v>--</v>
      </c>
      <c r="O131" s="650"/>
      <c r="P131" s="650"/>
      <c r="Q131" s="650"/>
      <c r="R131" s="488"/>
      <c r="T131" s="287"/>
      <c r="U131" s="288"/>
      <c r="V131" s="288"/>
      <c r="W131" s="289"/>
    </row>
    <row r="132" spans="2:23" ht="15.75" thickBot="1" x14ac:dyDescent="0.3">
      <c r="B132" s="277" t="s">
        <v>221</v>
      </c>
      <c r="C132" s="278" t="s">
        <v>97</v>
      </c>
      <c r="D132" s="278" t="s">
        <v>72</v>
      </c>
      <c r="E132" s="744"/>
      <c r="F132" s="744"/>
      <c r="G132" s="747"/>
      <c r="H132" s="732"/>
      <c r="I132" s="732"/>
      <c r="J132" s="738"/>
      <c r="K132" s="728"/>
      <c r="L132" s="728"/>
      <c r="M132" s="728"/>
      <c r="N132" s="730"/>
      <c r="O132" s="650"/>
      <c r="P132" s="650"/>
      <c r="Q132" s="650"/>
      <c r="R132" s="488"/>
      <c r="T132" s="287"/>
      <c r="U132" s="288"/>
      <c r="V132" s="288"/>
      <c r="W132" s="289"/>
    </row>
    <row r="133" spans="2:23" ht="15.75" thickBot="1" x14ac:dyDescent="0.3">
      <c r="B133" s="277" t="s">
        <v>221</v>
      </c>
      <c r="C133" s="278" t="s">
        <v>97</v>
      </c>
      <c r="D133" s="278" t="s">
        <v>72</v>
      </c>
      <c r="E133" s="744"/>
      <c r="F133" s="744"/>
      <c r="G133" s="747"/>
      <c r="H133" s="732"/>
      <c r="I133" s="732"/>
      <c r="J133" s="739" t="s">
        <v>174</v>
      </c>
      <c r="K133" s="727">
        <f>IFERROR(VLOOKUP($D133,$Y$9:$AC$10,2,FALSE)/IF($D133="Inhalation",IF($J133="Central Tendency",SUMIFS('Inhalation Exposure'!$K$6:$K$32,'Inhalation Exposure'!$B$6:$B$32,$B133,'Inhalation Exposure'!$D$6:$D$32,$C133),SUMIFS('Inhalation Exposure'!$J$6:$J$32,'Inhalation Exposure'!$B$6:$B$32,$B133,'Inhalation Exposure'!$D$6:$D$32,$C133)),IF($J133="Central Tendency",VLOOKUP($B133,'Dermal Crosswalk'!$A$6:$V$39,19,FALSE),VLOOKUP($B133,'Dermal Crosswalk'!$A$6:$V$39,14,FALSE))),"--")</f>
        <v>11808.337041981902</v>
      </c>
      <c r="L133" s="727">
        <f>IFERROR(VLOOKUP($D133,$Y$9:$AC$10,3,FALSE)/IF($D133="Inhalation",IF($J133="Central Tendency",SUMIFS('Inhalation Exposure'!$M$6:$M$32,'Inhalation Exposure'!$B$6:$B$32,$B133,'Inhalation Exposure'!$D$6:$D$32,$C133),SUMIFS('Inhalation Exposure'!$L$6:$L$32,'Inhalation Exposure'!$B$6:$B$32,$B133,'Inhalation Exposure'!$D$6:$D$32,$C133)),IF($J133="Central Tendency",VLOOKUP($B133,'Dermal Crosswalk'!$A$6:$V$39,20,FALSE),VLOOKUP($B133,'Dermal Crosswalk'!$A$6:$V$39,15,FALSE))),"--")</f>
        <v>7363.3531577456815</v>
      </c>
      <c r="M133" s="727">
        <f>IFERROR(VLOOKUP($D133,$Y$9:$AC$10,4,FALSE)/IF($D133="Inhalation",IF($J133="Central Tendency",SUMIFS('Inhalation Exposure'!$O$6:$O$32,'Inhalation Exposure'!$B$6:$B$32,$B133,'Inhalation Exposure'!$D$6:$D$32,$C133),SUMIFS('Inhalation Exposure'!$N$6:$N$32,'Inhalation Exposure'!$B$6:$B$32,$B133,'Inhalation Exposure'!$D$6:$D$32,$C133)),IF($J133="Central Tendency",VLOOKUP($B133,'Dermal Crosswalk'!$A$6:$V$39,21,FALSE),VLOOKUP($B133,'Dermal Crosswalk'!$A$6:$V$39,16,FALSE))),"--")</f>
        <v>7883.6967808930422</v>
      </c>
      <c r="N133" s="729" t="str">
        <f>IFERROR(VLOOKUP(D133,$Y$9:$AC$10,5,FALSE)*IF($D133="Inhalation",IF($J133="Central Tendency",SUMIFS('Inhalation Exposure'!$Q$6:$Q$32,'Inhalation Exposure'!$B$6:$B$32,$B133,'Inhalation Exposure'!$D$6:$D$32,$C133),SUMIFS('Inhalation Exposure'!$P$6:$P$32,'Inhalation Exposure'!$B$6:$B$32,$B133,'Inhalation Exposure'!$D$6:$D$32,$C133)),IF($J133="Central Tendency",VLOOKUP($B133,'Dermal Crosswalk'!$A$6:$V$39,22,FALSE),VLOOKUP($B133,'Dermal Crosswalk'!$A$6:$V$39,17,FALSE))),"--")</f>
        <v>--</v>
      </c>
      <c r="O133" s="650"/>
      <c r="P133" s="650"/>
      <c r="Q133" s="650"/>
      <c r="R133" s="488"/>
      <c r="T133" s="287"/>
      <c r="U133" s="288"/>
      <c r="V133" s="288"/>
      <c r="W133" s="289"/>
    </row>
    <row r="134" spans="2:23" ht="15.75" thickBot="1" x14ac:dyDescent="0.3">
      <c r="B134" s="277" t="s">
        <v>221</v>
      </c>
      <c r="C134" s="278" t="s">
        <v>97</v>
      </c>
      <c r="D134" s="278" t="s">
        <v>72</v>
      </c>
      <c r="E134" s="744"/>
      <c r="F134" s="744"/>
      <c r="G134" s="747"/>
      <c r="H134" s="733"/>
      <c r="I134" s="733"/>
      <c r="J134" s="736"/>
      <c r="K134" s="728"/>
      <c r="L134" s="728"/>
      <c r="M134" s="728"/>
      <c r="N134" s="730"/>
      <c r="O134" s="650"/>
      <c r="P134" s="650"/>
      <c r="Q134" s="650"/>
      <c r="R134" s="488"/>
      <c r="T134" s="287"/>
      <c r="U134" s="288"/>
      <c r="V134" s="288"/>
      <c r="W134" s="289"/>
    </row>
    <row r="135" spans="2:23" ht="15.6" customHeight="1" thickTop="1" thickBot="1" x14ac:dyDescent="0.3">
      <c r="B135" s="277" t="s">
        <v>222</v>
      </c>
      <c r="C135" s="278" t="s">
        <v>97</v>
      </c>
      <c r="D135" s="278" t="s">
        <v>72</v>
      </c>
      <c r="E135" s="744"/>
      <c r="F135" s="744"/>
      <c r="G135" s="747"/>
      <c r="H135" s="732" t="s">
        <v>186</v>
      </c>
      <c r="I135" s="737" t="s">
        <v>72</v>
      </c>
      <c r="J135" s="737" t="s">
        <v>101</v>
      </c>
      <c r="K135" s="727">
        <f>IFERROR(VLOOKUP($D135,$Y$9:$AC$10,2,FALSE)/IF($D135="Inhalation",IF($J135="Central Tendency",SUMIFS('Inhalation Exposure'!$K$6:$K$32,'Inhalation Exposure'!$B$6:$B$32,$B135,'Inhalation Exposure'!$D$6:$D$32,$C135),SUMIFS('Inhalation Exposure'!$J$6:$J$32,'Inhalation Exposure'!$B$6:$B$32,$B135,'Inhalation Exposure'!$D$6:$D$32,$C135)),IF($J135="Central Tendency",VLOOKUP($B135,'Dermal Crosswalk'!$A$6:$V$39,19,FALSE),VLOOKUP($B135,'Dermal Crosswalk'!$A$6:$V$39,14,FALSE))),"--")</f>
        <v>491.64408585650722</v>
      </c>
      <c r="L135" s="727">
        <f>IFERROR(VLOOKUP($D135,$Y$9:$AC$10,3,FALSE)/IF($D135="Inhalation",IF($J135="Central Tendency",SUMIFS('Inhalation Exposure'!$M$6:$M$32,'Inhalation Exposure'!$B$6:$B$32,$B135,'Inhalation Exposure'!$D$6:$D$32,$C135),SUMIFS('Inhalation Exposure'!$L$6:$L$32,'Inhalation Exposure'!$B$6:$B$32,$B135,'Inhalation Exposure'!$D$6:$D$32,$C135)),IF($J135="Central Tendency",VLOOKUP($B135,'Dermal Crosswalk'!$A$6:$V$39,20,FALSE),VLOOKUP($B135,'Dermal Crosswalk'!$A$6:$V$39,15,FALSE))),"--")</f>
        <v>306.57568624674843</v>
      </c>
      <c r="M135" s="727">
        <f>IFERROR(VLOOKUP($D135,$Y$9:$AC$10,4,FALSE)/IF($D135="Inhalation",IF($J135="Central Tendency",SUMIFS('Inhalation Exposure'!$O$6:$O$32,'Inhalation Exposure'!$B$6:$B$32,$B135,'Inhalation Exposure'!$D$6:$D$32,$C135),SUMIFS('Inhalation Exposure'!$N$6:$N$32,'Inhalation Exposure'!$B$6:$B$32,$B135,'Inhalation Exposure'!$D$6:$D$32,$C135)),IF($J135="Central Tendency",VLOOKUP($B135,'Dermal Crosswalk'!$A$6:$V$39,21,FALSE),VLOOKUP($B135,'Dermal Crosswalk'!$A$6:$V$39,16,FALSE))),"--")</f>
        <v>328.24036807485203</v>
      </c>
      <c r="N135" s="729" t="str">
        <f>IFERROR(VLOOKUP(D135,$Y$9:$AC$10,5,FALSE)*IF($D135="Inhalation",IF($J135="Central Tendency",SUMIFS('Inhalation Exposure'!$Q$6:$Q$32,'Inhalation Exposure'!$B$6:$B$32,$B135,'Inhalation Exposure'!$D$6:$D$32,$C135),SUMIFS('Inhalation Exposure'!$P$6:$P$32,'Inhalation Exposure'!$B$6:$B$32,$B135,'Inhalation Exposure'!$D$6:$D$32,$C135)),IF($J135="Central Tendency",VLOOKUP($B135,'Dermal Crosswalk'!$A$6:$V$39,22,FALSE),VLOOKUP($B135,'Dermal Crosswalk'!$A$6:$V$39,17,FALSE))),"--")</f>
        <v>--</v>
      </c>
      <c r="O135" s="650"/>
      <c r="P135" s="650"/>
      <c r="Q135" s="650"/>
      <c r="R135" s="488"/>
      <c r="T135" s="287"/>
      <c r="U135" s="288"/>
      <c r="V135" s="288"/>
      <c r="W135" s="289"/>
    </row>
    <row r="136" spans="2:23" ht="15.75" thickBot="1" x14ac:dyDescent="0.3">
      <c r="B136" s="277" t="s">
        <v>222</v>
      </c>
      <c r="C136" s="278" t="s">
        <v>97</v>
      </c>
      <c r="D136" s="278" t="s">
        <v>72</v>
      </c>
      <c r="E136" s="744"/>
      <c r="F136" s="744"/>
      <c r="G136" s="747"/>
      <c r="H136" s="732"/>
      <c r="I136" s="732"/>
      <c r="J136" s="738"/>
      <c r="K136" s="728"/>
      <c r="L136" s="728"/>
      <c r="M136" s="728"/>
      <c r="N136" s="730"/>
      <c r="O136" s="650"/>
      <c r="P136" s="650"/>
      <c r="Q136" s="650"/>
      <c r="R136" s="488"/>
      <c r="T136" s="287"/>
      <c r="U136" s="288"/>
      <c r="V136" s="288"/>
      <c r="W136" s="289"/>
    </row>
    <row r="137" spans="2:23" ht="15.75" thickBot="1" x14ac:dyDescent="0.3">
      <c r="B137" s="277" t="s">
        <v>222</v>
      </c>
      <c r="C137" s="278" t="s">
        <v>97</v>
      </c>
      <c r="D137" s="278" t="s">
        <v>72</v>
      </c>
      <c r="E137" s="744"/>
      <c r="F137" s="744"/>
      <c r="G137" s="747"/>
      <c r="H137" s="732"/>
      <c r="I137" s="732"/>
      <c r="J137" s="739" t="s">
        <v>174</v>
      </c>
      <c r="K137" s="727">
        <f>IFERROR(VLOOKUP($D137,$Y$9:$AC$10,2,FALSE)/IF($D137="Inhalation",IF($J137="Central Tendency",SUMIFS('Inhalation Exposure'!$K$6:$K$32,'Inhalation Exposure'!$B$6:$B$32,$B137,'Inhalation Exposure'!$D$6:$D$32,$C137),SUMIFS('Inhalation Exposure'!$J$6:$J$32,'Inhalation Exposure'!$B$6:$B$32,$B137,'Inhalation Exposure'!$D$6:$D$32,$C137)),IF($J137="Central Tendency",VLOOKUP($B137,'Dermal Crosswalk'!$A$6:$V$39,19,FALSE),VLOOKUP($B137,'Dermal Crosswalk'!$A$6:$V$39,14,FALSE))),"--")</f>
        <v>287.68293847951242</v>
      </c>
      <c r="L137" s="727">
        <f>IFERROR(VLOOKUP($D137,$Y$9:$AC$10,3,FALSE)/IF($D137="Inhalation",IF($J137="Central Tendency",SUMIFS('Inhalation Exposure'!$M$6:$M$32,'Inhalation Exposure'!$B$6:$B$32,$B137,'Inhalation Exposure'!$D$6:$D$32,$C137),SUMIFS('Inhalation Exposure'!$L$6:$L$32,'Inhalation Exposure'!$B$6:$B$32,$B137,'Inhalation Exposure'!$D$6:$D$32,$C137)),IF($J137="Central Tendency",VLOOKUP($B137,'Dermal Crosswalk'!$A$6:$V$39,20,FALSE),VLOOKUP($B137,'Dermal Crosswalk'!$A$6:$V$39,15,FALSE))),"--")</f>
        <v>179.39114254204407</v>
      </c>
      <c r="M137" s="727">
        <f>IFERROR(VLOOKUP($D137,$Y$9:$AC$10,4,FALSE)/IF($D137="Inhalation",IF($J137="Central Tendency",SUMIFS('Inhalation Exposure'!$O$6:$O$32,'Inhalation Exposure'!$B$6:$B$32,$B137,'Inhalation Exposure'!$D$6:$D$32,$C137),SUMIFS('Inhalation Exposure'!$N$6:$N$32,'Inhalation Exposure'!$B$6:$B$32,$B137,'Inhalation Exposure'!$D$6:$D$32,$C137)),IF($J137="Central Tendency",VLOOKUP($B137,'Dermal Crosswalk'!$A$6:$V$39,21,FALSE),VLOOKUP($B137,'Dermal Crosswalk'!$A$6:$V$39,16,FALSE))),"--")</f>
        <v>192.06811661501516</v>
      </c>
      <c r="N137" s="729" t="str">
        <f>IFERROR(VLOOKUP(D137,$Y$9:$AC$10,5,FALSE)*IF($D137="Inhalation",IF($J137="Central Tendency",SUMIFS('Inhalation Exposure'!$Q$6:$Q$32,'Inhalation Exposure'!$B$6:$B$32,$B137,'Inhalation Exposure'!$D$6:$D$32,$C137),SUMIFS('Inhalation Exposure'!$P$6:$P$32,'Inhalation Exposure'!$B$6:$B$32,$B137,'Inhalation Exposure'!$D$6:$D$32,$C137)),IF($J137="Central Tendency",VLOOKUP($B137,'Dermal Crosswalk'!$A$6:$V$39,22,FALSE),VLOOKUP($B137,'Dermal Crosswalk'!$A$6:$V$39,17,FALSE))),"--")</f>
        <v>--</v>
      </c>
      <c r="O137" s="650"/>
      <c r="P137" s="650"/>
      <c r="Q137" s="650"/>
      <c r="R137" s="488"/>
      <c r="T137" s="287"/>
      <c r="U137" s="288"/>
      <c r="V137" s="288"/>
      <c r="W137" s="289"/>
    </row>
    <row r="138" spans="2:23" ht="15.75" thickBot="1" x14ac:dyDescent="0.3">
      <c r="B138" s="277" t="s">
        <v>222</v>
      </c>
      <c r="C138" s="278" t="s">
        <v>97</v>
      </c>
      <c r="D138" s="278" t="s">
        <v>72</v>
      </c>
      <c r="E138" s="744"/>
      <c r="F138" s="744"/>
      <c r="G138" s="747"/>
      <c r="H138" s="733"/>
      <c r="I138" s="733"/>
      <c r="J138" s="736"/>
      <c r="K138" s="728"/>
      <c r="L138" s="728"/>
      <c r="M138" s="728"/>
      <c r="N138" s="730"/>
      <c r="O138" s="650"/>
      <c r="P138" s="650"/>
      <c r="Q138" s="650"/>
      <c r="R138" s="488"/>
      <c r="T138" s="287"/>
      <c r="U138" s="288"/>
      <c r="V138" s="288"/>
      <c r="W138" s="289"/>
    </row>
    <row r="139" spans="2:23" ht="15.6" customHeight="1" thickTop="1" thickBot="1" x14ac:dyDescent="0.3">
      <c r="B139" s="277" t="s">
        <v>223</v>
      </c>
      <c r="C139" s="278" t="s">
        <v>97</v>
      </c>
      <c r="D139" s="278" t="s">
        <v>72</v>
      </c>
      <c r="E139" s="744"/>
      <c r="F139" s="744"/>
      <c r="G139" s="747"/>
      <c r="H139" s="732" t="s">
        <v>218</v>
      </c>
      <c r="I139" s="737" t="s">
        <v>72</v>
      </c>
      <c r="J139" s="737" t="s">
        <v>101</v>
      </c>
      <c r="K139" s="727">
        <f>IFERROR(VLOOKUP($D139,$Y$9:$AC$10,2,FALSE)/IF($D139="Inhalation",IF($J139="Central Tendency",SUMIFS('Inhalation Exposure'!$K$6:$K$32,'Inhalation Exposure'!$B$6:$B$32,$B139,'Inhalation Exposure'!$D$6:$D$32,$C139),SUMIFS('Inhalation Exposure'!$J$6:$J$32,'Inhalation Exposure'!$B$6:$B$32,$B139,'Inhalation Exposure'!$D$6:$D$32,$C139)),IF($J139="Central Tendency",VLOOKUP($B139,'Dermal Crosswalk'!$A$6:$V$39,19,FALSE),VLOOKUP($B139,'Dermal Crosswalk'!$A$6:$V$39,14,FALSE))),"--")</f>
        <v>24525.70878717722</v>
      </c>
      <c r="L139" s="727">
        <f>IFERROR(VLOOKUP($D139,$Y$9:$AC$10,3,FALSE)/IF($D139="Inhalation",IF($J139="Central Tendency",SUMIFS('Inhalation Exposure'!$M$6:$M$32,'Inhalation Exposure'!$B$6:$B$32,$B139,'Inhalation Exposure'!$D$6:$D$32,$C139),SUMIFS('Inhalation Exposure'!$L$6:$L$32,'Inhalation Exposure'!$B$6:$B$32,$B139,'Inhalation Exposure'!$D$6:$D$32,$C139)),IF($J139="Central Tendency",VLOOKUP($B139,'Dermal Crosswalk'!$A$6:$V$39,20,FALSE),VLOOKUP($B139,'Dermal Crosswalk'!$A$6:$V$39,15,FALSE))),"--")</f>
        <v>15293.555273867934</v>
      </c>
      <c r="M139" s="727">
        <f>IFERROR(VLOOKUP($D139,$Y$9:$AC$10,4,FALSE)/IF($D139="Inhalation",IF($J139="Central Tendency",SUMIFS('Inhalation Exposure'!$O$6:$O$32,'Inhalation Exposure'!$B$6:$B$32,$B139,'Inhalation Exposure'!$D$6:$D$32,$C139),SUMIFS('Inhalation Exposure'!$N$6:$N$32,'Inhalation Exposure'!$B$6:$B$32,$B139,'Inhalation Exposure'!$D$6:$D$32,$C139)),IF($J139="Central Tendency",VLOOKUP($B139,'Dermal Crosswalk'!$A$6:$V$39,21,FALSE),VLOOKUP($B139,'Dermal Crosswalk'!$A$6:$V$39,16,FALSE))),"--")</f>
        <v>16374.299846554602</v>
      </c>
      <c r="N139" s="729" t="str">
        <f>IFERROR(VLOOKUP(D139,$Y$9:$AC$10,5,FALSE)*IF($D139="Inhalation",IF($J139="Central Tendency",SUMIFS('Inhalation Exposure'!$Q$6:$Q$32,'Inhalation Exposure'!$B$6:$B$32,$B139,'Inhalation Exposure'!$D$6:$D$32,$C139),SUMIFS('Inhalation Exposure'!$P$6:$P$32,'Inhalation Exposure'!$B$6:$B$32,$B139,'Inhalation Exposure'!$D$6:$D$32,$C139)),IF($J139="Central Tendency",VLOOKUP($B139,'Dermal Crosswalk'!$A$6:$V$39,22,FALSE),VLOOKUP($B139,'Dermal Crosswalk'!$A$6:$V$39,17,FALSE))),"--")</f>
        <v>--</v>
      </c>
      <c r="O139" s="650"/>
      <c r="P139" s="650"/>
      <c r="Q139" s="650"/>
      <c r="R139" s="488"/>
      <c r="T139" s="287"/>
      <c r="U139" s="288"/>
      <c r="V139" s="288"/>
      <c r="W139" s="289"/>
    </row>
    <row r="140" spans="2:23" ht="15.75" thickBot="1" x14ac:dyDescent="0.3">
      <c r="B140" s="277" t="s">
        <v>223</v>
      </c>
      <c r="C140" s="278" t="s">
        <v>97</v>
      </c>
      <c r="D140" s="278" t="s">
        <v>72</v>
      </c>
      <c r="E140" s="744"/>
      <c r="F140" s="744"/>
      <c r="G140" s="747"/>
      <c r="H140" s="732"/>
      <c r="I140" s="732"/>
      <c r="J140" s="738"/>
      <c r="K140" s="728"/>
      <c r="L140" s="728"/>
      <c r="M140" s="728"/>
      <c r="N140" s="730"/>
      <c r="O140" s="650"/>
      <c r="P140" s="650"/>
      <c r="Q140" s="650"/>
      <c r="R140" s="488"/>
      <c r="T140" s="287"/>
      <c r="U140" s="288"/>
      <c r="V140" s="288"/>
      <c r="W140" s="289"/>
    </row>
    <row r="141" spans="2:23" ht="15.75" thickBot="1" x14ac:dyDescent="0.3">
      <c r="B141" s="277" t="s">
        <v>223</v>
      </c>
      <c r="C141" s="278" t="s">
        <v>97</v>
      </c>
      <c r="D141" s="278" t="s">
        <v>72</v>
      </c>
      <c r="E141" s="744"/>
      <c r="F141" s="744"/>
      <c r="G141" s="747"/>
      <c r="H141" s="732"/>
      <c r="I141" s="732"/>
      <c r="J141" s="739" t="s">
        <v>174</v>
      </c>
      <c r="K141" s="727">
        <f>IFERROR(VLOOKUP($D141,$Y$9:$AC$10,2,FALSE)/IF($D141="Inhalation",IF($J141="Central Tendency",SUMIFS('Inhalation Exposure'!$K$6:$K$32,'Inhalation Exposure'!$B$6:$B$32,$B141,'Inhalation Exposure'!$D$6:$D$32,$C141),SUMIFS('Inhalation Exposure'!$J$6:$J$32,'Inhalation Exposure'!$B$6:$B$32,$B141,'Inhalation Exposure'!$D$6:$D$32,$C141)),IF($J141="Central Tendency",VLOOKUP($B141,'Dermal Crosswalk'!$A$6:$V$39,19,FALSE),VLOOKUP($B141,'Dermal Crosswalk'!$A$6:$V$39,14,FALSE))),"--")</f>
        <v>14356.880193449766</v>
      </c>
      <c r="L141" s="727">
        <f>IFERROR(VLOOKUP($D141,$Y$9:$AC$10,3,FALSE)/IF($D141="Inhalation",IF($J141="Central Tendency",SUMIFS('Inhalation Exposure'!$M$6:$M$32,'Inhalation Exposure'!$B$6:$B$32,$B141,'Inhalation Exposure'!$D$6:$D$32,$C141),SUMIFS('Inhalation Exposure'!$L$6:$L$32,'Inhalation Exposure'!$B$6:$B$32,$B141,'Inhalation Exposure'!$D$6:$D$32,$C141)),IF($J141="Central Tendency",VLOOKUP($B141,'Dermal Crosswalk'!$A$6:$V$39,20,FALSE),VLOOKUP($B141,'Dermal Crosswalk'!$A$6:$V$39,15,FALSE))),"--")</f>
        <v>8952.5543463037593</v>
      </c>
      <c r="M141" s="727">
        <f>IFERROR(VLOOKUP($D141,$Y$9:$AC$10,4,FALSE)/IF($D141="Inhalation",IF($J141="Central Tendency",SUMIFS('Inhalation Exposure'!$O$6:$O$32,'Inhalation Exposure'!$B$6:$B$32,$B141,'Inhalation Exposure'!$D$6:$D$32,$C141),SUMIFS('Inhalation Exposure'!$N$6:$N$32,'Inhalation Exposure'!$B$6:$B$32,$B141,'Inhalation Exposure'!$D$6:$D$32,$C141)),IF($J141="Central Tendency",VLOOKUP($B141,'Dermal Crosswalk'!$A$6:$V$39,21,FALSE),VLOOKUP($B141,'Dermal Crosswalk'!$A$6:$V$39,16,FALSE))),"--")</f>
        <v>9585.2015201092254</v>
      </c>
      <c r="N141" s="729" t="str">
        <f>IFERROR(VLOOKUP(D141,$Y$9:$AC$10,5,FALSE)*IF($D141="Inhalation",IF($J141="Central Tendency",SUMIFS('Inhalation Exposure'!$Q$6:$Q$32,'Inhalation Exposure'!$B$6:$B$32,$B141,'Inhalation Exposure'!$D$6:$D$32,$C141),SUMIFS('Inhalation Exposure'!$P$6:$P$32,'Inhalation Exposure'!$B$6:$B$32,$B141,'Inhalation Exposure'!$D$6:$D$32,$C141)),IF($J141="Central Tendency",VLOOKUP($B141,'Dermal Crosswalk'!$A$6:$V$39,22,FALSE),VLOOKUP($B141,'Dermal Crosswalk'!$A$6:$V$39,17,FALSE))),"--")</f>
        <v>--</v>
      </c>
      <c r="O141" s="650"/>
      <c r="P141" s="650"/>
      <c r="Q141" s="650"/>
      <c r="R141" s="488"/>
      <c r="T141" s="287"/>
      <c r="U141" s="288"/>
      <c r="V141" s="288"/>
      <c r="W141" s="289"/>
    </row>
    <row r="142" spans="2:23" ht="15.75" thickBot="1" x14ac:dyDescent="0.3">
      <c r="B142" s="277" t="s">
        <v>223</v>
      </c>
      <c r="C142" s="278" t="s">
        <v>97</v>
      </c>
      <c r="D142" s="278" t="s">
        <v>72</v>
      </c>
      <c r="E142" s="744"/>
      <c r="F142" s="744"/>
      <c r="G142" s="747"/>
      <c r="H142" s="733"/>
      <c r="I142" s="733"/>
      <c r="J142" s="736"/>
      <c r="K142" s="728"/>
      <c r="L142" s="728"/>
      <c r="M142" s="728"/>
      <c r="N142" s="730"/>
      <c r="O142" s="650"/>
      <c r="P142" s="650"/>
      <c r="Q142" s="650"/>
      <c r="R142" s="488"/>
      <c r="T142" s="287"/>
      <c r="U142" s="288"/>
      <c r="V142" s="288"/>
      <c r="W142" s="289"/>
    </row>
    <row r="143" spans="2:23" ht="27" thickTop="1" thickBot="1" x14ac:dyDescent="0.3">
      <c r="B143" s="277" t="s">
        <v>219</v>
      </c>
      <c r="C143" s="278" t="s">
        <v>100</v>
      </c>
      <c r="D143" s="278" t="s">
        <v>167</v>
      </c>
      <c r="E143" s="744"/>
      <c r="F143" s="744"/>
      <c r="G143" s="747"/>
      <c r="H143" s="737" t="s">
        <v>100</v>
      </c>
      <c r="I143" s="737" t="s">
        <v>143</v>
      </c>
      <c r="J143" s="306" t="s">
        <v>101</v>
      </c>
      <c r="K143" s="648">
        <f>IFERROR(VLOOKUP($D143,$Y$9:$AC$10,2,FALSE)/IF($D143="Inhalation",IF($J143="Central Tendency",SUMIFS('Inhalation Exposure'!$K$6:$K$32,'Inhalation Exposure'!$B$6:$B$32,$B143,'Inhalation Exposure'!$D$6:$D$32,$C143),SUMIFS('Inhalation Exposure'!$J$6:$J$32,'Inhalation Exposure'!$B$6:$B$32,$B143,'Inhalation Exposure'!$D$6:$D$32,$C143)),IF($J143="Central Tendency",VLOOKUP($B143,'Dermal Crosswalk'!$A$8:$V$21,17,FALSE),VLOOKUP($B143,'Dermal Crosswalk'!$A$8:$V$21,12,FALSE))),"--")</f>
        <v>58.469998893474383</v>
      </c>
      <c r="L143" s="300">
        <f>IFERROR(VLOOKUP($D143,$Y$9:$AC$10,3,FALSE)/IF($D143="Inhalation",IF($J143="Central Tendency",SUMIFS('Inhalation Exposure'!$M$6:$M$32,'Inhalation Exposure'!$B$6:$B$32,$B143,'Inhalation Exposure'!$D$6:$D$32,$C143),SUMIFS('Inhalation Exposure'!$L$6:$L$32,'Inhalation Exposure'!$B$6:$B$32,$B143,'Inhalation Exposure'!$D$6:$D$32,$C143)),IF($J143="Central Tendency",VLOOKUP($B143,'Dermal Crosswalk'!$A$8:$V$21,18,FALSE),VLOOKUP($B143,'Dermal Crosswalk'!$A$8:$V$21,13,FALSE))),"--")</f>
        <v>172.98816240672892</v>
      </c>
      <c r="M143" s="647">
        <f>IFERROR(VLOOKUP($D143,$Y$9:$AC$10,4,FALSE)/IF($D143="Inhalation",IF($J143="Central Tendency",SUMIFS('Inhalation Exposure'!$O$6:$O$32,'Inhalation Exposure'!$B$6:$B$32,$B143,'Inhalation Exposure'!$D$6:$D$32,$C143),SUMIFS('Inhalation Exposure'!$N$6:$N$32,'Inhalation Exposure'!$B$6:$B$32,$B143,'Inhalation Exposure'!$D$6:$D$32,$C143)),IF($J143="Central Tendency",VLOOKUP($B143,'Dermal Crosswalk'!$A$8:$V$21,19,FALSE),VLOOKUP($B143,'Dermal Crosswalk'!$A$8:$V$21,14,FALSE))),"--")</f>
        <v>185.21265921680444</v>
      </c>
      <c r="N143" s="301">
        <f>IFERROR(VLOOKUP(D143,$Y$9:$AC$10,5,FALSE)*IF($D143="Inhalation",IF($J143="Central Tendency",SUMIFS('Inhalation Exposure'!$Q$6:$Q$32,'Inhalation Exposure'!$B$6:$B$32,$B143,'Inhalation Exposure'!$D$6:$D$32,$C143),SUMIFS('Inhalation Exposure'!$P$6:$P$32,'Inhalation Exposure'!$B$6:$B$32,$B143,'Inhalation Exposure'!$D$6:$D$32,$C143)),IF($J143="Central Tendency",VLOOKUP($B143,'Dermal Crosswalk'!$A$8:$V$21,20,FALSE),VLOOKUP($B143,'Dermal Crosswalk'!$A$8:$V$21,15,FALSE))),"--")</f>
        <v>4.4847961751291624E-4</v>
      </c>
      <c r="O143" s="648" t="s">
        <v>187</v>
      </c>
      <c r="P143" s="648" t="s">
        <v>187</v>
      </c>
      <c r="Q143" s="648" t="s">
        <v>187</v>
      </c>
      <c r="R143" s="648" t="s">
        <v>187</v>
      </c>
      <c r="T143" s="287" t="s">
        <v>187</v>
      </c>
      <c r="U143" s="288" t="s">
        <v>187</v>
      </c>
      <c r="V143" s="288" t="s">
        <v>187</v>
      </c>
      <c r="W143" s="289" t="s">
        <v>187</v>
      </c>
    </row>
    <row r="144" spans="2:23" ht="15.75" thickBot="1" x14ac:dyDescent="0.3">
      <c r="B144" s="277" t="s">
        <v>219</v>
      </c>
      <c r="C144" s="278" t="s">
        <v>100</v>
      </c>
      <c r="D144" s="278" t="s">
        <v>167</v>
      </c>
      <c r="E144" s="745"/>
      <c r="F144" s="745"/>
      <c r="G144" s="748"/>
      <c r="H144" s="738"/>
      <c r="I144" s="738"/>
      <c r="J144" s="648" t="s">
        <v>174</v>
      </c>
      <c r="K144" s="648">
        <f>IFERROR(VLOOKUP($D144,$Y$9:$AC$10,2,FALSE)/IF($D144="Inhalation",IF($J144="Central Tendency",SUMIFS('Inhalation Exposure'!$K$6:$K$32,'Inhalation Exposure'!$B$6:$B$32,$B144,'Inhalation Exposure'!$D$6:$D$32,$C144),SUMIFS('Inhalation Exposure'!$J$6:$J$32,'Inhalation Exposure'!$B$6:$B$32,$B144,'Inhalation Exposure'!$D$6:$D$32,$C144)),IF($J144="Central Tendency",VLOOKUP($B144,'Dermal Crosswalk'!$A$8:$V$21,17,FALSE),VLOOKUP($B144,'Dermal Crosswalk'!$A$8:$V$21,12,FALSE))),"--")</f>
        <v>58.469998893474383</v>
      </c>
      <c r="L144" s="300">
        <f>IFERROR(VLOOKUP($D144,$Y$9:$AC$10,3,FALSE)/IF($D144="Inhalation",IF($J144="Central Tendency",SUMIFS('Inhalation Exposure'!$M$6:$M$32,'Inhalation Exposure'!$B$6:$B$32,$B144,'Inhalation Exposure'!$D$6:$D$32,$C144),SUMIFS('Inhalation Exposure'!$L$6:$L$32,'Inhalation Exposure'!$B$6:$B$32,$B144,'Inhalation Exposure'!$D$6:$D$32,$C144)),IF($J144="Central Tendency",VLOOKUP($B144,'Dermal Crosswalk'!$A$8:$V$21,18,FALSE),VLOOKUP($B144,'Dermal Crosswalk'!$A$8:$V$21,13,FALSE))),"--")</f>
        <v>172.98816240672892</v>
      </c>
      <c r="M144" s="405">
        <f>IFERROR(VLOOKUP($D144,$Y$9:$AC$10,4,FALSE)/IF($D144="Inhalation",IF($J144="Central Tendency",SUMIFS('Inhalation Exposure'!$O$6:$O$32,'Inhalation Exposure'!$B$6:$B$32,$B144,'Inhalation Exposure'!$D$6:$D$32,$C144),SUMIFS('Inhalation Exposure'!$N$6:$N$32,'Inhalation Exposure'!$B$6:$B$32,$B144,'Inhalation Exposure'!$D$6:$D$32,$C144)),IF($J144="Central Tendency",VLOOKUP($B144,'Dermal Crosswalk'!$A$8:$V$21,19,FALSE),VLOOKUP($B144,'Dermal Crosswalk'!$A$8:$V$21,14,FALSE))),"--")</f>
        <v>185.21265921680444</v>
      </c>
      <c r="N144" s="301">
        <f>IFERROR(VLOOKUP(D144,$Y$9:$AC$10,5,FALSE)*IF($D144="Inhalation",IF($J144="Central Tendency",SUMIFS('Inhalation Exposure'!$Q$6:$Q$32,'Inhalation Exposure'!$B$6:$B$32,$B144,'Inhalation Exposure'!$D$6:$D$32,$C144),SUMIFS('Inhalation Exposure'!$P$6:$P$32,'Inhalation Exposure'!$B$6:$B$32,$B144,'Inhalation Exposure'!$D$6:$D$32,$C144)),IF($J144="Central Tendency",VLOOKUP($B144,'Dermal Crosswalk'!$A$8:$V$21,20,FALSE),VLOOKUP($B144,'Dermal Crosswalk'!$A$8:$V$21,15,FALSE))),"--")</f>
        <v>5.78683377436021E-4</v>
      </c>
      <c r="O144" s="302" t="s">
        <v>187</v>
      </c>
      <c r="P144" s="302" t="s">
        <v>187</v>
      </c>
      <c r="Q144" s="302" t="s">
        <v>187</v>
      </c>
      <c r="R144" s="302" t="s">
        <v>187</v>
      </c>
      <c r="T144" s="303" t="s">
        <v>187</v>
      </c>
      <c r="U144" s="304" t="s">
        <v>187</v>
      </c>
      <c r="V144" s="304" t="s">
        <v>187</v>
      </c>
      <c r="W144" s="305" t="s">
        <v>187</v>
      </c>
    </row>
    <row r="145" spans="2:23" x14ac:dyDescent="0.25">
      <c r="B145" s="307"/>
      <c r="C145" s="307"/>
      <c r="D145" s="307"/>
      <c r="E145" s="308"/>
      <c r="T145" s="11"/>
      <c r="U145" s="11"/>
      <c r="V145" s="11"/>
      <c r="W145" s="11"/>
    </row>
    <row r="146" spans="2:23" x14ac:dyDescent="0.25">
      <c r="B146" s="307"/>
      <c r="C146" s="307"/>
      <c r="D146" s="307"/>
      <c r="E146" s="308"/>
    </row>
    <row r="147" spans="2:23" x14ac:dyDescent="0.25">
      <c r="B147" s="307"/>
      <c r="C147" s="307"/>
      <c r="D147" s="307"/>
      <c r="E147" s="308"/>
    </row>
    <row r="148" spans="2:23" x14ac:dyDescent="0.25">
      <c r="B148" s="307"/>
      <c r="C148" s="307"/>
      <c r="D148" s="307"/>
      <c r="E148" s="308"/>
    </row>
    <row r="149" spans="2:23" x14ac:dyDescent="0.25">
      <c r="B149" s="307"/>
      <c r="C149" s="307"/>
      <c r="D149" s="307"/>
      <c r="E149" s="308"/>
    </row>
    <row r="150" spans="2:23" x14ac:dyDescent="0.25">
      <c r="B150" s="307"/>
      <c r="C150" s="307"/>
      <c r="D150" s="307"/>
      <c r="E150" s="309"/>
    </row>
    <row r="151" spans="2:23" x14ac:dyDescent="0.25">
      <c r="B151" s="307"/>
      <c r="C151" s="307"/>
      <c r="D151" s="307"/>
      <c r="E151" s="310"/>
    </row>
    <row r="152" spans="2:23" x14ac:dyDescent="0.25">
      <c r="B152" s="307"/>
      <c r="C152" s="307"/>
      <c r="D152" s="307"/>
      <c r="E152" s="309"/>
    </row>
    <row r="153" spans="2:23" x14ac:dyDescent="0.25">
      <c r="B153" s="307"/>
      <c r="C153" s="307"/>
      <c r="D153" s="307"/>
      <c r="E153" s="309"/>
    </row>
    <row r="154" spans="2:23" x14ac:dyDescent="0.25">
      <c r="B154" s="307"/>
      <c r="C154" s="307"/>
      <c r="D154" s="307"/>
      <c r="E154" s="309"/>
    </row>
    <row r="155" spans="2:23" x14ac:dyDescent="0.25">
      <c r="B155" s="307"/>
      <c r="C155" s="307"/>
      <c r="D155" s="307"/>
      <c r="E155" s="309"/>
    </row>
    <row r="156" spans="2:23" x14ac:dyDescent="0.25">
      <c r="B156" s="307"/>
      <c r="C156" s="307"/>
      <c r="D156" s="307"/>
      <c r="E156" s="309"/>
    </row>
    <row r="157" spans="2:23" x14ac:dyDescent="0.25">
      <c r="B157" s="307"/>
      <c r="C157" s="307"/>
      <c r="D157" s="307"/>
      <c r="E157" s="309"/>
    </row>
    <row r="158" spans="2:23" x14ac:dyDescent="0.25">
      <c r="E158" s="310"/>
    </row>
    <row r="159" spans="2:23" x14ac:dyDescent="0.25">
      <c r="E159" s="310"/>
    </row>
    <row r="160" spans="2:23" x14ac:dyDescent="0.25">
      <c r="E160" s="309"/>
    </row>
  </sheetData>
  <sheetProtection sheet="1" objects="1" scenarios="1" formatCells="0" formatColumns="0" formatRows="0"/>
  <mergeCells count="416">
    <mergeCell ref="N23:N24"/>
    <mergeCell ref="T7:W7"/>
    <mergeCell ref="L13:L14"/>
    <mergeCell ref="M13:M14"/>
    <mergeCell ref="N13:N14"/>
    <mergeCell ref="K15:K16"/>
    <mergeCell ref="L15:L16"/>
    <mergeCell ref="M15:M16"/>
    <mergeCell ref="N15:N16"/>
    <mergeCell ref="E9:E38"/>
    <mergeCell ref="F9:F38"/>
    <mergeCell ref="G9:G38"/>
    <mergeCell ref="H9:H12"/>
    <mergeCell ref="I9:I12"/>
    <mergeCell ref="J9:J10"/>
    <mergeCell ref="K9:K10"/>
    <mergeCell ref="M9:M10"/>
    <mergeCell ref="N9:N10"/>
    <mergeCell ref="J11:J12"/>
    <mergeCell ref="K11:K12"/>
    <mergeCell ref="M11:M12"/>
    <mergeCell ref="N11:N12"/>
    <mergeCell ref="H29:H32"/>
    <mergeCell ref="I29:I32"/>
    <mergeCell ref="J29:J30"/>
    <mergeCell ref="K29:K30"/>
    <mergeCell ref="M29:M30"/>
    <mergeCell ref="N29:N30"/>
    <mergeCell ref="J31:J32"/>
    <mergeCell ref="N31:N32"/>
    <mergeCell ref="L9:L10"/>
    <mergeCell ref="L11:L12"/>
    <mergeCell ref="L29:L30"/>
    <mergeCell ref="A1:R1"/>
    <mergeCell ref="K3:R3"/>
    <mergeCell ref="B7:B8"/>
    <mergeCell ref="C7:C8"/>
    <mergeCell ref="D7:D8"/>
    <mergeCell ref="E7:E8"/>
    <mergeCell ref="F7:F8"/>
    <mergeCell ref="G7:G8"/>
    <mergeCell ref="H7:H8"/>
    <mergeCell ref="I7:I8"/>
    <mergeCell ref="J7:J8"/>
    <mergeCell ref="K7:N7"/>
    <mergeCell ref="O7:R7"/>
    <mergeCell ref="L31:L32"/>
    <mergeCell ref="I85:I86"/>
    <mergeCell ref="J77:J78"/>
    <mergeCell ref="J79:J80"/>
    <mergeCell ref="J61:J62"/>
    <mergeCell ref="H77:H80"/>
    <mergeCell ref="F61:F86"/>
    <mergeCell ref="J63:J64"/>
    <mergeCell ref="K31:K32"/>
    <mergeCell ref="J41:J42"/>
    <mergeCell ref="H39:H42"/>
    <mergeCell ref="I39:I42"/>
    <mergeCell ref="J39:J40"/>
    <mergeCell ref="H37:H38"/>
    <mergeCell ref="I37:I38"/>
    <mergeCell ref="H61:H64"/>
    <mergeCell ref="I61:I64"/>
    <mergeCell ref="I77:I80"/>
    <mergeCell ref="K53:K54"/>
    <mergeCell ref="H59:H60"/>
    <mergeCell ref="I59:I60"/>
    <mergeCell ref="H47:H50"/>
    <mergeCell ref="I47:I50"/>
    <mergeCell ref="I33:I36"/>
    <mergeCell ref="M31:M32"/>
    <mergeCell ref="L63:L64"/>
    <mergeCell ref="L77:L78"/>
    <mergeCell ref="L79:L80"/>
    <mergeCell ref="K79:K80"/>
    <mergeCell ref="M79:M80"/>
    <mergeCell ref="N79:N80"/>
    <mergeCell ref="K61:K62"/>
    <mergeCell ref="M61:M62"/>
    <mergeCell ref="N61:N62"/>
    <mergeCell ref="M63:M64"/>
    <mergeCell ref="N41:N42"/>
    <mergeCell ref="K41:K42"/>
    <mergeCell ref="M41:M42"/>
    <mergeCell ref="L41:L42"/>
    <mergeCell ref="L61:L62"/>
    <mergeCell ref="K63:K64"/>
    <mergeCell ref="N63:N64"/>
    <mergeCell ref="K77:K78"/>
    <mergeCell ref="M77:M78"/>
    <mergeCell ref="N77:N78"/>
    <mergeCell ref="L39:L40"/>
    <mergeCell ref="K51:K52"/>
    <mergeCell ref="M51:M52"/>
    <mergeCell ref="K91:K92"/>
    <mergeCell ref="M91:M92"/>
    <mergeCell ref="N91:N92"/>
    <mergeCell ref="J93:J94"/>
    <mergeCell ref="K93:K94"/>
    <mergeCell ref="M93:M94"/>
    <mergeCell ref="N93:N94"/>
    <mergeCell ref="K87:K88"/>
    <mergeCell ref="M87:M88"/>
    <mergeCell ref="N87:N88"/>
    <mergeCell ref="J89:J90"/>
    <mergeCell ref="K89:K90"/>
    <mergeCell ref="M89:M90"/>
    <mergeCell ref="N89:N90"/>
    <mergeCell ref="J87:J88"/>
    <mergeCell ref="J91:J92"/>
    <mergeCell ref="L87:L88"/>
    <mergeCell ref="L89:L90"/>
    <mergeCell ref="L91:L92"/>
    <mergeCell ref="L93:L94"/>
    <mergeCell ref="E39:E60"/>
    <mergeCell ref="F39:F60"/>
    <mergeCell ref="F101:F122"/>
    <mergeCell ref="I51:I54"/>
    <mergeCell ref="H51:H54"/>
    <mergeCell ref="E61:E86"/>
    <mergeCell ref="G61:G86"/>
    <mergeCell ref="H85:H86"/>
    <mergeCell ref="I99:I100"/>
    <mergeCell ref="E101:E122"/>
    <mergeCell ref="G101:G122"/>
    <mergeCell ref="E87:E100"/>
    <mergeCell ref="F87:F100"/>
    <mergeCell ref="G87:G100"/>
    <mergeCell ref="H87:H90"/>
    <mergeCell ref="I87:I90"/>
    <mergeCell ref="H91:H94"/>
    <mergeCell ref="I91:I94"/>
    <mergeCell ref="H99:H100"/>
    <mergeCell ref="H121:H122"/>
    <mergeCell ref="I121:I122"/>
    <mergeCell ref="H43:H46"/>
    <mergeCell ref="I43:I46"/>
    <mergeCell ref="G39:G60"/>
    <mergeCell ref="J103:J104"/>
    <mergeCell ref="K103:K104"/>
    <mergeCell ref="M103:M104"/>
    <mergeCell ref="N103:N104"/>
    <mergeCell ref="H101:H104"/>
    <mergeCell ref="I101:I104"/>
    <mergeCell ref="H105:H108"/>
    <mergeCell ref="I105:I108"/>
    <mergeCell ref="J105:J106"/>
    <mergeCell ref="K105:K106"/>
    <mergeCell ref="M105:M106"/>
    <mergeCell ref="N105:N106"/>
    <mergeCell ref="J107:J108"/>
    <mergeCell ref="K107:K108"/>
    <mergeCell ref="M107:M108"/>
    <mergeCell ref="N107:N108"/>
    <mergeCell ref="J101:J102"/>
    <mergeCell ref="K101:K102"/>
    <mergeCell ref="M101:M102"/>
    <mergeCell ref="N101:N102"/>
    <mergeCell ref="L101:L102"/>
    <mergeCell ref="L103:L104"/>
    <mergeCell ref="L105:L106"/>
    <mergeCell ref="L107:L108"/>
    <mergeCell ref="E123:E144"/>
    <mergeCell ref="F123:F144"/>
    <mergeCell ref="G123:G144"/>
    <mergeCell ref="H123:H126"/>
    <mergeCell ref="I123:I126"/>
    <mergeCell ref="H127:H130"/>
    <mergeCell ref="I127:I130"/>
    <mergeCell ref="J127:J128"/>
    <mergeCell ref="K127:K128"/>
    <mergeCell ref="H143:H144"/>
    <mergeCell ref="I143:I144"/>
    <mergeCell ref="M127:M128"/>
    <mergeCell ref="N127:N128"/>
    <mergeCell ref="J129:J130"/>
    <mergeCell ref="K129:K130"/>
    <mergeCell ref="M129:M130"/>
    <mergeCell ref="N129:N130"/>
    <mergeCell ref="J123:J124"/>
    <mergeCell ref="K123:K124"/>
    <mergeCell ref="M123:M124"/>
    <mergeCell ref="N123:N124"/>
    <mergeCell ref="J125:J126"/>
    <mergeCell ref="K125:K126"/>
    <mergeCell ref="M125:M126"/>
    <mergeCell ref="N125:N126"/>
    <mergeCell ref="L123:L124"/>
    <mergeCell ref="L125:L126"/>
    <mergeCell ref="L127:L128"/>
    <mergeCell ref="L129:L130"/>
    <mergeCell ref="N25:N26"/>
    <mergeCell ref="J27:J28"/>
    <mergeCell ref="K27:K28"/>
    <mergeCell ref="L27:L28"/>
    <mergeCell ref="M27:M28"/>
    <mergeCell ref="N27:N28"/>
    <mergeCell ref="J17:J18"/>
    <mergeCell ref="K17:K18"/>
    <mergeCell ref="L17:L18"/>
    <mergeCell ref="M17:M18"/>
    <mergeCell ref="N17:N18"/>
    <mergeCell ref="J19:J20"/>
    <mergeCell ref="K19:K20"/>
    <mergeCell ref="L19:L20"/>
    <mergeCell ref="M19:M20"/>
    <mergeCell ref="N19:N20"/>
    <mergeCell ref="J21:J22"/>
    <mergeCell ref="L21:L22"/>
    <mergeCell ref="M21:M22"/>
    <mergeCell ref="N21:N22"/>
    <mergeCell ref="J23:J24"/>
    <mergeCell ref="K23:K24"/>
    <mergeCell ref="L23:L24"/>
    <mergeCell ref="M23:M24"/>
    <mergeCell ref="J33:J34"/>
    <mergeCell ref="J35:J36"/>
    <mergeCell ref="K33:K34"/>
    <mergeCell ref="H13:H16"/>
    <mergeCell ref="I13:I16"/>
    <mergeCell ref="J13:J14"/>
    <mergeCell ref="J15:J16"/>
    <mergeCell ref="K13:K14"/>
    <mergeCell ref="I17:I20"/>
    <mergeCell ref="H21:H24"/>
    <mergeCell ref="I21:I24"/>
    <mergeCell ref="K21:K22"/>
    <mergeCell ref="K39:K40"/>
    <mergeCell ref="M39:M40"/>
    <mergeCell ref="N51:N52"/>
    <mergeCell ref="N53:N54"/>
    <mergeCell ref="H55:H58"/>
    <mergeCell ref="H17:H20"/>
    <mergeCell ref="H25:H28"/>
    <mergeCell ref="I25:I28"/>
    <mergeCell ref="J25:J26"/>
    <mergeCell ref="K25:K26"/>
    <mergeCell ref="L25:L26"/>
    <mergeCell ref="M25:M26"/>
    <mergeCell ref="J45:J46"/>
    <mergeCell ref="K45:K46"/>
    <mergeCell ref="L45:L46"/>
    <mergeCell ref="M45:M46"/>
    <mergeCell ref="J47:J48"/>
    <mergeCell ref="K47:K48"/>
    <mergeCell ref="L47:L48"/>
    <mergeCell ref="M47:M48"/>
    <mergeCell ref="J49:J50"/>
    <mergeCell ref="J51:J52"/>
    <mergeCell ref="J53:J54"/>
    <mergeCell ref="H33:H36"/>
    <mergeCell ref="M43:M44"/>
    <mergeCell ref="N43:N44"/>
    <mergeCell ref="N45:N46"/>
    <mergeCell ref="N47:N48"/>
    <mergeCell ref="K49:K50"/>
    <mergeCell ref="L49:L50"/>
    <mergeCell ref="M49:M50"/>
    <mergeCell ref="N49:N50"/>
    <mergeCell ref="M53:M54"/>
    <mergeCell ref="L33:L34"/>
    <mergeCell ref="M33:M34"/>
    <mergeCell ref="N33:N34"/>
    <mergeCell ref="K35:K36"/>
    <mergeCell ref="L35:L36"/>
    <mergeCell ref="M35:M36"/>
    <mergeCell ref="N35:N36"/>
    <mergeCell ref="I55:I58"/>
    <mergeCell ref="J55:J56"/>
    <mergeCell ref="J57:J58"/>
    <mergeCell ref="K55:K56"/>
    <mergeCell ref="L55:L56"/>
    <mergeCell ref="M55:M56"/>
    <mergeCell ref="N55:N56"/>
    <mergeCell ref="K57:K58"/>
    <mergeCell ref="L57:L58"/>
    <mergeCell ref="M57:M58"/>
    <mergeCell ref="N57:N58"/>
    <mergeCell ref="N39:N40"/>
    <mergeCell ref="L51:L52"/>
    <mergeCell ref="L53:L54"/>
    <mergeCell ref="J43:J44"/>
    <mergeCell ref="K43:K44"/>
    <mergeCell ref="L43:L44"/>
    <mergeCell ref="H81:H84"/>
    <mergeCell ref="I81:I84"/>
    <mergeCell ref="J81:J82"/>
    <mergeCell ref="K81:K82"/>
    <mergeCell ref="L81:L82"/>
    <mergeCell ref="M81:M82"/>
    <mergeCell ref="N81:N82"/>
    <mergeCell ref="J83:J84"/>
    <mergeCell ref="K83:K84"/>
    <mergeCell ref="L83:L84"/>
    <mergeCell ref="M83:M84"/>
    <mergeCell ref="N83:N84"/>
    <mergeCell ref="H95:H98"/>
    <mergeCell ref="I95:I98"/>
    <mergeCell ref="J95:J96"/>
    <mergeCell ref="J97:J98"/>
    <mergeCell ref="K95:K96"/>
    <mergeCell ref="L95:L96"/>
    <mergeCell ref="M95:M96"/>
    <mergeCell ref="N95:N96"/>
    <mergeCell ref="K97:K98"/>
    <mergeCell ref="L97:L98"/>
    <mergeCell ref="M97:M98"/>
    <mergeCell ref="N97:N98"/>
    <mergeCell ref="H113:H116"/>
    <mergeCell ref="I113:I116"/>
    <mergeCell ref="J113:J114"/>
    <mergeCell ref="J115:J116"/>
    <mergeCell ref="H117:H120"/>
    <mergeCell ref="I117:I120"/>
    <mergeCell ref="J117:J118"/>
    <mergeCell ref="J119:J120"/>
    <mergeCell ref="K113:K114"/>
    <mergeCell ref="K119:K120"/>
    <mergeCell ref="L113:L114"/>
    <mergeCell ref="M113:M114"/>
    <mergeCell ref="N113:N114"/>
    <mergeCell ref="K115:K116"/>
    <mergeCell ref="L115:L116"/>
    <mergeCell ref="M115:M116"/>
    <mergeCell ref="N115:N116"/>
    <mergeCell ref="K117:K118"/>
    <mergeCell ref="L117:L118"/>
    <mergeCell ref="M117:M118"/>
    <mergeCell ref="N117:N118"/>
    <mergeCell ref="L119:L120"/>
    <mergeCell ref="M119:M120"/>
    <mergeCell ref="N119:N120"/>
    <mergeCell ref="H135:H138"/>
    <mergeCell ref="I135:I138"/>
    <mergeCell ref="J135:J136"/>
    <mergeCell ref="J137:J138"/>
    <mergeCell ref="H139:H142"/>
    <mergeCell ref="I139:I142"/>
    <mergeCell ref="J139:J140"/>
    <mergeCell ref="J141:J142"/>
    <mergeCell ref="K135:K136"/>
    <mergeCell ref="L135:L136"/>
    <mergeCell ref="M135:M136"/>
    <mergeCell ref="N135:N136"/>
    <mergeCell ref="K137:K138"/>
    <mergeCell ref="L137:L138"/>
    <mergeCell ref="M137:M138"/>
    <mergeCell ref="N137:N138"/>
    <mergeCell ref="K139:K140"/>
    <mergeCell ref="L139:L140"/>
    <mergeCell ref="M139:M140"/>
    <mergeCell ref="N139:N140"/>
    <mergeCell ref="K141:K142"/>
    <mergeCell ref="L141:L142"/>
    <mergeCell ref="M141:M142"/>
    <mergeCell ref="N141:N142"/>
    <mergeCell ref="H131:H134"/>
    <mergeCell ref="I131:I134"/>
    <mergeCell ref="J131:J132"/>
    <mergeCell ref="K131:K132"/>
    <mergeCell ref="L131:L132"/>
    <mergeCell ref="M131:M132"/>
    <mergeCell ref="N131:N132"/>
    <mergeCell ref="J133:J134"/>
    <mergeCell ref="K133:K134"/>
    <mergeCell ref="L133:L134"/>
    <mergeCell ref="M133:M134"/>
    <mergeCell ref="N133:N134"/>
    <mergeCell ref="H109:H112"/>
    <mergeCell ref="I109:I112"/>
    <mergeCell ref="J109:J110"/>
    <mergeCell ref="K109:K110"/>
    <mergeCell ref="L109:L110"/>
    <mergeCell ref="M109:M110"/>
    <mergeCell ref="N109:N110"/>
    <mergeCell ref="J111:J112"/>
    <mergeCell ref="K111:K112"/>
    <mergeCell ref="L111:L112"/>
    <mergeCell ref="M111:M112"/>
    <mergeCell ref="N111:N112"/>
    <mergeCell ref="H65:H68"/>
    <mergeCell ref="H73:H76"/>
    <mergeCell ref="I65:I68"/>
    <mergeCell ref="J65:J66"/>
    <mergeCell ref="J67:J68"/>
    <mergeCell ref="I73:I76"/>
    <mergeCell ref="J73:J74"/>
    <mergeCell ref="J75:J76"/>
    <mergeCell ref="K65:K66"/>
    <mergeCell ref="K75:K76"/>
    <mergeCell ref="H69:H72"/>
    <mergeCell ref="I69:I72"/>
    <mergeCell ref="J69:J70"/>
    <mergeCell ref="J71:J72"/>
    <mergeCell ref="L75:L76"/>
    <mergeCell ref="M75:M76"/>
    <mergeCell ref="N75:N76"/>
    <mergeCell ref="L65:L66"/>
    <mergeCell ref="M65:M66"/>
    <mergeCell ref="N65:N66"/>
    <mergeCell ref="K67:K68"/>
    <mergeCell ref="L67:L68"/>
    <mergeCell ref="M67:M68"/>
    <mergeCell ref="N67:N68"/>
    <mergeCell ref="K73:K74"/>
    <mergeCell ref="L73:L74"/>
    <mergeCell ref="M73:M74"/>
    <mergeCell ref="N73:N74"/>
    <mergeCell ref="K69:K70"/>
    <mergeCell ref="L69:L70"/>
    <mergeCell ref="M69:M70"/>
    <mergeCell ref="N69:N70"/>
    <mergeCell ref="K71:K72"/>
    <mergeCell ref="L71:L72"/>
    <mergeCell ref="M71:M72"/>
    <mergeCell ref="N71:N72"/>
  </mergeCells>
  <conditionalFormatting sqref="K9:K28 K37:K50 K59:K76 K85:K90 K99:K104 K121:K126 K143:K144">
    <cfRule type="expression" dxfId="75" priority="3">
      <formula>K9&lt;$K$4</formula>
    </cfRule>
  </conditionalFormatting>
  <conditionalFormatting sqref="K29:K36 K51:K58 K77:K84 K91:K98 K105:K120 K127:K142">
    <cfRule type="expression" dxfId="74" priority="6">
      <formula>K29&lt;$K$5</formula>
    </cfRule>
  </conditionalFormatting>
  <conditionalFormatting sqref="K9:R144">
    <cfRule type="cellIs" dxfId="73" priority="1" operator="greaterThanOrEqual">
      <formula>10000</formula>
    </cfRule>
    <cfRule type="cellIs" dxfId="72" priority="2" operator="greaterThanOrEqual">
      <formula>10</formula>
    </cfRule>
    <cfRule type="cellIs" dxfId="71" priority="7" operator="between">
      <formula>1</formula>
      <formula>10</formula>
    </cfRule>
    <cfRule type="cellIs" dxfId="70" priority="8" operator="between">
      <formula>0.1</formula>
      <formula>0.999</formula>
    </cfRule>
    <cfRule type="cellIs" dxfId="69" priority="9" operator="lessThan">
      <formula>0.1</formula>
    </cfRule>
  </conditionalFormatting>
  <conditionalFormatting sqref="L9:L28 L37:L50 L59:L76 L85:L90 L99:L104 L121:L126 L143:L144">
    <cfRule type="expression" dxfId="68" priority="50">
      <formula>L9&lt;$L$4</formula>
    </cfRule>
  </conditionalFormatting>
  <conditionalFormatting sqref="L29:L36 L51:L58 L77:L84 L91:L98 L105:L120 L127:L142">
    <cfRule type="expression" dxfId="67" priority="5">
      <formula>L29&lt;$L$5</formula>
    </cfRule>
  </conditionalFormatting>
  <conditionalFormatting sqref="M9:M28 M37:M50 M59:M76 M85:M90 M99:M104 M121:M126 M143:M144">
    <cfRule type="expression" dxfId="66" priority="12">
      <formula>M9&lt;$M$4</formula>
    </cfRule>
  </conditionalFormatting>
  <conditionalFormatting sqref="M29:M36 M51:M58 M77:M84 M91:M98 M105:M120 M127:M142">
    <cfRule type="expression" dxfId="65" priority="4">
      <formula>M29&lt;$M$5</formula>
    </cfRule>
  </conditionalFormatting>
  <conditionalFormatting sqref="N9:N12 N17:N28 N37:N50 N59:N76 N85:N90 N99:N104 N121:N126 N143:N144">
    <cfRule type="expression" dxfId="64" priority="11">
      <formula>N9&gt;$N$4</formula>
    </cfRule>
  </conditionalFormatting>
  <conditionalFormatting sqref="N9:N144">
    <cfRule type="expression" priority="10">
      <formula>N9="--"</formula>
    </cfRule>
  </conditionalFormatting>
  <conditionalFormatting sqref="O9:Q9 O11:Q11 O29:Q29 O31:Q31 O39:Q39 O41:Q41 O51:Q51 O53:Q53 O61:Q61 O63:Q63 O77:Q77 O79:Q79 O87:Q87 O89:Q89 O91:Q91 O93:Q93 O101:Q101 O103:Q103 O105:Q105 O107:Q107 O123:Q123 O125:Q125 O127:Q127 O129:Q129">
    <cfRule type="expression" dxfId="63" priority="151">
      <formula>O9&lt;$O$5</formula>
    </cfRule>
  </conditionalFormatting>
  <conditionalFormatting sqref="P9:Q9 P11:Q11 P29:Q29 P31:Q31 P39:Q39 P41:Q41 P51:Q51 P53:Q53 P61:Q61 P63:Q63 P77:Q77 P79:Q79 P87:Q87 P89:Q89 P91:Q91 P93:Q93 P101:Q101 P103:Q103 P105:Q105 P107:Q107 P123:Q123 P125:Q125 P127:Q127 P129:Q129">
    <cfRule type="expression" dxfId="62" priority="152">
      <formula>P9&lt;$Q$5</formula>
    </cfRule>
  </conditionalFormatting>
  <conditionalFormatting sqref="R9 R11 R29 R31 R39 R41 R51 R53 R61 R63 R77 R79 R87 R89 R91 R93 R101 R103 R105 R107 R123 R125 R127 R129">
    <cfRule type="expression" dxfId="61" priority="153">
      <formula>R9&gt;$R$5</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F53F590B-A07D-4623-BF0D-F103D0FBB70E}">
          <x14:formula1>
            <xm:f>'List Values'!$E$17:$E$19</xm:f>
          </x14:formula1>
          <xm:sqref>T125:W125 T123:W123 T103:W103 T101:W101 T89:W89 T87:W87 T41:W41 T39:W39 T63:W63 T61:W61 T11:W11 T9:W9</xm:sqref>
        </x14:dataValidation>
        <x14:dataValidation type="list" allowBlank="1" showInputMessage="1" showErrorMessage="1" xr:uid="{33A76FC7-DD05-46C6-BA35-45A3ED0A97E7}">
          <x14:formula1>
            <xm:f>'List Values'!$H$2:$H$4</xm:f>
          </x14:formula1>
          <xm:sqref>T129:W129 T127:W127 T107:W107 T105:W105 T93:W93 T91:W91 T53:W53 T51:W51 T79:W79 T77:W77 T31:W31 T29:W29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D8A6-1677-465E-88B2-1343E7284108}">
  <sheetPr>
    <tabColor rgb="FF92D050"/>
  </sheetPr>
  <dimension ref="A1:AA64"/>
  <sheetViews>
    <sheetView zoomScale="90" zoomScaleNormal="90" workbookViewId="0">
      <selection activeCell="U9" sqref="U9"/>
    </sheetView>
  </sheetViews>
  <sheetFormatPr defaultColWidth="8.85546875" defaultRowHeight="12.75" x14ac:dyDescent="0.25"/>
  <cols>
    <col min="1" max="1" width="2.28515625" style="112" customWidth="1"/>
    <col min="2" max="2" width="4.85546875" style="113" bestFit="1" customWidth="1"/>
    <col min="3" max="3" width="11.7109375" style="68" customWidth="1"/>
    <col min="4" max="4" width="14.28515625" style="114" customWidth="1"/>
    <col min="5" max="5" width="22.140625" style="68" customWidth="1"/>
    <col min="6" max="6" width="18.5703125" style="68" customWidth="1"/>
    <col min="7" max="7" width="2.7109375" style="112" customWidth="1"/>
    <col min="8" max="8" width="21.7109375" style="112" customWidth="1"/>
    <col min="9" max="9" width="17.42578125" style="112" customWidth="1"/>
    <col min="10" max="10" width="16.7109375" style="112" customWidth="1"/>
    <col min="11" max="13" width="14" style="112" customWidth="1"/>
    <col min="14" max="14" width="16.140625" style="112" customWidth="1"/>
    <col min="15" max="16" width="14" style="112" customWidth="1"/>
    <col min="17" max="17" width="2.5703125" style="112" customWidth="1"/>
    <col min="18" max="18" width="4.5703125" style="112" customWidth="1"/>
    <col min="19" max="19" width="24.7109375" style="112" customWidth="1"/>
    <col min="20" max="20" width="18" style="112" bestFit="1" customWidth="1"/>
    <col min="21" max="21" width="14.140625" style="112" customWidth="1"/>
    <col min="22" max="22" width="12.28515625" style="112" customWidth="1"/>
    <col min="23" max="23" width="12.42578125" style="112" customWidth="1"/>
    <col min="24" max="24" width="14" style="112" customWidth="1"/>
    <col min="25" max="25" width="10.42578125" style="112" customWidth="1"/>
    <col min="26" max="16384" width="8.85546875" style="112"/>
  </cols>
  <sheetData>
    <row r="1" spans="1:24" ht="13.5" thickBot="1" x14ac:dyDescent="0.3"/>
    <row r="2" spans="1:24" s="22" customFormat="1" ht="15.75" customHeight="1" thickBot="1" x14ac:dyDescent="0.3">
      <c r="B2" s="23"/>
      <c r="C2" s="65"/>
      <c r="D2" s="65"/>
      <c r="E2" s="65"/>
      <c r="F2" s="65"/>
      <c r="H2" s="115" t="s">
        <v>71</v>
      </c>
      <c r="I2" s="198" t="s">
        <v>224</v>
      </c>
      <c r="J2" s="199"/>
      <c r="L2" s="116"/>
      <c r="S2" s="242" t="s">
        <v>72</v>
      </c>
    </row>
    <row r="3" spans="1:24" s="22" customFormat="1" ht="25.5" x14ac:dyDescent="0.25">
      <c r="B3" s="23"/>
      <c r="C3" s="65"/>
      <c r="D3" s="65"/>
      <c r="E3" s="65"/>
      <c r="F3" s="65"/>
      <c r="H3" s="117" t="s">
        <v>73</v>
      </c>
      <c r="I3" s="767" t="s">
        <v>225</v>
      </c>
      <c r="J3" s="768"/>
      <c r="S3" s="243" t="s">
        <v>226</v>
      </c>
    </row>
    <row r="4" spans="1:24" s="22" customFormat="1" ht="25.5" x14ac:dyDescent="0.25">
      <c r="B4" s="23"/>
      <c r="C4" s="65"/>
      <c r="D4" s="65"/>
      <c r="E4" s="65"/>
      <c r="F4" s="65"/>
      <c r="H4" s="630" t="s">
        <v>227</v>
      </c>
      <c r="I4" s="769" t="s">
        <v>97</v>
      </c>
      <c r="J4" s="721"/>
      <c r="S4" s="244" t="s">
        <v>228</v>
      </c>
    </row>
    <row r="5" spans="1:24" s="22" customFormat="1" ht="23.25" customHeight="1" x14ac:dyDescent="0.25">
      <c r="A5" s="118"/>
      <c r="B5" s="23"/>
      <c r="C5" s="65"/>
      <c r="D5" s="65"/>
      <c r="E5" s="65"/>
      <c r="F5" s="65"/>
      <c r="J5" s="65"/>
      <c r="K5" s="65"/>
      <c r="L5" s="119"/>
      <c r="M5" s="119"/>
      <c r="S5" s="68"/>
      <c r="T5" s="65"/>
      <c r="U5" s="120"/>
    </row>
    <row r="6" spans="1:24" s="22" customFormat="1" x14ac:dyDescent="0.25">
      <c r="B6" s="23"/>
      <c r="C6" s="65"/>
      <c r="D6" s="65"/>
      <c r="E6" s="65"/>
      <c r="F6" s="65"/>
      <c r="H6" s="120" t="s">
        <v>77</v>
      </c>
      <c r="I6" s="23"/>
      <c r="J6" s="65"/>
      <c r="K6" s="65"/>
      <c r="L6" s="65"/>
      <c r="M6" s="65"/>
      <c r="S6" s="120" t="s">
        <v>72</v>
      </c>
      <c r="T6" s="112"/>
      <c r="U6" s="112"/>
      <c r="V6" s="68"/>
      <c r="W6" s="65"/>
    </row>
    <row r="7" spans="1:24" ht="13.5" thickBot="1" x14ac:dyDescent="0.3">
      <c r="H7" s="121" t="s">
        <v>78</v>
      </c>
      <c r="I7" s="113"/>
      <c r="L7" s="65"/>
      <c r="M7" s="65"/>
      <c r="S7" s="121" t="s">
        <v>78</v>
      </c>
      <c r="V7" s="68"/>
      <c r="W7" s="65"/>
    </row>
    <row r="8" spans="1:24" ht="51" x14ac:dyDescent="0.25">
      <c r="H8" s="776" t="s">
        <v>79</v>
      </c>
      <c r="I8" s="674" t="s">
        <v>80</v>
      </c>
      <c r="J8" s="632" t="s">
        <v>81</v>
      </c>
      <c r="K8" s="632" t="s">
        <v>82</v>
      </c>
      <c r="L8" s="632" t="s">
        <v>83</v>
      </c>
      <c r="M8" s="632" t="s">
        <v>84</v>
      </c>
      <c r="N8" s="628" t="s">
        <v>85</v>
      </c>
      <c r="S8" s="698" t="s">
        <v>79</v>
      </c>
      <c r="T8" s="690" t="s">
        <v>80</v>
      </c>
      <c r="U8" s="632" t="s">
        <v>229</v>
      </c>
      <c r="V8" s="632" t="s">
        <v>87</v>
      </c>
      <c r="W8" s="632" t="s">
        <v>88</v>
      </c>
      <c r="X8" s="628" t="s">
        <v>89</v>
      </c>
    </row>
    <row r="9" spans="1:24" ht="40.5" customHeight="1" thickBot="1" x14ac:dyDescent="0.3">
      <c r="H9" s="777"/>
      <c r="I9" s="675"/>
      <c r="J9" s="633" t="s">
        <v>230</v>
      </c>
      <c r="K9" s="633" t="s">
        <v>231</v>
      </c>
      <c r="L9" s="633" t="s">
        <v>232</v>
      </c>
      <c r="M9" s="633" t="s">
        <v>232</v>
      </c>
      <c r="N9" s="629" t="s">
        <v>233</v>
      </c>
      <c r="S9" s="699"/>
      <c r="T9" s="691"/>
      <c r="U9" s="633" t="s">
        <v>94</v>
      </c>
      <c r="V9" s="633" t="s">
        <v>234</v>
      </c>
      <c r="W9" s="633" t="s">
        <v>235</v>
      </c>
      <c r="X9" s="629" t="s">
        <v>236</v>
      </c>
    </row>
    <row r="10" spans="1:24" x14ac:dyDescent="0.25">
      <c r="H10" s="644" t="s">
        <v>97</v>
      </c>
      <c r="I10" s="772" t="s">
        <v>98</v>
      </c>
      <c r="J10" s="99">
        <f>SUMIFS('Inhalation Exposure'!$H:$H,'Inhalation Exposure'!$C:$C,$H$4,'Inhalation Exposure'!$D:$D,$H10)</f>
        <v>10.444428568939381</v>
      </c>
      <c r="K10" s="99">
        <f>SUMIFS('Inhalation Exposure'!$J:$J,'Inhalation Exposure'!$C:$C,$H$4,'Inhalation Exposure'!$D:$D,$H10)</f>
        <v>7.1050534482580829</v>
      </c>
      <c r="L10" s="99">
        <f>SUMIFS('Inhalation Exposure'!$L:$L,'Inhalation Exposure'!$C:$C,$H$4,'Inhalation Exposure'!$D:$D,$H10)</f>
        <v>5.2103725287225942</v>
      </c>
      <c r="M10" s="99">
        <f>SUMIFS('Inhalation Exposure'!$N:$N,'Inhalation Exposure'!$C:$C,$H$4,'Inhalation Exposure'!$D:$D,$H10)</f>
        <v>4.8664749645603305</v>
      </c>
      <c r="N10" s="100">
        <f>SUMIFS('Inhalation Exposure'!$P:$P,'Inhalation Exposure'!$C:$C,$H$4,'Inhalation Exposure'!$D:$D,$H10)</f>
        <v>2.4956281869540158</v>
      </c>
      <c r="S10" s="722" t="s">
        <v>99</v>
      </c>
      <c r="T10" s="129" t="s">
        <v>98</v>
      </c>
      <c r="U10" s="78">
        <f>SUMIFS('Dermal Crosswalk'!$M:$M, 'Dermal Crosswalk'!$B:$B,$H$4, 'Dermal Crosswalk'!$W:$W, $S$4)</f>
        <v>6.7410000000000005</v>
      </c>
      <c r="V10" s="78">
        <f>SUMIFS('Dermal Crosswalk'!$N:$N, 'Dermal Crosswalk'!$B:$B,$H$4, 'Dermal Crosswalk'!$W:$W, $S$4)</f>
        <v>8.4262500000000004E-2</v>
      </c>
      <c r="W10" s="78">
        <f>SUMIFS('Dermal Crosswalk'!$O:$O, 'Dermal Crosswalk'!$B:$B,$H$4, 'Dermal Crosswalk'!$W:$W, $S$4)</f>
        <v>6.1792500000000007E-2</v>
      </c>
      <c r="X10" s="101">
        <f>SUMIFS('Dermal Crosswalk'!$P:$P, 'Dermal Crosswalk'!$B:$B,$H$4, 'Dermal Crosswalk'!$W:$W, $S$4)</f>
        <v>5.7714041095890414E-2</v>
      </c>
    </row>
    <row r="11" spans="1:24" x14ac:dyDescent="0.25">
      <c r="H11" s="658" t="s">
        <v>100</v>
      </c>
      <c r="I11" s="773"/>
      <c r="J11" s="78">
        <f>SUMIFS('Inhalation Exposure'!$H:$H,'Inhalation Exposure'!$C:$C,$H$4,'Inhalation Exposure'!$D:$D,$H11)</f>
        <v>0.29657019393284656</v>
      </c>
      <c r="K11" s="78">
        <f>SUMIFS('Inhalation Exposure'!$J:$J,'Inhalation Exposure'!$C:$C,$H$4,'Inhalation Exposure'!$D:$D,$H11)</f>
        <v>0.20174843124683439</v>
      </c>
      <c r="L11" s="78">
        <f>SUMIFS('Inhalation Exposure'!$L:$L,'Inhalation Exposure'!$C:$C,$H$4,'Inhalation Exposure'!$D:$D,$H11)</f>
        <v>0.14794884958101187</v>
      </c>
      <c r="M11" s="78">
        <f>SUMIFS('Inhalation Exposure'!$N:$N,'Inhalation Exposure'!$C:$C,$H$4,'Inhalation Exposure'!$D:$D,$H11)</f>
        <v>0.13818385701837971</v>
      </c>
      <c r="N11" s="101">
        <f>SUMIFS('Inhalation Exposure'!$P:$P,'Inhalation Exposure'!$C:$C,$H$4,'Inhalation Exposure'!$D:$D,$H11)</f>
        <v>7.0863516419681916E-2</v>
      </c>
      <c r="S11" s="797"/>
      <c r="T11" s="491" t="s">
        <v>101</v>
      </c>
      <c r="U11" s="78">
        <f>SUMIFS('Dermal Crosswalk'!$R:$R, 'Dermal Crosswalk'!$B:$B,$H$4, 'Dermal Crosswalk'!$W:$W, $S$4)</f>
        <v>2.2469999999999999</v>
      </c>
      <c r="V11" s="78">
        <f>SUMIFS('Dermal Crosswalk'!$S:$S, 'Dermal Crosswalk'!$B:$B,$H$4, 'Dermal Crosswalk'!$W:$W, $S$4)</f>
        <v>2.8087499999999998E-2</v>
      </c>
      <c r="W11" s="78">
        <f>SUMIFS('Dermal Crosswalk'!$T:$T, 'Dermal Crosswalk'!$B:$B,$H$4, 'Dermal Crosswalk'!$W:$W, $S$4)</f>
        <v>2.0597499999999998E-2</v>
      </c>
      <c r="X11" s="101">
        <f>SUMIFS('Dermal Crosswalk'!$U:$U, 'Dermal Crosswalk'!$B:$B,$H$4, 'Dermal Crosswalk'!$W:$W, $S$4)</f>
        <v>1.9238013698630138E-2</v>
      </c>
    </row>
    <row r="12" spans="1:24" x14ac:dyDescent="0.25">
      <c r="H12" s="658" t="s">
        <v>97</v>
      </c>
      <c r="I12" s="774" t="s">
        <v>101</v>
      </c>
      <c r="J12" s="78">
        <f>SUMIFS('Inhalation Exposure'!$I:$I,'Inhalation Exposure'!$C:$C,$H$4,'Inhalation Exposure'!$D:$D,$H12)</f>
        <v>0.29657019393284656</v>
      </c>
      <c r="K12" s="78">
        <f>SUMIFS('Inhalation Exposure'!$K:$K,'Inhalation Exposure'!$C:$C,$H$4,'Inhalation Exposure'!$D:$D,$H12)</f>
        <v>0.20174843124683439</v>
      </c>
      <c r="L12" s="78">
        <f>SUMIFS('Inhalation Exposure'!$M:$M,'Inhalation Exposure'!$C:$C,$H$4,'Inhalation Exposure'!$D:$D,$H12)</f>
        <v>0.14794884958101187</v>
      </c>
      <c r="M12" s="78">
        <f>SUMIFS('Inhalation Exposure'!$O:$O,'Inhalation Exposure'!$C:$C,$H$4,'Inhalation Exposure'!$D:$D,$H12)</f>
        <v>0.13818385701837974</v>
      </c>
      <c r="N12" s="101">
        <f>SUMIFS('Inhalation Exposure'!$Q:$Q,'Inhalation Exposure'!$C:$C,$H$4,'Inhalation Exposure'!$D:$D,$H12)</f>
        <v>5.4919225225253485E-2</v>
      </c>
      <c r="S12" s="798" t="str">
        <f>_xlfn.CONCAT("Worker with Gloves; 
PF of ",'List Values'!H2)</f>
        <v>Worker with Gloves; 
PF of 5</v>
      </c>
      <c r="T12" s="143" t="s">
        <v>98</v>
      </c>
      <c r="U12" s="78">
        <f>U10/'List Values'!$H$2</f>
        <v>1.3482000000000001</v>
      </c>
      <c r="V12" s="78">
        <f>V10/'List Values'!$H$2</f>
        <v>1.6852499999999999E-2</v>
      </c>
      <c r="W12" s="78">
        <f>W10/'List Values'!$H$2</f>
        <v>1.2358500000000001E-2</v>
      </c>
      <c r="X12" s="101">
        <f>X10/'List Values'!$H$2</f>
        <v>1.1542808219178084E-2</v>
      </c>
    </row>
    <row r="13" spans="1:24" ht="13.5" thickBot="1" x14ac:dyDescent="0.3">
      <c r="H13" s="645" t="s">
        <v>100</v>
      </c>
      <c r="I13" s="775"/>
      <c r="J13" s="102">
        <f>SUMIFS('Inhalation Exposure'!$I:$I,'Inhalation Exposure'!$C:$C,$H$4,'Inhalation Exposure'!$D:$D,$H13)</f>
        <v>0.29657019393284656</v>
      </c>
      <c r="K13" s="102">
        <f>SUMIFS('Inhalation Exposure'!$K:$K,'Inhalation Exposure'!$C:$C,$H$4,'Inhalation Exposure'!$D:$D,$H13)</f>
        <v>0.20174843124683439</v>
      </c>
      <c r="L13" s="102">
        <f>SUMIFS('Inhalation Exposure'!$M:$M,'Inhalation Exposure'!$C:$C,$H$4,'Inhalation Exposure'!$D:$D,$H13)</f>
        <v>0.14794884958101187</v>
      </c>
      <c r="M13" s="102">
        <f>SUMIFS('Inhalation Exposure'!$O:$O,'Inhalation Exposure'!$C:$C,$H$4,'Inhalation Exposure'!$D:$D,$H13)</f>
        <v>0.13818385701837974</v>
      </c>
      <c r="N13" s="103">
        <f>SUMIFS('Inhalation Exposure'!$Q:$Q,'Inhalation Exposure'!$C:$C,$H$4,'Inhalation Exposure'!$D:$D,$H13)</f>
        <v>5.4919225225253485E-2</v>
      </c>
      <c r="S13" s="798"/>
      <c r="T13" s="143" t="s">
        <v>101</v>
      </c>
      <c r="U13" s="78">
        <f>U11/'List Values'!$H$2</f>
        <v>0.44939999999999997</v>
      </c>
      <c r="V13" s="78">
        <f>V11/'List Values'!$H$2</f>
        <v>5.6174999999999992E-3</v>
      </c>
      <c r="W13" s="78">
        <f>W11/'List Values'!$H$2</f>
        <v>4.1194999999999999E-3</v>
      </c>
      <c r="X13" s="101">
        <f>X11/'List Values'!$H$2</f>
        <v>3.8476027397260277E-3</v>
      </c>
    </row>
    <row r="14" spans="1:24" x14ac:dyDescent="0.25">
      <c r="S14" s="798" t="str">
        <f>_xlfn.CONCAT("Worker with Gloves; 
PF of ",'List Values'!H3)</f>
        <v>Worker with Gloves; 
PF of 10</v>
      </c>
      <c r="T14" s="143" t="s">
        <v>98</v>
      </c>
      <c r="U14" s="78">
        <f>U10/'List Values'!$H$3</f>
        <v>0.67410000000000003</v>
      </c>
      <c r="V14" s="78">
        <f>V10/'List Values'!$H$3</f>
        <v>8.4262499999999997E-3</v>
      </c>
      <c r="W14" s="78">
        <f>W10/'List Values'!$H$3</f>
        <v>6.1792500000000007E-3</v>
      </c>
      <c r="X14" s="101">
        <f>X10/'List Values'!$H$3</f>
        <v>5.7714041095890418E-3</v>
      </c>
    </row>
    <row r="15" spans="1:24" x14ac:dyDescent="0.25">
      <c r="D15" s="68"/>
      <c r="H15" s="113"/>
      <c r="S15" s="798"/>
      <c r="T15" s="143" t="s">
        <v>101</v>
      </c>
      <c r="U15" s="78">
        <f>U11/'List Values'!$H$3</f>
        <v>0.22469999999999998</v>
      </c>
      <c r="V15" s="78">
        <f>V11/'List Values'!$H$3</f>
        <v>2.8087499999999996E-3</v>
      </c>
      <c r="W15" s="78">
        <f>W11/'List Values'!$H$3</f>
        <v>2.0597499999999999E-3</v>
      </c>
      <c r="X15" s="101">
        <f>X11/'List Values'!$H$3</f>
        <v>1.9238013698630139E-3</v>
      </c>
    </row>
    <row r="16" spans="1:24" ht="15" customHeight="1" x14ac:dyDescent="0.25">
      <c r="D16" s="68"/>
      <c r="H16" s="113"/>
      <c r="S16" s="798" t="str">
        <f>_xlfn.CONCAT("Worker with Gloves; 
PF of ",'List Values'!H4)</f>
        <v>Worker with Gloves; 
PF of 20</v>
      </c>
      <c r="T16" s="143" t="s">
        <v>98</v>
      </c>
      <c r="U16" s="78">
        <f>U10/'List Values'!$H$4</f>
        <v>0.33705000000000002</v>
      </c>
      <c r="V16" s="78">
        <f>V10/'List Values'!$H$4</f>
        <v>4.2131249999999999E-3</v>
      </c>
      <c r="W16" s="78">
        <f>W10/'List Values'!$H$4</f>
        <v>3.0896250000000004E-3</v>
      </c>
      <c r="X16" s="101">
        <f>X10/'List Values'!$H$4</f>
        <v>2.8857020547945209E-3</v>
      </c>
    </row>
    <row r="17" spans="2:27" ht="13.5" thickBot="1" x14ac:dyDescent="0.3">
      <c r="D17" s="68"/>
      <c r="H17" s="113"/>
      <c r="S17" s="799"/>
      <c r="T17" s="127" t="s">
        <v>101</v>
      </c>
      <c r="U17" s="102">
        <f>U11/'List Values'!$H$4</f>
        <v>0.11234999999999999</v>
      </c>
      <c r="V17" s="102">
        <f>V11/'List Values'!$H$4</f>
        <v>1.4043749999999998E-3</v>
      </c>
      <c r="W17" s="102">
        <f>W11/'List Values'!$H$4</f>
        <v>1.029875E-3</v>
      </c>
      <c r="X17" s="103">
        <f>X11/'List Values'!$H$4</f>
        <v>9.6190068493150693E-4</v>
      </c>
    </row>
    <row r="18" spans="2:27" s="22" customFormat="1" x14ac:dyDescent="0.25">
      <c r="B18" s="23"/>
      <c r="C18" s="659"/>
      <c r="D18" s="659"/>
      <c r="E18" s="659"/>
      <c r="F18" s="659"/>
      <c r="G18" s="659"/>
      <c r="H18" s="640"/>
      <c r="I18" s="65"/>
      <c r="K18" s="640"/>
      <c r="L18" s="640"/>
      <c r="M18" s="640"/>
      <c r="N18" s="640"/>
      <c r="O18" s="640"/>
      <c r="P18" s="640"/>
      <c r="S18" s="659"/>
      <c r="T18" s="640"/>
      <c r="U18" s="65"/>
      <c r="W18" s="640"/>
    </row>
    <row r="19" spans="2:27" s="22" customFormat="1" ht="36" customHeight="1" thickBot="1" x14ac:dyDescent="0.3">
      <c r="B19" s="23"/>
      <c r="C19" s="65"/>
      <c r="D19" s="67"/>
      <c r="E19" s="67"/>
      <c r="F19" s="67"/>
      <c r="G19" s="122"/>
      <c r="H19" s="122" t="s">
        <v>237</v>
      </c>
      <c r="I19" s="65"/>
      <c r="K19" s="640"/>
      <c r="L19" s="794"/>
      <c r="M19" s="794"/>
      <c r="N19" s="657"/>
      <c r="O19" s="657"/>
      <c r="U19" s="123" t="s">
        <v>238</v>
      </c>
      <c r="V19" s="123"/>
    </row>
    <row r="20" spans="2:27" s="22" customFormat="1" ht="13.5" customHeight="1" thickBot="1" x14ac:dyDescent="0.3">
      <c r="C20" s="770" t="s">
        <v>239</v>
      </c>
      <c r="D20" s="770" t="s">
        <v>240</v>
      </c>
      <c r="E20" s="770"/>
      <c r="F20" s="770" t="s">
        <v>241</v>
      </c>
      <c r="G20" s="107"/>
      <c r="H20" s="684" t="s">
        <v>105</v>
      </c>
      <c r="I20" s="674" t="s">
        <v>80</v>
      </c>
      <c r="J20" s="676" t="s">
        <v>106</v>
      </c>
      <c r="K20" s="787" t="str">
        <f>_xlfn.CONCAT("Exposure Estimates: ",$I$4," MOE")</f>
        <v>Exposure Estimates: Worker MOE</v>
      </c>
      <c r="L20" s="788"/>
      <c r="M20" s="788"/>
      <c r="N20" s="788"/>
      <c r="O20" s="788"/>
      <c r="P20" s="789"/>
      <c r="S20" s="790" t="s">
        <v>240</v>
      </c>
      <c r="T20" s="792" t="s">
        <v>241</v>
      </c>
      <c r="U20" s="684" t="s">
        <v>108</v>
      </c>
      <c r="V20" s="674" t="s">
        <v>80</v>
      </c>
      <c r="W20" s="676" t="s">
        <v>106</v>
      </c>
      <c r="X20" s="682" t="str">
        <f>_xlfn.CONCAT("Exposure Estimates: ",$I$4," MOE")</f>
        <v>Exposure Estimates: Worker MOE</v>
      </c>
      <c r="Y20" s="786"/>
      <c r="Z20" s="786"/>
      <c r="AA20" s="683"/>
    </row>
    <row r="21" spans="2:27" s="22" customFormat="1" ht="12.75" customHeight="1" thickBot="1" x14ac:dyDescent="0.3">
      <c r="C21" s="771"/>
      <c r="D21" s="771"/>
      <c r="E21" s="771"/>
      <c r="F21" s="771"/>
      <c r="G21" s="108"/>
      <c r="H21" s="685"/>
      <c r="I21" s="675"/>
      <c r="J21" s="677"/>
      <c r="K21" s="631" t="s">
        <v>242</v>
      </c>
      <c r="L21" s="633" t="s">
        <v>243</v>
      </c>
      <c r="M21" s="633" t="s">
        <v>244</v>
      </c>
      <c r="N21" s="633" t="s">
        <v>245</v>
      </c>
      <c r="O21" s="633" t="s">
        <v>246</v>
      </c>
      <c r="P21" s="629" t="s">
        <v>247</v>
      </c>
      <c r="S21" s="791"/>
      <c r="T21" s="793"/>
      <c r="U21" s="685"/>
      <c r="V21" s="675"/>
      <c r="W21" s="677"/>
      <c r="X21" s="245" t="s">
        <v>248</v>
      </c>
      <c r="Y21" s="245" t="s">
        <v>249</v>
      </c>
      <c r="Z21" s="245" t="s">
        <v>250</v>
      </c>
      <c r="AA21" s="246" t="s">
        <v>251</v>
      </c>
    </row>
    <row r="22" spans="2:27" s="22" customFormat="1" ht="20.25" customHeight="1" x14ac:dyDescent="0.25">
      <c r="B22" s="766" t="s">
        <v>113</v>
      </c>
      <c r="C22" s="778" t="s">
        <v>252</v>
      </c>
      <c r="D22" s="821" t="str">
        <f>INDEX('Health Data'!$D:$D, MATCH($B22, 'Health Data'!$F:$F, 0))</f>
        <v>Degeneration with necrosis of the olfactory mucosa</v>
      </c>
      <c r="E22" s="822"/>
      <c r="F22" s="780" t="str">
        <f>INDEX('Health Data'!$E:$E, MATCH($B22, 'Health Data'!$F:$F, 0))</f>
        <v>Dow Chemical, 2006</v>
      </c>
      <c r="G22" s="124"/>
      <c r="H22" s="782">
        <f>INDEX('Health Data'!$G:$G,MATCH(B22,'Health Data'!$F:$F,0))</f>
        <v>10.14</v>
      </c>
      <c r="I22" s="655" t="s">
        <v>98</v>
      </c>
      <c r="J22" s="146">
        <f>INDEX('Health Data'!$H:$H,MATCH(B22,'Health Data'!$F:$F,0))</f>
        <v>30</v>
      </c>
      <c r="K22" s="106">
        <f>IFERROR($H22/IF($I$4="Worker",$K$10,$K$11), "")</f>
        <v>1.4271532330958021</v>
      </c>
      <c r="L22" s="79">
        <f>IFERROR($K22*'List Values'!$E$17, "")</f>
        <v>14.271532330958021</v>
      </c>
      <c r="M22" s="79">
        <f>IFERROR($K22*'List Values'!$E$18, "")</f>
        <v>35.678830827395053</v>
      </c>
      <c r="N22" s="79">
        <f>IFERROR($K22*'List Values'!$E$19, "")</f>
        <v>71.357661654790107</v>
      </c>
      <c r="O22" s="79">
        <f>IFERROR($K22*'List Values'!$E$20, "")</f>
        <v>1427.1532330958021</v>
      </c>
      <c r="P22" s="611">
        <f>IFERROR($K22*'List Values'!$E$21, "")</f>
        <v>14271.532330958022</v>
      </c>
      <c r="R22" s="804" t="s">
        <v>114</v>
      </c>
      <c r="S22" s="800" t="str">
        <f>INDEX('Health Data'!$D:$D, MATCH($R22, 'Health Data'!$F:$F, 0))</f>
        <v>Increased kidney weight; Renal system</v>
      </c>
      <c r="T22" s="802" t="str">
        <f>INDEX('Health Data'!$E:$E, MATCH($R22, 'Health Data'!$F:$F, 0))</f>
        <v>Storer et al. 1984</v>
      </c>
      <c r="U22" s="795">
        <f>INDEX('Health Data'!$G:$G,MATCH(R22,'Health Data'!$F:$F,0))</f>
        <v>19.899999999999999</v>
      </c>
      <c r="V22" s="125" t="s">
        <v>98</v>
      </c>
      <c r="W22" s="126">
        <f>INDEX('Health Data'!$H:$H,MATCH(R22,'Health Data'!$F:$F,0))</f>
        <v>30</v>
      </c>
      <c r="X22" s="106">
        <f>IFERROR($U22/V$10, "")</f>
        <v>236.16674083963801</v>
      </c>
      <c r="Y22" s="79">
        <f>IFERROR($U22/V$12, "")</f>
        <v>1180.8337041981902</v>
      </c>
      <c r="Z22" s="79">
        <f>IFERROR($U22/V$14, "")</f>
        <v>2361.6674083963803</v>
      </c>
      <c r="AA22" s="79">
        <f>IFERROR($U22/V$16, "")</f>
        <v>4723.3348167927606</v>
      </c>
    </row>
    <row r="23" spans="2:27" s="22" customFormat="1" ht="20.25" customHeight="1" thickBot="1" x14ac:dyDescent="0.3">
      <c r="B23" s="766"/>
      <c r="C23" s="779"/>
      <c r="D23" s="823"/>
      <c r="E23" s="824"/>
      <c r="F23" s="781"/>
      <c r="G23" s="124"/>
      <c r="H23" s="783"/>
      <c r="I23" s="63" t="s">
        <v>101</v>
      </c>
      <c r="J23" s="147">
        <f>INDEX('Health Data'!$H:$H,MATCH(B22,'Health Data'!$F:$F,0))</f>
        <v>30</v>
      </c>
      <c r="K23" s="106">
        <f>IFERROR($H22/IF($I$4="Worker",$K$12,$K$13), "")</f>
        <v>50.260613861200007</v>
      </c>
      <c r="L23" s="79">
        <f>IFERROR($K23*'List Values'!$E$17, "")</f>
        <v>502.60613861200005</v>
      </c>
      <c r="M23" s="79">
        <f>IFERROR($K23*'List Values'!$E$18, "")</f>
        <v>1256.5153465300002</v>
      </c>
      <c r="N23" s="79">
        <f>IFERROR($K23*'List Values'!$E$19, "")</f>
        <v>2513.0306930600004</v>
      </c>
      <c r="O23" s="79">
        <f>IFERROR($K23*'List Values'!$E$20, "")</f>
        <v>50260.613861200007</v>
      </c>
      <c r="P23" s="611">
        <f>IFERROR($K23*'List Values'!$E$21, "")</f>
        <v>502606.13861200004</v>
      </c>
      <c r="R23" s="804"/>
      <c r="S23" s="801"/>
      <c r="T23" s="803"/>
      <c r="U23" s="796"/>
      <c r="V23" s="127" t="s">
        <v>101</v>
      </c>
      <c r="W23" s="128">
        <f>INDEX('Health Data'!$H:$H,MATCH(R22,'Health Data'!$F:$F,0))</f>
        <v>30</v>
      </c>
      <c r="X23" s="106">
        <f>IFERROR($U22/V$11, "")</f>
        <v>708.50022251891414</v>
      </c>
      <c r="Y23" s="79">
        <f>IFERROR($U22/V$13, "")</f>
        <v>3542.5011125945707</v>
      </c>
      <c r="Z23" s="79">
        <f>IFERROR($U22/V$15, "")</f>
        <v>7085.0022251891414</v>
      </c>
      <c r="AA23" s="79">
        <f>IFERROR($U22/V$17, "")</f>
        <v>14170.004450378283</v>
      </c>
    </row>
    <row r="24" spans="2:27" s="22" customFormat="1" ht="20.25" customHeight="1" x14ac:dyDescent="0.25">
      <c r="B24" s="654" t="s">
        <v>118</v>
      </c>
      <c r="C24" s="778" t="s">
        <v>253</v>
      </c>
      <c r="D24" s="821" t="str">
        <f>INDEX('Health Data'!$D:$D, MATCH($B24, 'Health Data'!$F:$F, 0))</f>
        <v>Decrease in sperm concentration</v>
      </c>
      <c r="E24" s="822"/>
      <c r="F24" s="780" t="str">
        <f>INDEX('Health Data'!$E:$E, MATCH($B24, 'Health Data'!$F:$F, 0))</f>
        <v>Zhang et al. 2017</v>
      </c>
      <c r="G24" s="124"/>
      <c r="H24" s="782">
        <f>INDEX('Health Data'!$G:$G,MATCH(B24,'Health Data'!$F:$F,0))</f>
        <v>22</v>
      </c>
      <c r="I24" s="655" t="s">
        <v>98</v>
      </c>
      <c r="J24" s="195">
        <f>INDEX('Health Data'!$H:$H,MATCH(B24,'Health Data'!$F:$F,0))</f>
        <v>30</v>
      </c>
      <c r="K24" s="148">
        <f>IFERROR($H24/IF($I$4="Worker",$L$10,$L$11), "")</f>
        <v>4.2223468434787046</v>
      </c>
      <c r="L24" s="62">
        <f>IFERROR($K24*'List Values'!$E$17, "")</f>
        <v>42.223468434787044</v>
      </c>
      <c r="M24" s="62">
        <f>IFERROR($K24*'List Values'!$E$18, "")</f>
        <v>105.55867108696762</v>
      </c>
      <c r="N24" s="62">
        <f>IFERROR($K24*'List Values'!$E$19, "")</f>
        <v>211.11734217393524</v>
      </c>
      <c r="O24" s="62">
        <f>IFERROR($K24*'List Values'!$E$20, "")</f>
        <v>4222.3468434787046</v>
      </c>
      <c r="P24" s="90">
        <f>IFERROR($K24*'List Values'!$E$21, "")</f>
        <v>42223.468434787042</v>
      </c>
      <c r="R24" s="804" t="s">
        <v>119</v>
      </c>
      <c r="S24" s="800" t="str">
        <f>INDEX('Health Data'!$D:$D, MATCH($R24, 'Health Data'!$F:$F, 0))</f>
        <v xml:space="preserve">Increased relative kidney weight </v>
      </c>
      <c r="T24" s="802" t="str">
        <f>INDEX('Health Data'!$E:$E, MATCH($R24, 'Health Data'!$F:$F, 0))</f>
        <v>NTP, 1991</v>
      </c>
      <c r="U24" s="795">
        <f>INDEX('Health Data'!$G:$G,MATCH(R24,'Health Data'!$F:$F,0))</f>
        <v>9.1</v>
      </c>
      <c r="V24" s="129" t="s">
        <v>98</v>
      </c>
      <c r="W24" s="197">
        <f>INDEX('Health Data'!$H:$H,MATCH(R24,'Health Data'!$F:$F,0))</f>
        <v>30</v>
      </c>
      <c r="X24" s="148">
        <f>IFERROR($U24/W$10, "")</f>
        <v>147.26706315491359</v>
      </c>
      <c r="Y24" s="62">
        <f>IFERROR($U24/W$12, "")</f>
        <v>736.33531577456802</v>
      </c>
      <c r="Z24" s="62">
        <f>IFERROR($U24/W$14, "")</f>
        <v>1472.670631549136</v>
      </c>
      <c r="AA24" s="62">
        <f>IFERROR($U24/W$16, "")</f>
        <v>2945.3412630982721</v>
      </c>
    </row>
    <row r="25" spans="2:27" s="22" customFormat="1" ht="20.25" customHeight="1" thickBot="1" x14ac:dyDescent="0.3">
      <c r="B25" s="654"/>
      <c r="C25" s="827"/>
      <c r="D25" s="825"/>
      <c r="E25" s="826"/>
      <c r="F25" s="781"/>
      <c r="G25" s="124"/>
      <c r="H25" s="783"/>
      <c r="I25" s="63" t="s">
        <v>101</v>
      </c>
      <c r="J25" s="196">
        <f>INDEX('Health Data'!$H:$H,MATCH(B24,'Health Data'!$F:$F,0))</f>
        <v>30</v>
      </c>
      <c r="K25" s="194">
        <f>IFERROR($H24/IF($I$4="Worker",$L$12,$L$13), "")</f>
        <v>148.70004100946747</v>
      </c>
      <c r="L25" s="94">
        <f>IFERROR($K25*'List Values'!$E$17, "")</f>
        <v>1487.0004100946746</v>
      </c>
      <c r="M25" s="94">
        <f>IFERROR($K25*'List Values'!$E$18, "")</f>
        <v>3717.5010252366869</v>
      </c>
      <c r="N25" s="94">
        <f>IFERROR($K25*'List Values'!$E$19, "")</f>
        <v>7435.0020504733739</v>
      </c>
      <c r="O25" s="94">
        <f>IFERROR($K25*'List Values'!$E$20, "")</f>
        <v>148700.04100946747</v>
      </c>
      <c r="P25" s="612">
        <f>IFERROR($K25*'List Values'!$E$21, "")</f>
        <v>1487000.4100946747</v>
      </c>
      <c r="R25" s="804"/>
      <c r="S25" s="801"/>
      <c r="T25" s="803"/>
      <c r="U25" s="796"/>
      <c r="V25" s="131" t="s">
        <v>101</v>
      </c>
      <c r="W25" s="98">
        <f>INDEX('Health Data'!$H:$H,MATCH(R24,'Health Data'!$F:$F,0))</f>
        <v>30</v>
      </c>
      <c r="X25" s="194">
        <f>IFERROR($U24/W$11, "")</f>
        <v>441.8011894647409</v>
      </c>
      <c r="Y25" s="94">
        <f>IFERROR($U24/W$13, "")</f>
        <v>2209.0059473237043</v>
      </c>
      <c r="Z25" s="94">
        <f>IFERROR($U24/W$15, "")</f>
        <v>4418.0118946474086</v>
      </c>
      <c r="AA25" s="94">
        <f>IFERROR($U24/W$17, "")</f>
        <v>8836.0237892948171</v>
      </c>
    </row>
    <row r="26" spans="2:27" s="22" customFormat="1" ht="20.25" customHeight="1" x14ac:dyDescent="0.25">
      <c r="B26" s="766" t="s">
        <v>123</v>
      </c>
      <c r="C26" s="784" t="s">
        <v>254</v>
      </c>
      <c r="D26" s="821" t="str">
        <f>INDEX('Health Data'!$D:$D, MATCH($B26, 'Health Data'!$F:$F, 0))</f>
        <v>Decrease in sperm concentration</v>
      </c>
      <c r="E26" s="822"/>
      <c r="F26" s="780" t="str">
        <f>INDEX('Health Data'!$E:$E, MATCH($B26, 'Health Data'!$F:$F, 0))</f>
        <v>Zhang et al. 2017</v>
      </c>
      <c r="G26" s="124"/>
      <c r="H26" s="782">
        <f>INDEX('Health Data'!$G:$G,MATCH(B26,'Health Data'!$F:$F,0))</f>
        <v>22</v>
      </c>
      <c r="I26" s="655" t="s">
        <v>98</v>
      </c>
      <c r="J26" s="195">
        <f>INDEX('Health Data'!$H:$H,MATCH(B26,'Health Data'!$F:$F,0))</f>
        <v>300</v>
      </c>
      <c r="K26" s="148">
        <f>IFERROR($H26/IF($I$4="Worker",$M$10,$M$11), "")</f>
        <v>4.5207260204178663</v>
      </c>
      <c r="L26" s="62">
        <f>IFERROR($K26*'List Values'!$E$17, "")</f>
        <v>45.207260204178667</v>
      </c>
      <c r="M26" s="62">
        <f>IFERROR($K26*'List Values'!$E$18, "")</f>
        <v>113.01815051044666</v>
      </c>
      <c r="N26" s="62">
        <f>IFERROR($K26*'List Values'!$E$19, "")</f>
        <v>226.03630102089332</v>
      </c>
      <c r="O26" s="62">
        <f>IFERROR($K26*'List Values'!$E$20, "")</f>
        <v>4520.7260204178665</v>
      </c>
      <c r="P26" s="90">
        <f>IFERROR($K26*'List Values'!$E$21, "")</f>
        <v>45207.260204178659</v>
      </c>
      <c r="Q26" s="65"/>
      <c r="R26" s="830" t="s">
        <v>124</v>
      </c>
      <c r="S26" s="828" t="str">
        <f>INDEX('Health Data'!$D:$D, MATCH($R26, 'Health Data'!$F:$F, 0))</f>
        <v>Increased relative kidney weight</v>
      </c>
      <c r="T26" s="829" t="str">
        <f>INDEX('Health Data'!$E:$E, MATCH($R26, 'Health Data'!$F:$F, 0))</f>
        <v>NTP, 1991</v>
      </c>
      <c r="U26" s="795">
        <f>INDEX('Health Data'!$G:$G,MATCH(R26,'Health Data'!$F:$F,0))</f>
        <v>9.1</v>
      </c>
      <c r="V26" s="129" t="s">
        <v>98</v>
      </c>
      <c r="W26" s="197">
        <f>INDEX('Health Data'!$H:$H,MATCH(R26,'Health Data'!$F:$F,0))</f>
        <v>300</v>
      </c>
      <c r="X26" s="148">
        <f>IFERROR($U26/X$10, "")</f>
        <v>157.67393561786085</v>
      </c>
      <c r="Y26" s="62">
        <f>IFERROR($U26/X$12, "")</f>
        <v>788.3696780893041</v>
      </c>
      <c r="Z26" s="62">
        <f>IFERROR($U26/X$14, "")</f>
        <v>1576.7393561786082</v>
      </c>
      <c r="AA26" s="62">
        <f>IFERROR($U26/X$16, "")</f>
        <v>3153.4787123572164</v>
      </c>
    </row>
    <row r="27" spans="2:27" s="22" customFormat="1" ht="20.25" customHeight="1" thickBot="1" x14ac:dyDescent="0.3">
      <c r="B27" s="766"/>
      <c r="C27" s="785"/>
      <c r="D27" s="825"/>
      <c r="E27" s="826"/>
      <c r="F27" s="810"/>
      <c r="G27" s="124"/>
      <c r="H27" s="783"/>
      <c r="I27" s="63" t="s">
        <v>101</v>
      </c>
      <c r="J27" s="196">
        <f>INDEX('Health Data'!$H:$H,MATCH(B26,'Health Data'!$F:$F,0))</f>
        <v>300</v>
      </c>
      <c r="K27" s="194">
        <f>IFERROR($H26/IF($I$4="Worker",$M$12,$M$13), "")</f>
        <v>159.20817724080314</v>
      </c>
      <c r="L27" s="94">
        <f>IFERROR($K27*'List Values'!$E$17, "")</f>
        <v>1592.0817724080314</v>
      </c>
      <c r="M27" s="94">
        <f>IFERROR($K27*'List Values'!$E$18, "")</f>
        <v>3980.2044310200786</v>
      </c>
      <c r="N27" s="94">
        <f>IFERROR($K27*'List Values'!$E$19, "")</f>
        <v>7960.4088620401571</v>
      </c>
      <c r="O27" s="94">
        <f>IFERROR($K27*'List Values'!$E$20, "")</f>
        <v>159208.17724080314</v>
      </c>
      <c r="P27" s="612">
        <f>IFERROR($K27*'List Values'!$E$21, "")</f>
        <v>1592081.7724080314</v>
      </c>
      <c r="Q27" s="65"/>
      <c r="R27" s="830"/>
      <c r="S27" s="801"/>
      <c r="T27" s="803"/>
      <c r="U27" s="796"/>
      <c r="V27" s="131" t="s">
        <v>101</v>
      </c>
      <c r="W27" s="98">
        <f>INDEX('Health Data'!$H:$H,MATCH(R26,'Health Data'!$F:$F,0))</f>
        <v>300</v>
      </c>
      <c r="X27" s="194">
        <f>IFERROR($U26/X$11, "")</f>
        <v>473.02180685358252</v>
      </c>
      <c r="Y27" s="94">
        <f>IFERROR($U26/X$13, "")</f>
        <v>2365.1090342679126</v>
      </c>
      <c r="Z27" s="94">
        <f>IFERROR($U26/X$15, "")</f>
        <v>4730.2180685358253</v>
      </c>
      <c r="AA27" s="94">
        <f>IFERROR($U26/X$17, "")</f>
        <v>9460.4361370716506</v>
      </c>
    </row>
    <row r="28" spans="2:27" s="22" customFormat="1" ht="20.25" customHeight="1" x14ac:dyDescent="0.25">
      <c r="B28" s="23"/>
      <c r="C28" s="2"/>
      <c r="D28" s="2"/>
      <c r="E28" s="2"/>
      <c r="F28" s="2"/>
      <c r="G28" s="421"/>
      <c r="H28" s="684" t="s">
        <v>255</v>
      </c>
      <c r="I28" s="674" t="s">
        <v>80</v>
      </c>
      <c r="J28" s="676" t="s">
        <v>106</v>
      </c>
      <c r="K28" s="787" t="str">
        <f>_xlfn.CONCAT("Exposure Estimates: ",$I$4," MOE")</f>
        <v>Exposure Estimates: Worker MOE</v>
      </c>
      <c r="L28" s="788"/>
      <c r="M28" s="788"/>
      <c r="N28" s="788"/>
      <c r="O28" s="788"/>
      <c r="P28" s="789"/>
      <c r="Q28" s="65"/>
      <c r="R28" s="65"/>
      <c r="S28" s="807"/>
      <c r="T28" s="811"/>
      <c r="U28" s="807"/>
      <c r="V28" s="820"/>
      <c r="W28" s="820"/>
      <c r="X28" s="820"/>
      <c r="Y28" s="820"/>
    </row>
    <row r="29" spans="2:27" s="22" customFormat="1" ht="20.25" customHeight="1" thickBot="1" x14ac:dyDescent="0.3">
      <c r="B29" s="23"/>
      <c r="C29" s="2"/>
      <c r="D29" s="2"/>
      <c r="E29" s="2"/>
      <c r="F29" s="2"/>
      <c r="G29" s="421"/>
      <c r="H29" s="685"/>
      <c r="I29" s="675"/>
      <c r="J29" s="677"/>
      <c r="K29" s="631" t="s">
        <v>242</v>
      </c>
      <c r="L29" s="633" t="s">
        <v>243</v>
      </c>
      <c r="M29" s="633" t="s">
        <v>244</v>
      </c>
      <c r="N29" s="633" t="s">
        <v>245</v>
      </c>
      <c r="O29" s="633" t="s">
        <v>246</v>
      </c>
      <c r="P29" s="629" t="s">
        <v>247</v>
      </c>
      <c r="Q29" s="65"/>
      <c r="R29" s="65"/>
      <c r="S29" s="807"/>
      <c r="T29" s="811"/>
      <c r="U29" s="807"/>
      <c r="V29" s="454"/>
      <c r="W29" s="454"/>
      <c r="X29" s="454"/>
      <c r="Y29" s="454"/>
    </row>
    <row r="30" spans="2:27" s="22" customFormat="1" ht="27.75" customHeight="1" thickBot="1" x14ac:dyDescent="0.3">
      <c r="B30" s="766" t="s">
        <v>132</v>
      </c>
      <c r="C30" s="816" t="s">
        <v>256</v>
      </c>
      <c r="D30" s="818" t="s">
        <v>161</v>
      </c>
      <c r="E30" s="805" t="str">
        <f>INDEX('Health Data'!$D:$D, MATCH($B30, 'Health Data'!$F:$F, 0))</f>
        <v>Result of combined cancer modeling</v>
      </c>
      <c r="F30" s="808" t="str">
        <f>INDEX('Health Data'!$E:$E, MATCH($B30, 'Health Data'!$F:$F, 0))</f>
        <v>Nagano, 2006</v>
      </c>
      <c r="G30" s="130"/>
      <c r="H30" s="812">
        <f>INDEX('Health Data'!$I:$I,MATCH(B30,'Health Data'!$F:$F,0))</f>
        <v>9.4999999999999998E-3</v>
      </c>
      <c r="I30" s="655" t="s">
        <v>98</v>
      </c>
      <c r="J30" s="87" t="s">
        <v>133</v>
      </c>
      <c r="K30" s="229">
        <f>IFERROR($H30*IF($I$4="Worker",$N$10,$N$11), "")</f>
        <v>2.3708467776063148E-2</v>
      </c>
      <c r="L30" s="230">
        <f>IFERROR($K30/'List Values'!$E$17, "")</f>
        <v>2.3708467776063146E-3</v>
      </c>
      <c r="M30" s="230">
        <f>IFERROR($K30/'List Values'!$E$18, "")</f>
        <v>9.4833871104252592E-4</v>
      </c>
      <c r="N30" s="230">
        <f>IFERROR($K30/'List Values'!$E$19, "")</f>
        <v>4.7416935552126296E-4</v>
      </c>
      <c r="O30" s="230">
        <f>IFERROR($K30/'List Values'!$E$20, "")</f>
        <v>2.3708467776063148E-5</v>
      </c>
      <c r="P30" s="613">
        <f>IFERROR($K30/'List Values'!$E$21, "")</f>
        <v>2.3708467776063146E-6</v>
      </c>
      <c r="S30" s="814"/>
      <c r="T30" s="455"/>
      <c r="U30" s="696"/>
      <c r="V30" s="58"/>
      <c r="W30" s="58"/>
      <c r="X30" s="58"/>
      <c r="Y30" s="58"/>
    </row>
    <row r="31" spans="2:27" s="22" customFormat="1" ht="27.75" customHeight="1" thickBot="1" x14ac:dyDescent="0.3">
      <c r="B31" s="766"/>
      <c r="C31" s="817"/>
      <c r="D31" s="819"/>
      <c r="E31" s="806"/>
      <c r="F31" s="809"/>
      <c r="G31" s="132"/>
      <c r="H31" s="813"/>
      <c r="I31" s="63" t="s">
        <v>101</v>
      </c>
      <c r="J31" s="404" t="s">
        <v>133</v>
      </c>
      <c r="K31" s="231">
        <f>IFERROR($H30*IF($I$4="Worker",$N$12,$N$13), "")</f>
        <v>5.2173263963990811E-4</v>
      </c>
      <c r="L31" s="232">
        <f>IFERROR($K31/'List Values'!$E$17, "")</f>
        <v>5.2173263963990812E-5</v>
      </c>
      <c r="M31" s="232">
        <f>IFERROR($K31/'List Values'!$E$18, "")</f>
        <v>2.0869305585596324E-5</v>
      </c>
      <c r="N31" s="232">
        <f>IFERROR($K31/'List Values'!$E$19, "")</f>
        <v>1.0434652792798162E-5</v>
      </c>
      <c r="O31" s="232">
        <f>IFERROR($K31/'List Values'!$E$20, "")</f>
        <v>5.2173263963990813E-7</v>
      </c>
      <c r="P31" s="614">
        <f>IFERROR($K31/'List Values'!$E$21, "")</f>
        <v>5.2173263963990808E-8</v>
      </c>
      <c r="S31" s="815"/>
      <c r="T31" s="455"/>
      <c r="U31" s="696"/>
      <c r="V31" s="58"/>
      <c r="W31" s="58"/>
      <c r="X31" s="58"/>
      <c r="Y31" s="58"/>
      <c r="Z31" s="112"/>
    </row>
    <row r="32" spans="2:27" s="2" customFormat="1" ht="15" x14ac:dyDescent="0.25"/>
    <row r="33" spans="1:20" s="2" customFormat="1" ht="15" x14ac:dyDescent="0.25"/>
    <row r="34" spans="1:20" s="22" customFormat="1" x14ac:dyDescent="0.25">
      <c r="B34" s="113"/>
      <c r="C34" s="68"/>
      <c r="D34" s="114"/>
      <c r="E34" s="68"/>
      <c r="F34" s="68"/>
      <c r="G34" s="112"/>
      <c r="H34" s="112"/>
      <c r="I34" s="112"/>
      <c r="J34" s="112"/>
      <c r="K34" s="112"/>
      <c r="L34" s="112"/>
      <c r="M34" s="112"/>
      <c r="O34" s="112"/>
      <c r="P34" s="112"/>
      <c r="Q34" s="112"/>
      <c r="R34" s="112"/>
      <c r="S34" s="112"/>
      <c r="T34" s="112"/>
    </row>
    <row r="35" spans="1:20" s="22" customFormat="1" x14ac:dyDescent="0.25">
      <c r="B35" s="113"/>
      <c r="C35" s="68"/>
      <c r="D35" s="114"/>
      <c r="E35" s="68"/>
      <c r="F35" s="68"/>
      <c r="G35" s="112"/>
      <c r="H35" s="112"/>
      <c r="I35" s="112"/>
      <c r="J35" s="112"/>
      <c r="K35" s="112"/>
      <c r="L35" s="112"/>
      <c r="M35" s="112"/>
      <c r="N35" s="112"/>
      <c r="O35" s="112"/>
      <c r="P35" s="112"/>
      <c r="Q35" s="112"/>
      <c r="R35" s="112"/>
      <c r="S35" s="112"/>
      <c r="T35" s="112"/>
    </row>
    <row r="36" spans="1:20" x14ac:dyDescent="0.25">
      <c r="A36" s="22"/>
    </row>
    <row r="42" spans="1:20" x14ac:dyDescent="0.25">
      <c r="I42" s="22"/>
      <c r="J42" s="22"/>
      <c r="K42" s="22"/>
      <c r="L42" s="22"/>
      <c r="M42" s="22"/>
    </row>
    <row r="47" spans="1:20" x14ac:dyDescent="0.25">
      <c r="O47" s="22"/>
      <c r="P47" s="22"/>
      <c r="Q47" s="22"/>
      <c r="R47" s="22"/>
      <c r="S47" s="22"/>
    </row>
    <row r="48" spans="1:20" x14ac:dyDescent="0.25">
      <c r="C48" s="65"/>
      <c r="D48" s="640"/>
      <c r="E48" s="65"/>
      <c r="F48" s="65"/>
      <c r="G48" s="22"/>
      <c r="H48" s="22"/>
    </row>
    <row r="50" spans="1:21" x14ac:dyDescent="0.25">
      <c r="B50" s="23"/>
    </row>
    <row r="51" spans="1:21" x14ac:dyDescent="0.25">
      <c r="B51" s="133"/>
      <c r="T51" s="22"/>
    </row>
    <row r="52" spans="1:21" x14ac:dyDescent="0.25">
      <c r="B52" s="133"/>
      <c r="I52" s="134"/>
      <c r="J52" s="134"/>
      <c r="K52" s="134"/>
      <c r="L52" s="134"/>
      <c r="M52" s="134"/>
      <c r="N52" s="22"/>
    </row>
    <row r="53" spans="1:21" s="22" customFormat="1" x14ac:dyDescent="0.25">
      <c r="A53" s="112"/>
      <c r="B53" s="133"/>
      <c r="C53" s="68"/>
      <c r="D53" s="114"/>
      <c r="E53" s="68"/>
      <c r="F53" s="68"/>
      <c r="G53" s="112"/>
      <c r="H53" s="112"/>
      <c r="I53" s="134"/>
      <c r="J53" s="134"/>
      <c r="K53" s="134"/>
      <c r="L53" s="134"/>
      <c r="M53" s="134"/>
      <c r="N53" s="112"/>
      <c r="O53" s="112"/>
      <c r="P53" s="112"/>
      <c r="Q53" s="112"/>
      <c r="R53" s="112"/>
      <c r="S53" s="112"/>
      <c r="T53" s="112"/>
    </row>
    <row r="54" spans="1:21" x14ac:dyDescent="0.25">
      <c r="A54" s="22"/>
      <c r="B54" s="133"/>
      <c r="I54" s="135"/>
      <c r="J54" s="135"/>
      <c r="K54" s="135"/>
      <c r="L54" s="135"/>
      <c r="M54" s="135"/>
    </row>
    <row r="55" spans="1:21" x14ac:dyDescent="0.25">
      <c r="B55" s="133"/>
      <c r="I55" s="135"/>
      <c r="J55" s="135"/>
      <c r="K55" s="135"/>
      <c r="L55" s="135"/>
      <c r="M55" s="135"/>
    </row>
    <row r="56" spans="1:21" x14ac:dyDescent="0.25">
      <c r="B56" s="133"/>
    </row>
    <row r="57" spans="1:21" x14ac:dyDescent="0.25">
      <c r="B57" s="133"/>
      <c r="C57" s="136"/>
      <c r="D57" s="137"/>
      <c r="E57" s="136"/>
      <c r="S57" s="135"/>
      <c r="T57" s="135"/>
      <c r="U57" s="135"/>
    </row>
    <row r="58" spans="1:21" ht="25.5" x14ac:dyDescent="0.25">
      <c r="B58" s="133"/>
      <c r="E58" s="136"/>
      <c r="F58" s="134"/>
      <c r="G58" s="135"/>
      <c r="H58" s="167" t="s">
        <v>134</v>
      </c>
      <c r="I58" s="139" t="str">
        <f>I30</f>
        <v>High End</v>
      </c>
      <c r="J58" s="138" t="str">
        <f>I31</f>
        <v>Central Tendency</v>
      </c>
      <c r="S58" s="452"/>
      <c r="T58" s="446"/>
      <c r="U58" s="121"/>
    </row>
    <row r="59" spans="1:21" x14ac:dyDescent="0.25">
      <c r="H59" s="95" t="s">
        <v>242</v>
      </c>
      <c r="I59" s="140">
        <f>K30</f>
        <v>2.3708467776063148E-2</v>
      </c>
      <c r="J59" s="140">
        <f>K31</f>
        <v>5.2173263963990811E-4</v>
      </c>
      <c r="S59" s="453"/>
      <c r="T59" s="636"/>
      <c r="U59" s="636"/>
    </row>
    <row r="60" spans="1:21" x14ac:dyDescent="0.25">
      <c r="H60" s="95" t="s">
        <v>243</v>
      </c>
      <c r="I60" s="140">
        <f>L30</f>
        <v>2.3708467776063146E-3</v>
      </c>
      <c r="J60" s="140">
        <f>L31</f>
        <v>5.2173263963990812E-5</v>
      </c>
      <c r="S60" s="453"/>
      <c r="T60" s="636"/>
      <c r="U60" s="636"/>
    </row>
    <row r="61" spans="1:21" x14ac:dyDescent="0.25">
      <c r="H61" s="95" t="s">
        <v>244</v>
      </c>
      <c r="I61" s="140">
        <f>M30</f>
        <v>9.4833871104252592E-4</v>
      </c>
      <c r="J61" s="140">
        <f>M31</f>
        <v>2.0869305585596324E-5</v>
      </c>
      <c r="S61" s="453"/>
      <c r="T61" s="636"/>
      <c r="U61" s="636"/>
    </row>
    <row r="62" spans="1:21" x14ac:dyDescent="0.25">
      <c r="A62" s="112" t="s">
        <v>257</v>
      </c>
      <c r="H62" s="95" t="s">
        <v>245</v>
      </c>
      <c r="I62" s="140">
        <f>N30</f>
        <v>4.7416935552126296E-4</v>
      </c>
      <c r="J62" s="140">
        <f>N31</f>
        <v>1.0434652792798162E-5</v>
      </c>
      <c r="S62" s="453"/>
      <c r="T62" s="636"/>
      <c r="U62" s="636"/>
    </row>
    <row r="63" spans="1:21" x14ac:dyDescent="0.25">
      <c r="H63" s="95" t="s">
        <v>246</v>
      </c>
      <c r="I63" s="140">
        <f>O30</f>
        <v>2.3708467776063148E-5</v>
      </c>
      <c r="J63" s="140">
        <f>O31</f>
        <v>5.2173263963990813E-7</v>
      </c>
      <c r="U63" s="660"/>
    </row>
    <row r="64" spans="1:21" x14ac:dyDescent="0.25">
      <c r="H64" s="95" t="s">
        <v>247</v>
      </c>
      <c r="I64" s="140">
        <f>P30</f>
        <v>2.3708467776063146E-6</v>
      </c>
      <c r="J64" s="140">
        <f>P31</f>
        <v>5.2173263963990808E-8</v>
      </c>
    </row>
  </sheetData>
  <sheetProtection sheet="1" objects="1" scenarios="1" formatCells="0" formatColumns="0" formatRows="0"/>
  <dataConsolidate link="1"/>
  <mergeCells count="68">
    <mergeCell ref="V28:Y28"/>
    <mergeCell ref="D22:E23"/>
    <mergeCell ref="D24:E25"/>
    <mergeCell ref="D26:E27"/>
    <mergeCell ref="C24:C25"/>
    <mergeCell ref="F24:F25"/>
    <mergeCell ref="U24:U25"/>
    <mergeCell ref="S24:S25"/>
    <mergeCell ref="S26:S27"/>
    <mergeCell ref="T24:T25"/>
    <mergeCell ref="T26:T27"/>
    <mergeCell ref="R24:R25"/>
    <mergeCell ref="R26:R27"/>
    <mergeCell ref="B30:B31"/>
    <mergeCell ref="H30:H31"/>
    <mergeCell ref="S30:S31"/>
    <mergeCell ref="C30:C31"/>
    <mergeCell ref="D30:D31"/>
    <mergeCell ref="U30:U31"/>
    <mergeCell ref="E30:E31"/>
    <mergeCell ref="H26:H27"/>
    <mergeCell ref="U26:U27"/>
    <mergeCell ref="H28:H29"/>
    <mergeCell ref="S28:S29"/>
    <mergeCell ref="F30:F31"/>
    <mergeCell ref="I28:I29"/>
    <mergeCell ref="J28:J29"/>
    <mergeCell ref="F26:F27"/>
    <mergeCell ref="T28:T29"/>
    <mergeCell ref="U28:U29"/>
    <mergeCell ref="K28:P28"/>
    <mergeCell ref="S8:S9"/>
    <mergeCell ref="L19:M19"/>
    <mergeCell ref="H22:H23"/>
    <mergeCell ref="U22:U23"/>
    <mergeCell ref="T8:T9"/>
    <mergeCell ref="S10:S11"/>
    <mergeCell ref="S12:S13"/>
    <mergeCell ref="S16:S17"/>
    <mergeCell ref="S14:S15"/>
    <mergeCell ref="S22:S23"/>
    <mergeCell ref="T22:T23"/>
    <mergeCell ref="R22:R23"/>
    <mergeCell ref="X20:AA20"/>
    <mergeCell ref="H20:H21"/>
    <mergeCell ref="I20:I21"/>
    <mergeCell ref="J20:J21"/>
    <mergeCell ref="U20:U21"/>
    <mergeCell ref="K20:P20"/>
    <mergeCell ref="W20:W21"/>
    <mergeCell ref="V20:V21"/>
    <mergeCell ref="S20:S21"/>
    <mergeCell ref="T20:T21"/>
    <mergeCell ref="B26:B27"/>
    <mergeCell ref="I3:J3"/>
    <mergeCell ref="I4:J4"/>
    <mergeCell ref="F20:F21"/>
    <mergeCell ref="D20:E21"/>
    <mergeCell ref="C20:C21"/>
    <mergeCell ref="I10:I11"/>
    <mergeCell ref="I12:I13"/>
    <mergeCell ref="H8:H9"/>
    <mergeCell ref="I8:I9"/>
    <mergeCell ref="C22:C23"/>
    <mergeCell ref="F22:F23"/>
    <mergeCell ref="B22:B23"/>
    <mergeCell ref="H24:H25"/>
    <mergeCell ref="C26:C27"/>
  </mergeCells>
  <conditionalFormatting sqref="J10:N13">
    <cfRule type="cellIs" dxfId="60" priority="23" operator="greaterThanOrEqual">
      <formula>10</formula>
    </cfRule>
    <cfRule type="cellIs" dxfId="59" priority="24" operator="between">
      <formula>1</formula>
      <formula>9.999</formula>
    </cfRule>
    <cfRule type="cellIs" dxfId="58" priority="28" operator="equal">
      <formula>0</formula>
    </cfRule>
    <cfRule type="cellIs" dxfId="57" priority="25" operator="between">
      <formula>0.1</formula>
      <formula>0.999</formula>
    </cfRule>
    <cfRule type="cellIs" dxfId="56" priority="26" operator="lessThanOrEqual">
      <formula>0.1</formula>
    </cfRule>
    <cfRule type="containsBlanks" dxfId="55" priority="27" stopIfTrue="1">
      <formula>LEN(TRIM(J10))=0</formula>
    </cfRule>
    <cfRule type="cellIs" dxfId="54" priority="22" operator="greaterThanOrEqual">
      <formula>10000</formula>
    </cfRule>
  </conditionalFormatting>
  <conditionalFormatting sqref="K10:N11 J12:N13">
    <cfRule type="cellIs" dxfId="53" priority="35" operator="lessThan">
      <formula>0.1</formula>
    </cfRule>
    <cfRule type="cellIs" dxfId="52" priority="36" operator="between">
      <formula>0.1</formula>
      <formula>0.999</formula>
    </cfRule>
    <cfRule type="cellIs" dxfId="51" priority="37" operator="between">
      <formula>1</formula>
      <formula>10</formula>
    </cfRule>
    <cfRule type="cellIs" dxfId="50" priority="38" operator="greaterThan">
      <formula>10</formula>
    </cfRule>
    <cfRule type="cellIs" dxfId="49" priority="39" operator="greaterThan">
      <formula>10000</formula>
    </cfRule>
  </conditionalFormatting>
  <conditionalFormatting sqref="K10:N11">
    <cfRule type="cellIs" dxfId="48" priority="34" operator="equal">
      <formula>0</formula>
    </cfRule>
  </conditionalFormatting>
  <conditionalFormatting sqref="K22:P27 X22:AA27 K30:P31 V30:Y31">
    <cfRule type="cellIs" dxfId="47" priority="8" operator="between">
      <formula>1</formula>
      <formula>9.999</formula>
    </cfRule>
    <cfRule type="cellIs" dxfId="46" priority="48" operator="between">
      <formula>0.1</formula>
      <formula>0.999</formula>
    </cfRule>
    <cfRule type="containsBlanks" dxfId="45" priority="52" stopIfTrue="1">
      <formula>LEN(TRIM(K22))=0</formula>
    </cfRule>
  </conditionalFormatting>
  <conditionalFormatting sqref="K22:P27">
    <cfRule type="cellIs" dxfId="44" priority="6" operator="greaterThanOrEqual">
      <formula>10000</formula>
    </cfRule>
    <cfRule type="cellIs" dxfId="43" priority="7" operator="greaterThanOrEqual">
      <formula>10</formula>
    </cfRule>
    <cfRule type="cellIs" dxfId="42" priority="49" operator="lessThanOrEqual">
      <formula>0.1</formula>
    </cfRule>
    <cfRule type="cellIs" dxfId="41" priority="53" operator="greaterThanOrEqual">
      <formula>$J22</formula>
    </cfRule>
    <cfRule type="cellIs" dxfId="40" priority="54" operator="lessThan">
      <formula>$J22</formula>
    </cfRule>
  </conditionalFormatting>
  <conditionalFormatting sqref="K30:P31 V30:Y31">
    <cfRule type="cellIs" dxfId="39" priority="58" operator="greaterThanOrEqual">
      <formula>0.0001</formula>
    </cfRule>
    <cfRule type="cellIs" dxfId="38" priority="59" operator="between">
      <formula>0.00001</formula>
      <formula>0.0001</formula>
    </cfRule>
    <cfRule type="cellIs" dxfId="37" priority="60" operator="between">
      <formula>0.000001</formula>
      <formula>0.00001</formula>
    </cfRule>
  </conditionalFormatting>
  <conditionalFormatting sqref="U10:X17">
    <cfRule type="cellIs" dxfId="36" priority="12" operator="between">
      <formula>0.1</formula>
      <formula>0.999</formula>
    </cfRule>
    <cfRule type="cellIs" dxfId="35" priority="13" operator="lessThanOrEqual">
      <formula>0.1</formula>
    </cfRule>
    <cfRule type="containsBlanks" dxfId="34" priority="14" stopIfTrue="1">
      <formula>LEN(TRIM(U10))=0</formula>
    </cfRule>
    <cfRule type="cellIs" dxfId="33" priority="15" operator="equal">
      <formula>0</formula>
    </cfRule>
    <cfRule type="cellIs" dxfId="32" priority="17" operator="lessThan">
      <formula>0.1</formula>
    </cfRule>
    <cfRule type="cellIs" dxfId="31" priority="18" operator="between">
      <formula>0.1</formula>
      <formula>0.999</formula>
    </cfRule>
    <cfRule type="cellIs" dxfId="30" priority="19" operator="between">
      <formula>1</formula>
      <formula>10</formula>
    </cfRule>
    <cfRule type="cellIs" dxfId="29" priority="20" operator="greaterThan">
      <formula>10</formula>
    </cfRule>
    <cfRule type="cellIs" dxfId="28" priority="21" operator="greaterThan">
      <formula>10000</formula>
    </cfRule>
    <cfRule type="cellIs" dxfId="27" priority="11" operator="between">
      <formula>1</formula>
      <formula>9.999</formula>
    </cfRule>
    <cfRule type="cellIs" dxfId="26" priority="9" operator="greaterThanOrEqual">
      <formula>10000</formula>
    </cfRule>
    <cfRule type="cellIs" dxfId="25" priority="10" operator="greaterThanOrEqual">
      <formula>10</formula>
    </cfRule>
  </conditionalFormatting>
  <conditionalFormatting sqref="X22:AA27">
    <cfRule type="cellIs" dxfId="24" priority="248" operator="greaterThanOrEqual">
      <formula>10000</formula>
    </cfRule>
    <cfRule type="cellIs" dxfId="23" priority="249" operator="greaterThanOrEqual">
      <formula>10</formula>
    </cfRule>
    <cfRule type="cellIs" dxfId="22" priority="250" operator="lessThanOrEqual">
      <formula>0.1</formula>
    </cfRule>
    <cfRule type="cellIs" dxfId="21" priority="251" operator="greaterThanOrEqual">
      <formula>$J22</formula>
    </cfRule>
    <cfRule type="cellIs" dxfId="20" priority="252" operator="lessThan">
      <formula>$J22</formula>
    </cfRule>
    <cfRule type="cellIs" dxfId="19" priority="253" operator="greaterThanOrEqual">
      <formula>$W22</formula>
    </cfRule>
    <cfRule type="cellIs" dxfId="18" priority="254" operator="lessThan">
      <formula>$W22</formula>
    </cfRule>
  </conditionalFormatting>
  <dataValidations count="1">
    <dataValidation allowBlank="1" showErrorMessage="1" sqref="H8 H12:H13 U8:U9 S8 J8:J9 K8" xr:uid="{B6FDB558-C6DA-450F-B0A7-6A9F371395FE}"/>
  </dataValidations>
  <pageMargins left="0.7" right="0.7" top="0.75" bottom="0.75" header="0.3" footer="0.3"/>
  <pageSetup orientation="portrait" r:id="rId1"/>
  <ignoredErrors>
    <ignoredError sqref="K27" 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B888423-487C-4515-BD78-F21A071FAC4A}">
          <x14:formula1>
            <xm:f>'List Values'!$H$9:$H$10</xm:f>
          </x14:formula1>
          <xm:sqref>I4</xm:sqref>
        </x14:dataValidation>
        <x14:dataValidation type="list" allowBlank="1" showInputMessage="1" showErrorMessage="1" xr:uid="{4F85816E-BA17-4FD9-8CBD-72E7D5AF1604}">
          <x14:formula1>
            <xm:f>'List Values'!$E$7:$E$8</xm:f>
          </x14:formula1>
          <xm:sqref>S4</xm:sqref>
        </x14:dataValidation>
        <x14:dataValidation type="list" allowBlank="1" showInputMessage="1" showErrorMessage="1" xr:uid="{EEB43209-65D0-4ECD-98C8-2D730F6098A1}">
          <x14:formula1>
            <xm:f>'List Values'!$B$2:$B$18</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850F-DA4A-4D3D-97A6-3832AB231949}">
  <dimension ref="A1:R26"/>
  <sheetViews>
    <sheetView zoomScale="80" zoomScaleNormal="80" workbookViewId="0">
      <selection activeCell="C10" sqref="C10"/>
    </sheetView>
  </sheetViews>
  <sheetFormatPr defaultColWidth="8.7109375" defaultRowHeight="15" x14ac:dyDescent="0.25"/>
  <cols>
    <col min="1" max="1" width="6.42578125" style="2" customWidth="1"/>
    <col min="2" max="2" width="21.7109375" style="2" customWidth="1"/>
    <col min="3" max="3" width="20.28515625" style="2" customWidth="1"/>
    <col min="4" max="4" width="30" style="2" customWidth="1"/>
    <col min="5" max="5" width="26.28515625" style="2" customWidth="1"/>
    <col min="6" max="6" width="8.7109375" style="2"/>
    <col min="7" max="8" width="19.85546875" style="2" customWidth="1"/>
    <col min="9" max="9" width="18.7109375" style="2" customWidth="1"/>
    <col min="10" max="10" width="20.7109375" style="2" customWidth="1"/>
    <col min="11" max="11" width="16.7109375" style="2" customWidth="1"/>
    <col min="12" max="12" width="20.5703125" style="2" customWidth="1"/>
    <col min="13" max="13" width="14.28515625" style="2" customWidth="1"/>
    <col min="14" max="14" width="6.28515625" style="2" customWidth="1"/>
    <col min="15" max="15" width="23.85546875" style="2" customWidth="1"/>
    <col min="16" max="16" width="18" style="2" customWidth="1"/>
    <col min="17" max="17" width="20.7109375" style="2" bestFit="1" customWidth="1"/>
    <col min="18" max="18" width="14.7109375" style="2" customWidth="1"/>
    <col min="19" max="19" width="6.5703125" style="2" customWidth="1"/>
    <col min="20" max="16384" width="8.7109375" style="2"/>
  </cols>
  <sheetData>
    <row r="1" spans="1:17" x14ac:dyDescent="0.25">
      <c r="A1" s="749"/>
      <c r="B1" s="749"/>
      <c r="C1" s="749"/>
      <c r="D1" s="749"/>
      <c r="E1" s="749"/>
      <c r="F1" s="749"/>
      <c r="G1" s="749"/>
      <c r="H1" s="749"/>
      <c r="I1" s="749"/>
      <c r="J1" s="749"/>
      <c r="K1" s="749"/>
      <c r="L1" s="749"/>
      <c r="M1" s="749"/>
      <c r="N1" s="749"/>
    </row>
    <row r="3" spans="1:17" ht="18.75" x14ac:dyDescent="0.3">
      <c r="B3" s="1" t="s">
        <v>258</v>
      </c>
    </row>
    <row r="4" spans="1:17" ht="39" customHeight="1" x14ac:dyDescent="0.25">
      <c r="B4" s="408"/>
      <c r="G4" s="846"/>
      <c r="H4" s="846"/>
      <c r="I4" s="847"/>
      <c r="J4" s="847"/>
      <c r="K4" s="45"/>
      <c r="L4" s="45"/>
    </row>
    <row r="5" spans="1:17" ht="14.45" customHeight="1" x14ac:dyDescent="0.25">
      <c r="B5" s="831" t="s">
        <v>167</v>
      </c>
      <c r="C5" s="831"/>
      <c r="D5" s="831"/>
      <c r="E5" s="831"/>
      <c r="F5" s="831"/>
      <c r="G5" s="831" t="s">
        <v>259</v>
      </c>
      <c r="H5" s="831"/>
      <c r="I5" s="583" t="s">
        <v>260</v>
      </c>
      <c r="J5" s="46"/>
      <c r="L5" s="272"/>
      <c r="O5" s="843" t="s">
        <v>261</v>
      </c>
      <c r="P5" s="844"/>
      <c r="Q5" s="845"/>
    </row>
    <row r="6" spans="1:17" ht="45" x14ac:dyDescent="0.25">
      <c r="B6" s="564"/>
      <c r="C6" s="831" t="s">
        <v>240</v>
      </c>
      <c r="D6" s="831"/>
      <c r="E6" s="661" t="s">
        <v>241</v>
      </c>
      <c r="F6" s="661" t="s">
        <v>262</v>
      </c>
      <c r="G6" s="565" t="s">
        <v>105</v>
      </c>
      <c r="H6" s="566" t="s">
        <v>263</v>
      </c>
      <c r="I6" s="567" t="s">
        <v>264</v>
      </c>
      <c r="J6" s="561"/>
      <c r="L6" s="561"/>
      <c r="O6" s="8"/>
      <c r="P6" s="9" t="s">
        <v>265</v>
      </c>
      <c r="Q6" s="7" t="s">
        <v>266</v>
      </c>
    </row>
    <row r="7" spans="1:17" ht="30" x14ac:dyDescent="0.25">
      <c r="B7" s="568" t="s">
        <v>252</v>
      </c>
      <c r="C7" s="568"/>
      <c r="D7" s="569" t="s">
        <v>267</v>
      </c>
      <c r="E7" s="569" t="s">
        <v>268</v>
      </c>
      <c r="F7" s="569" t="s">
        <v>113</v>
      </c>
      <c r="G7" s="570">
        <v>10.14</v>
      </c>
      <c r="H7" s="571">
        <v>30</v>
      </c>
      <c r="I7" s="572" t="s">
        <v>144</v>
      </c>
      <c r="J7" s="562"/>
      <c r="L7" s="559"/>
      <c r="O7" s="3"/>
      <c r="P7" s="2" t="s">
        <v>98</v>
      </c>
      <c r="Q7" s="4">
        <f>0.000001</f>
        <v>9.9999999999999995E-7</v>
      </c>
    </row>
    <row r="8" spans="1:17" ht="30" x14ac:dyDescent="0.25">
      <c r="B8" s="568" t="s">
        <v>253</v>
      </c>
      <c r="C8" s="568"/>
      <c r="D8" s="569" t="s">
        <v>269</v>
      </c>
      <c r="E8" s="569" t="s">
        <v>270</v>
      </c>
      <c r="F8" s="569" t="s">
        <v>118</v>
      </c>
      <c r="G8" s="573">
        <v>22</v>
      </c>
      <c r="H8" s="574">
        <v>30</v>
      </c>
      <c r="I8" s="572" t="s">
        <v>144</v>
      </c>
      <c r="J8" s="562"/>
      <c r="L8" s="559"/>
      <c r="O8" s="3"/>
      <c r="P8" s="2" t="s">
        <v>101</v>
      </c>
      <c r="Q8" s="4">
        <f>0.00001</f>
        <v>1.0000000000000001E-5</v>
      </c>
    </row>
    <row r="9" spans="1:17" ht="30" x14ac:dyDescent="0.25">
      <c r="B9" s="568" t="s">
        <v>254</v>
      </c>
      <c r="C9" s="186"/>
      <c r="D9" s="569" t="s">
        <v>269</v>
      </c>
      <c r="E9" s="569" t="s">
        <v>270</v>
      </c>
      <c r="F9" s="569" t="s">
        <v>123</v>
      </c>
      <c r="G9" s="573">
        <v>22</v>
      </c>
      <c r="H9" s="571">
        <v>300</v>
      </c>
      <c r="I9" s="572" t="s">
        <v>144</v>
      </c>
      <c r="J9" s="562"/>
      <c r="L9" s="559"/>
      <c r="O9" s="3"/>
      <c r="Q9" s="4"/>
    </row>
    <row r="10" spans="1:17" ht="30" x14ac:dyDescent="0.25">
      <c r="B10" s="575" t="s">
        <v>256</v>
      </c>
      <c r="C10" s="576" t="s">
        <v>161</v>
      </c>
      <c r="D10" s="40" t="s">
        <v>271</v>
      </c>
      <c r="E10" s="564" t="s">
        <v>272</v>
      </c>
      <c r="F10" s="564" t="s">
        <v>132</v>
      </c>
      <c r="G10" s="577" t="s">
        <v>144</v>
      </c>
      <c r="H10" s="577" t="s">
        <v>144</v>
      </c>
      <c r="I10" s="578">
        <v>9.4999999999999998E-3</v>
      </c>
      <c r="J10" s="563"/>
      <c r="L10" s="559"/>
      <c r="O10" s="3"/>
      <c r="Q10" s="4"/>
    </row>
    <row r="11" spans="1:17" x14ac:dyDescent="0.25">
      <c r="B11" s="557"/>
      <c r="C11" s="558"/>
      <c r="D11" s="21"/>
      <c r="G11" s="559"/>
      <c r="H11" s="559"/>
      <c r="I11" s="559"/>
      <c r="J11" s="562"/>
      <c r="L11" s="559"/>
      <c r="O11" s="3"/>
      <c r="Q11" s="4"/>
    </row>
    <row r="12" spans="1:17" ht="30.75" customHeight="1" x14ac:dyDescent="0.25">
      <c r="B12" s="557"/>
      <c r="C12" s="558"/>
      <c r="D12" s="21"/>
      <c r="G12" s="559"/>
      <c r="H12" s="559"/>
      <c r="I12" s="559"/>
      <c r="J12" s="559"/>
      <c r="L12" s="559"/>
      <c r="M12" s="44"/>
      <c r="N12" s="166"/>
      <c r="O12" s="5"/>
      <c r="P12" s="6"/>
      <c r="Q12" s="200">
        <f>0.0001</f>
        <v>1E-4</v>
      </c>
    </row>
    <row r="13" spans="1:17" x14ac:dyDescent="0.25">
      <c r="B13" s="832" t="s">
        <v>72</v>
      </c>
      <c r="C13" s="833"/>
      <c r="D13" s="833"/>
      <c r="E13" s="833"/>
      <c r="F13" s="834"/>
      <c r="G13" s="831" t="s">
        <v>259</v>
      </c>
      <c r="H13" s="831"/>
      <c r="I13" s="583" t="s">
        <v>260</v>
      </c>
      <c r="J13" s="559"/>
      <c r="K13" s="560"/>
      <c r="L13" s="559"/>
      <c r="O13" s="55" t="s">
        <v>273</v>
      </c>
      <c r="P13" s="55"/>
      <c r="Q13" s="55"/>
    </row>
    <row r="14" spans="1:17" ht="45" x14ac:dyDescent="0.25">
      <c r="B14" s="564"/>
      <c r="C14" s="831" t="s">
        <v>240</v>
      </c>
      <c r="D14" s="831"/>
      <c r="E14" s="661" t="s">
        <v>241</v>
      </c>
      <c r="F14" s="661" t="s">
        <v>262</v>
      </c>
      <c r="G14" s="566" t="s">
        <v>274</v>
      </c>
      <c r="H14" s="566" t="s">
        <v>263</v>
      </c>
      <c r="I14" s="567" t="s">
        <v>275</v>
      </c>
      <c r="J14" s="559"/>
      <c r="K14" s="560"/>
      <c r="L14" s="559"/>
      <c r="O14" s="840">
        <f>P16/P15</f>
        <v>0.25216584158415845</v>
      </c>
      <c r="P14" s="840"/>
      <c r="Q14" s="56" t="s">
        <v>276</v>
      </c>
    </row>
    <row r="15" spans="1:17" ht="30" x14ac:dyDescent="0.25">
      <c r="B15" s="568" t="s">
        <v>252</v>
      </c>
      <c r="C15" s="564"/>
      <c r="D15" s="579" t="s">
        <v>277</v>
      </c>
      <c r="E15" s="564" t="s">
        <v>278</v>
      </c>
      <c r="F15" s="564" t="s">
        <v>114</v>
      </c>
      <c r="G15" s="580">
        <v>19.899999999999999</v>
      </c>
      <c r="H15" s="580">
        <v>30</v>
      </c>
      <c r="I15" s="572" t="s">
        <v>144</v>
      </c>
      <c r="J15" s="559"/>
      <c r="K15" s="560"/>
      <c r="L15" s="559"/>
      <c r="O15" s="352" t="s">
        <v>279</v>
      </c>
      <c r="P15" s="353">
        <v>96.96</v>
      </c>
      <c r="Q15" s="56" t="s">
        <v>280</v>
      </c>
    </row>
    <row r="16" spans="1:17" ht="30" x14ac:dyDescent="0.25">
      <c r="B16" s="841" t="s">
        <v>253</v>
      </c>
      <c r="C16" s="564"/>
      <c r="D16" s="579" t="s">
        <v>281</v>
      </c>
      <c r="E16" s="564" t="s">
        <v>282</v>
      </c>
      <c r="F16" s="564" t="s">
        <v>119</v>
      </c>
      <c r="G16" s="580">
        <v>9.1</v>
      </c>
      <c r="H16" s="580">
        <v>30</v>
      </c>
      <c r="I16" s="572" t="s">
        <v>144</v>
      </c>
      <c r="O16" s="662" t="s">
        <v>283</v>
      </c>
      <c r="P16" s="56">
        <v>24.45</v>
      </c>
      <c r="Q16" s="56" t="s">
        <v>284</v>
      </c>
    </row>
    <row r="17" spans="2:18" x14ac:dyDescent="0.25">
      <c r="B17" s="842"/>
      <c r="C17" s="564"/>
      <c r="D17" s="569" t="s">
        <v>120</v>
      </c>
      <c r="E17" s="564"/>
      <c r="F17" s="564"/>
      <c r="G17" s="580"/>
      <c r="H17" s="580">
        <v>100</v>
      </c>
      <c r="I17" s="572" t="s">
        <v>144</v>
      </c>
    </row>
    <row r="18" spans="2:18" ht="30" x14ac:dyDescent="0.25">
      <c r="B18" s="841" t="s">
        <v>254</v>
      </c>
      <c r="C18" s="564"/>
      <c r="D18" s="579" t="s">
        <v>285</v>
      </c>
      <c r="E18" s="564" t="s">
        <v>282</v>
      </c>
      <c r="F18" s="564" t="s">
        <v>124</v>
      </c>
      <c r="G18" s="580">
        <v>9.1</v>
      </c>
      <c r="H18" s="581">
        <v>300</v>
      </c>
      <c r="I18" s="572" t="s">
        <v>144</v>
      </c>
    </row>
    <row r="19" spans="2:18" x14ac:dyDescent="0.25">
      <c r="B19" s="842"/>
      <c r="C19" s="564"/>
      <c r="D19" s="569" t="s">
        <v>120</v>
      </c>
      <c r="E19" s="564"/>
      <c r="F19" s="564"/>
      <c r="G19" s="580"/>
      <c r="H19" s="580">
        <v>1000</v>
      </c>
      <c r="I19" s="572" t="s">
        <v>144</v>
      </c>
      <c r="O19" s="57" t="s">
        <v>286</v>
      </c>
      <c r="P19" s="57"/>
      <c r="Q19" s="57" t="s">
        <v>98</v>
      </c>
      <c r="R19" s="2" t="s">
        <v>101</v>
      </c>
    </row>
    <row r="20" spans="2:18" x14ac:dyDescent="0.25">
      <c r="B20" s="575" t="s">
        <v>256</v>
      </c>
      <c r="C20" s="576" t="s">
        <v>161</v>
      </c>
      <c r="D20" s="586" t="s">
        <v>144</v>
      </c>
      <c r="E20" s="586" t="s">
        <v>144</v>
      </c>
      <c r="F20" s="564" t="s">
        <v>287</v>
      </c>
      <c r="G20" s="577" t="s">
        <v>144</v>
      </c>
      <c r="H20" s="577" t="s">
        <v>144</v>
      </c>
      <c r="I20" s="582" t="s">
        <v>144</v>
      </c>
      <c r="O20" s="838" t="s">
        <v>288</v>
      </c>
      <c r="P20" s="839"/>
      <c r="Q20" s="354">
        <v>1.3193188710426619E-3</v>
      </c>
      <c r="R20" s="354">
        <v>1.7541188791086573E-4</v>
      </c>
    </row>
    <row r="21" spans="2:18" ht="30" x14ac:dyDescent="0.25">
      <c r="O21" s="836" t="s">
        <v>97</v>
      </c>
      <c r="P21" s="837"/>
      <c r="Q21" s="41" t="s">
        <v>98</v>
      </c>
      <c r="R21" s="41" t="s">
        <v>101</v>
      </c>
    </row>
    <row r="22" spans="2:18" x14ac:dyDescent="0.25">
      <c r="O22" s="835" t="s">
        <v>289</v>
      </c>
      <c r="P22" s="835"/>
      <c r="Q22" s="835"/>
    </row>
    <row r="25" spans="2:18" x14ac:dyDescent="0.25">
      <c r="O25" s="38" t="s">
        <v>288</v>
      </c>
      <c r="P25" s="39">
        <v>0</v>
      </c>
    </row>
    <row r="26" spans="2:18" x14ac:dyDescent="0.25">
      <c r="O26" s="40" t="s">
        <v>97</v>
      </c>
      <c r="P26" s="41">
        <v>0</v>
      </c>
    </row>
  </sheetData>
  <sheetProtection sheet="1" objects="1" scenarios="1" formatCells="0" formatColumns="0" formatRows="0"/>
  <mergeCells count="16">
    <mergeCell ref="A1:N1"/>
    <mergeCell ref="O5:Q5"/>
    <mergeCell ref="C6:D6"/>
    <mergeCell ref="G4:H4"/>
    <mergeCell ref="I4:J4"/>
    <mergeCell ref="G5:H5"/>
    <mergeCell ref="G13:H13"/>
    <mergeCell ref="B5:F5"/>
    <mergeCell ref="B13:F13"/>
    <mergeCell ref="O22:Q22"/>
    <mergeCell ref="O21:P21"/>
    <mergeCell ref="O20:P20"/>
    <mergeCell ref="O14:P14"/>
    <mergeCell ref="C14:D14"/>
    <mergeCell ref="B16:B17"/>
    <mergeCell ref="B18:B19"/>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67A0-7D9D-4FF3-8243-F55A2CBDAD5E}">
  <dimension ref="A2:S26"/>
  <sheetViews>
    <sheetView workbookViewId="0">
      <selection activeCell="H18" sqref="H18"/>
    </sheetView>
  </sheetViews>
  <sheetFormatPr defaultColWidth="9.140625" defaultRowHeight="15" x14ac:dyDescent="0.25"/>
  <cols>
    <col min="1" max="1" width="27.28515625" style="168" customWidth="1"/>
    <col min="2" max="2" width="31.85546875" style="168" customWidth="1"/>
    <col min="3" max="3" width="25.140625" style="168" bestFit="1" customWidth="1"/>
    <col min="4" max="4" width="19.85546875" bestFit="1" customWidth="1"/>
    <col min="5" max="5" width="18" bestFit="1" customWidth="1"/>
    <col min="6" max="6" width="7" customWidth="1"/>
    <col min="7" max="7" width="14.7109375" customWidth="1"/>
    <col min="8" max="8" width="16.28515625" customWidth="1"/>
    <col min="9" max="9" width="15.28515625" customWidth="1"/>
    <col min="10" max="10" width="16.28515625" customWidth="1"/>
    <col min="11" max="12" width="13.5703125" customWidth="1"/>
    <col min="13" max="13" width="18.85546875" customWidth="1"/>
    <col min="14" max="14" width="16.7109375" customWidth="1"/>
    <col min="15" max="15" width="19" style="168" customWidth="1"/>
    <col min="16" max="16" width="23" style="168" customWidth="1"/>
    <col min="17" max="17" width="20.5703125" style="168" customWidth="1"/>
    <col min="18" max="18" width="19.28515625" style="168" customWidth="1"/>
    <col min="19" max="19" width="17" bestFit="1" customWidth="1"/>
  </cols>
  <sheetData>
    <row r="2" spans="1:19" ht="15.75" thickBot="1" x14ac:dyDescent="0.3"/>
    <row r="3" spans="1:19" ht="15.75" thickBot="1" x14ac:dyDescent="0.3">
      <c r="A3" s="848" t="s">
        <v>290</v>
      </c>
      <c r="B3" s="848"/>
      <c r="C3" s="848"/>
      <c r="D3" s="848"/>
      <c r="E3" s="848"/>
      <c r="F3" s="849"/>
      <c r="G3" s="852" t="s">
        <v>291</v>
      </c>
      <c r="H3" s="853"/>
      <c r="I3" s="853"/>
      <c r="J3" s="853"/>
      <c r="K3" s="853"/>
      <c r="L3" s="853"/>
      <c r="M3" s="854"/>
      <c r="N3" s="858" t="s">
        <v>292</v>
      </c>
      <c r="O3" s="859"/>
      <c r="P3" s="859"/>
      <c r="Q3" s="859"/>
      <c r="R3" s="860"/>
      <c r="S3" s="169"/>
    </row>
    <row r="4" spans="1:19" ht="15.75" thickBot="1" x14ac:dyDescent="0.3">
      <c r="A4" s="109"/>
      <c r="B4" s="170"/>
      <c r="C4" s="171"/>
      <c r="D4" s="877" t="s">
        <v>293</v>
      </c>
      <c r="E4" s="877" t="s">
        <v>80</v>
      </c>
      <c r="F4" s="172"/>
      <c r="G4" s="867" t="s">
        <v>294</v>
      </c>
      <c r="H4" s="855" t="s">
        <v>295</v>
      </c>
      <c r="I4" s="871" t="s">
        <v>296</v>
      </c>
      <c r="J4" s="871" t="s">
        <v>297</v>
      </c>
      <c r="K4" s="865" t="s">
        <v>298</v>
      </c>
      <c r="L4" s="865" t="s">
        <v>299</v>
      </c>
      <c r="M4" s="871" t="s">
        <v>300</v>
      </c>
      <c r="N4" s="869" t="s">
        <v>86</v>
      </c>
      <c r="O4" s="861" t="s">
        <v>87</v>
      </c>
      <c r="P4" s="861" t="s">
        <v>88</v>
      </c>
      <c r="Q4" s="861" t="s">
        <v>89</v>
      </c>
      <c r="R4" s="863" t="s">
        <v>301</v>
      </c>
      <c r="S4" s="874" t="s">
        <v>302</v>
      </c>
    </row>
    <row r="5" spans="1:19" ht="25.5" customHeight="1" thickBot="1" x14ac:dyDescent="0.3">
      <c r="A5" s="141"/>
      <c r="B5" s="173"/>
      <c r="C5" s="174"/>
      <c r="D5" s="878"/>
      <c r="E5" s="878"/>
      <c r="F5" s="175"/>
      <c r="G5" s="868"/>
      <c r="H5" s="856"/>
      <c r="I5" s="872"/>
      <c r="J5" s="872"/>
      <c r="K5" s="865"/>
      <c r="L5" s="865"/>
      <c r="M5" s="872"/>
      <c r="N5" s="870"/>
      <c r="O5" s="862"/>
      <c r="P5" s="862"/>
      <c r="Q5" s="862"/>
      <c r="R5" s="864"/>
      <c r="S5" s="875"/>
    </row>
    <row r="6" spans="1:19" ht="39" customHeight="1" thickBot="1" x14ac:dyDescent="0.3">
      <c r="A6" s="142" t="s">
        <v>303</v>
      </c>
      <c r="B6" s="160" t="s">
        <v>304</v>
      </c>
      <c r="C6" s="176" t="s">
        <v>74</v>
      </c>
      <c r="D6" s="878"/>
      <c r="E6" s="878"/>
      <c r="F6" s="192" t="s">
        <v>305</v>
      </c>
      <c r="G6" s="868"/>
      <c r="H6" s="857"/>
      <c r="I6" s="873"/>
      <c r="J6" s="873"/>
      <c r="K6" s="866"/>
      <c r="L6" s="866"/>
      <c r="M6" s="873"/>
      <c r="N6" s="177" t="s">
        <v>306</v>
      </c>
      <c r="O6" s="178" t="s">
        <v>307</v>
      </c>
      <c r="P6" s="178" t="s">
        <v>307</v>
      </c>
      <c r="Q6" s="178" t="s">
        <v>308</v>
      </c>
      <c r="R6" s="179" t="s">
        <v>308</v>
      </c>
      <c r="S6" s="876"/>
    </row>
    <row r="7" spans="1:19" ht="72.599999999999994" customHeight="1" x14ac:dyDescent="0.25">
      <c r="A7" s="161" t="str">
        <f>Dashboard!$C$4</f>
        <v>Processing – Repackaging Scenario 3 (loading)</v>
      </c>
      <c r="B7" s="162" t="str">
        <f>VLOOKUP($A7,'Dermal Crosswalk'!$B$6:$J$21,2,FALSE)</f>
        <v>Processing – Repackaging</v>
      </c>
      <c r="C7" s="162" t="str">
        <f>Dashboard!$N$4</f>
        <v>Probabilistic</v>
      </c>
      <c r="D7" s="180" t="s">
        <v>248</v>
      </c>
      <c r="E7" s="180" t="s">
        <v>98</v>
      </c>
      <c r="F7" s="181">
        <f>VLOOKUP($A7,'Dermal Crosswalk'!$B$6:$J$21,3,FALSE)</f>
        <v>1</v>
      </c>
      <c r="G7" s="311">
        <f>VLOOKUP($A7,'Dermal Crosswalk'!$B$6:$J$21,4,FALSE)</f>
        <v>1</v>
      </c>
      <c r="H7" s="418">
        <f>VLOOKUP($A7,'Dermal Crosswalk'!$B$6:$J$21,9,FALSE)</f>
        <v>3.0000000000000001E-3</v>
      </c>
      <c r="I7" s="181">
        <f>VLOOKUP($A7,'Inhalation Exposure'!$C$6:$G$32,MATCH($E7,'Inhalation Exposure'!$F$5:$G$5,0)+3,FALSE)</f>
        <v>128</v>
      </c>
      <c r="J7" s="181">
        <v>1</v>
      </c>
      <c r="K7" s="182" t="e">
        <f>IF(E7="High End",HLOOKUP($C7,'Exposure Factors'!$C$5:$D$11,4,FALSE),HLOOKUP($C7,'Exposure Factors'!$C$5:$D$11,3,FALSE))</f>
        <v>#N/A</v>
      </c>
      <c r="L7" s="181" t="e">
        <f>HLOOKUP($C7,'Exposure Factors'!$C$5:$D$11,2,FALSE)</f>
        <v>#N/A</v>
      </c>
      <c r="M7" s="183">
        <v>2.1</v>
      </c>
      <c r="N7" s="331" t="str">
        <f>IFERROR(K7*M7*H7*G7*J7,"Not Assessed")</f>
        <v>Not Assessed</v>
      </c>
      <c r="O7" s="329" t="str">
        <f>IFERROR($N7/L7,"Not Assessed")</f>
        <v>Not Assessed</v>
      </c>
      <c r="P7" s="337" t="str">
        <f>IFERROR(IF(I7&gt;EF_ST,$O7*EF_ST/(AT_CRD_ST),$O7*$I7/(AT_CRD_ST)),"Not Assessed")</f>
        <v>Not Assessed</v>
      </c>
      <c r="Q7" s="337" t="str">
        <f>IFERROR($O7*$I7*HLOOKUP($C7,'Exposure Factors'!$C$5:$D$11,MATCH($E7,'Exposure Factors'!$E$9:$E$10,0)+4,FALSE)/(AT_CRD_high),"Not Assessed")</f>
        <v>Not Assessed</v>
      </c>
      <c r="R7" s="337" t="str">
        <f>IFERROR($O7*$I7*HLOOKUP($C7,'Exposure Factors'!$C$5:$D$11,MATCH($E7,'Exposure Factors'!$E$9:$E$10,0)+4,FALSE)/(AT_LCRD),"Not Assessed")</f>
        <v>Not Assessed</v>
      </c>
      <c r="S7" s="184"/>
    </row>
    <row r="8" spans="1:19" ht="74.45" customHeight="1" thickBot="1" x14ac:dyDescent="0.3">
      <c r="A8" s="313" t="str">
        <f>Dashboard!$C$4</f>
        <v>Processing – Repackaging Scenario 3 (loading)</v>
      </c>
      <c r="B8" s="314" t="str">
        <f>VLOOKUP($A8,'Dermal Crosswalk'!$B$6:$J$21,2,FALSE)</f>
        <v>Processing – Repackaging</v>
      </c>
      <c r="C8" s="314" t="str">
        <f>Dashboard!$N$4</f>
        <v>Probabilistic</v>
      </c>
      <c r="D8" s="315" t="s">
        <v>248</v>
      </c>
      <c r="E8" s="315" t="s">
        <v>101</v>
      </c>
      <c r="F8" s="316">
        <f>VLOOKUP($A8,'Dermal Crosswalk'!$B$6:$J$21,3,FALSE)</f>
        <v>1</v>
      </c>
      <c r="G8" s="317">
        <f>VLOOKUP($A8,'Dermal Crosswalk'!$B$6:$J$21,4,FALSE)</f>
        <v>1</v>
      </c>
      <c r="H8" s="419">
        <f>VLOOKUP($A8,'Dermal Crosswalk'!$B$6:$J$21,9,FALSE)</f>
        <v>3.0000000000000001E-3</v>
      </c>
      <c r="I8" s="316">
        <f>VLOOKUP($A8,'Inhalation Exposure'!$C$6:$G$32,MATCH($E8,'Inhalation Exposure'!$F$5:$G$5,0)+3,FALSE)</f>
        <v>26</v>
      </c>
      <c r="J8" s="316">
        <v>1</v>
      </c>
      <c r="K8" s="639" t="e">
        <f>IF(E8="High End",HLOOKUP($C8,'Exposure Factors'!$C$5:$D$11,4,FALSE),HLOOKUP($C8,'Exposure Factors'!$C$5:$D$11,3,FALSE))</f>
        <v>#N/A</v>
      </c>
      <c r="L8" s="316" t="e">
        <f>HLOOKUP($C8,'Exposure Factors'!$C$5:$D$11,2,FALSE)</f>
        <v>#N/A</v>
      </c>
      <c r="M8" s="318">
        <v>1.4</v>
      </c>
      <c r="N8" s="332" t="str">
        <f t="shared" ref="N8" si="0">IFERROR(K8*M8*H8*G8*J8,"Not Assessed")</f>
        <v>Not Assessed</v>
      </c>
      <c r="O8" s="330" t="str">
        <f t="shared" ref="O8" si="1">IFERROR($N8/L8,"Not Assessed")</f>
        <v>Not Assessed</v>
      </c>
      <c r="P8" s="338" t="str">
        <f>IFERROR(IF(I8&gt;EF_ST,$O8*EF_ST/(AT_CRD_ST),$O8*$I8/(AT_CRD_ST)),"Not Assessed")</f>
        <v>Not Assessed</v>
      </c>
      <c r="Q8" s="338" t="str">
        <f>IFERROR($O8*$I8*HLOOKUP($C8,'Exposure Factors'!$C$5:$D$11,MATCH($E8,'Exposure Factors'!$E$9:$E$10,0)+4,FALSE)/(AT_CRD_mid),"Not Assessed")</f>
        <v>Not Assessed</v>
      </c>
      <c r="R8" s="339" t="str">
        <f>IFERROR($O8*$I8*HLOOKUP($C8,'Exposure Factors'!$C$5:$D$11,MATCH($E8,'Exposure Factors'!$E$9:$E$10,0)+4,FALSE)/(AT_LCRD),"Not Assessed")</f>
        <v>Not Assessed</v>
      </c>
      <c r="S8" s="319"/>
    </row>
    <row r="9" spans="1:19" ht="15.75" thickBot="1" x14ac:dyDescent="0.3">
      <c r="A9" s="850" t="s">
        <v>309</v>
      </c>
      <c r="B9" s="851"/>
      <c r="C9" s="851"/>
      <c r="D9" s="851"/>
      <c r="E9" s="851"/>
      <c r="F9" s="851"/>
      <c r="G9" s="326"/>
      <c r="H9" s="326"/>
      <c r="I9" s="326"/>
      <c r="J9" s="326"/>
      <c r="K9" s="326"/>
      <c r="L9" s="326"/>
      <c r="M9" s="326"/>
      <c r="N9" s="327"/>
      <c r="O9" s="327"/>
      <c r="P9" s="327"/>
      <c r="Q9" s="327"/>
      <c r="R9" s="326"/>
      <c r="S9" s="328"/>
    </row>
    <row r="10" spans="1:19" ht="72.95" customHeight="1" x14ac:dyDescent="0.25">
      <c r="A10" s="320" t="str">
        <f>'Risk Reduction'!$H$4</f>
        <v xml:space="preserve">General Waste Handling, Treatment, and Disposal </v>
      </c>
      <c r="B10" s="321" t="str">
        <f>VLOOKUP($A10,'Dermal Crosswalk'!$B$8:$J$21,2,FALSE)</f>
        <v xml:space="preserve">Waste Handling, Treatment, and Disposal </v>
      </c>
      <c r="C10" s="321" t="str">
        <f>'Risk Reduction'!$S$4</f>
        <v>Deterministic</v>
      </c>
      <c r="D10" s="322" t="s">
        <v>248</v>
      </c>
      <c r="E10" s="322" t="s">
        <v>98</v>
      </c>
      <c r="F10" s="641">
        <f>VLOOKUP($A10,'Dermal Crosswalk'!$B$8:$J$21,3,FALSE)</f>
        <v>1</v>
      </c>
      <c r="G10" s="323">
        <f>VLOOKUP($A10,'Dermal Crosswalk'!$B$8:$J$21,4,FALSE)</f>
        <v>1</v>
      </c>
      <c r="H10" s="420">
        <f>VLOOKUP($A10,'Dermal Crosswalk'!$B$8:$J$21,9,FALSE)</f>
        <v>3.0000000000000001E-3</v>
      </c>
      <c r="I10" s="641">
        <f>VLOOKUP($A10,'Inhalation Exposure'!$C$6:$G$32,MATCH($E10,'Inhalation Exposure'!$F$5:$G$5,0)+3,FALSE)</f>
        <v>250</v>
      </c>
      <c r="J10" s="641">
        <v>1</v>
      </c>
      <c r="K10" s="312" t="e">
        <f>IF(E10="High End",HLOOKUP($C10,'Exposure Factors'!$C$5:$D$11,4,FALSE),HLOOKUP($C10,'Exposure Factors'!$C$5:$D$11,3,FALSE))</f>
        <v>#N/A</v>
      </c>
      <c r="L10" s="641" t="e">
        <f>HLOOKUP($C10,'Exposure Factors'!$C$5:$D$11,2,FALSE)</f>
        <v>#N/A</v>
      </c>
      <c r="M10" s="324">
        <v>2.1</v>
      </c>
      <c r="N10" s="333" t="str">
        <f>IFERROR(K10*M10*H10*G10*J10,"Not Assessed")</f>
        <v>Not Assessed</v>
      </c>
      <c r="O10" s="334" t="str">
        <f>IFERROR($N10/L10,"Not Assessed")</f>
        <v>Not Assessed</v>
      </c>
      <c r="P10" s="340" t="str">
        <f>IFERROR(IF(I10&gt;EF_ST,$O10*EF_ST/(AT_CRD_ST),$O10*$I10/(AT_CRD_ST)),"Not Assessed")</f>
        <v>Not Assessed</v>
      </c>
      <c r="Q10" s="340" t="str">
        <f>IFERROR($O10*$I10*HLOOKUP($C10,'Exposure Factors'!$C$5:$D$11,MATCH($E10,'Exposure Factors'!$E$9:$E$10,0)+4,FALSE)/(AT_CRD_high),"Not Assessed")</f>
        <v>Not Assessed</v>
      </c>
      <c r="R10" s="340" t="str">
        <f>IFERROR($O10*$I10*HLOOKUP($C10,'Exposure Factors'!$C$5:$D$11,MATCH($E10,'Exposure Factors'!$E$9:$E$10,0)+4,FALSE)/(AT_LCRD),"Not Assessed")</f>
        <v>Not Assessed</v>
      </c>
      <c r="S10" s="325"/>
    </row>
    <row r="11" spans="1:19" ht="69" customHeight="1" x14ac:dyDescent="0.25">
      <c r="A11" s="185" t="str">
        <f>'Risk Reduction'!$H$4</f>
        <v xml:space="preserve">General Waste Handling, Treatment, and Disposal </v>
      </c>
      <c r="B11" s="186" t="str">
        <f>VLOOKUP($A11,'Dermal Crosswalk'!$B$8:$J$21,2,FALSE)</f>
        <v xml:space="preserve">Waste Handling, Treatment, and Disposal </v>
      </c>
      <c r="C11" s="186" t="str">
        <f>'Risk Reduction'!$S$4</f>
        <v>Deterministic</v>
      </c>
      <c r="D11" s="187" t="s">
        <v>248</v>
      </c>
      <c r="E11" s="187" t="s">
        <v>101</v>
      </c>
      <c r="F11" s="642">
        <f>VLOOKUP($A11,'Dermal Crosswalk'!$B$8:$J$21,3,FALSE)</f>
        <v>1</v>
      </c>
      <c r="G11" s="91">
        <f>VLOOKUP($A11,'Dermal Crosswalk'!$B$8:$J$21,4,FALSE)</f>
        <v>1</v>
      </c>
      <c r="H11" s="420">
        <f>VLOOKUP($A11,'Dermal Crosswalk'!$B$8:$J$21,9,FALSE)</f>
        <v>3.0000000000000001E-3</v>
      </c>
      <c r="I11" s="642">
        <f>VLOOKUP($A11,'Inhalation Exposure'!$C$6:$G$32,MATCH($E11,'Inhalation Exposure'!$F$5:$G$5,0)+3,FALSE)</f>
        <v>250</v>
      </c>
      <c r="J11" s="642">
        <v>1</v>
      </c>
      <c r="K11" s="312" t="e">
        <f>IF(E11="High End",HLOOKUP($C11,'Exposure Factors'!$C$5:$D$11,4,FALSE),HLOOKUP($C11,'Exposure Factors'!$C$5:$D$11,3,FALSE))</f>
        <v>#N/A</v>
      </c>
      <c r="L11" s="642" t="e">
        <f>HLOOKUP($C11,'Exposure Factors'!$C$5:$D$11,2,FALSE)</f>
        <v>#N/A</v>
      </c>
      <c r="M11" s="165">
        <v>1.4</v>
      </c>
      <c r="N11" s="335" t="str">
        <f t="shared" ref="N11" si="2">IFERROR(K11*M11*H11*G11*J11,"Not Assessed")</f>
        <v>Not Assessed</v>
      </c>
      <c r="O11" s="336" t="str">
        <f t="shared" ref="O11" si="3">IFERROR($N11/L11,"Not Assessed")</f>
        <v>Not Assessed</v>
      </c>
      <c r="P11" s="340" t="str">
        <f>IFERROR(IF(I11&gt;EF_ST,$O11*EF_ST/(AT_CRD_ST),$O11*$I11/(AT_CRD_ST)),"Not Assessed")</f>
        <v>Not Assessed</v>
      </c>
      <c r="Q11" s="340" t="str">
        <f>IFERROR($O11*$I11*HLOOKUP($C11,'Exposure Factors'!$C$5:$D$11,MATCH($E11,'Exposure Factors'!$E$9:$E$10,0)+4,FALSE)/(AT_CRD_mid),"Not Assessed")</f>
        <v>Not Assessed</v>
      </c>
      <c r="R11" s="341" t="str">
        <f>IFERROR($O11*$I11*HLOOKUP($C11,'Exposure Factors'!$C$5:$D$11,MATCH($E11,'Exposure Factors'!$E$9:$E$10,0)+4,FALSE)/(AT_LCRD),"Not Assessed")</f>
        <v>Not Assessed</v>
      </c>
      <c r="S11" s="184"/>
    </row>
    <row r="12" spans="1:19" x14ac:dyDescent="0.25">
      <c r="N12" s="168"/>
      <c r="R12"/>
    </row>
    <row r="13" spans="1:19" x14ac:dyDescent="0.25">
      <c r="N13" s="168"/>
      <c r="R13"/>
    </row>
    <row r="14" spans="1:19" x14ac:dyDescent="0.25">
      <c r="N14" s="168"/>
      <c r="R14"/>
    </row>
    <row r="15" spans="1:19" x14ac:dyDescent="0.25">
      <c r="N15" s="168"/>
      <c r="R15"/>
    </row>
    <row r="16" spans="1:19" x14ac:dyDescent="0.25">
      <c r="N16" s="168"/>
      <c r="R16"/>
    </row>
    <row r="17" spans="14:18" x14ac:dyDescent="0.25">
      <c r="N17" s="168"/>
      <c r="R17"/>
    </row>
    <row r="18" spans="14:18" x14ac:dyDescent="0.25">
      <c r="N18" s="168"/>
      <c r="R18"/>
    </row>
    <row r="19" spans="14:18" x14ac:dyDescent="0.25">
      <c r="N19" s="168"/>
      <c r="R19"/>
    </row>
    <row r="20" spans="14:18" x14ac:dyDescent="0.25">
      <c r="N20" s="168"/>
      <c r="R20"/>
    </row>
    <row r="21" spans="14:18" x14ac:dyDescent="0.25">
      <c r="N21" s="168"/>
      <c r="R21"/>
    </row>
    <row r="22" spans="14:18" x14ac:dyDescent="0.25">
      <c r="N22" s="168"/>
      <c r="R22"/>
    </row>
    <row r="23" spans="14:18" x14ac:dyDescent="0.25">
      <c r="N23" s="168"/>
      <c r="R23"/>
    </row>
    <row r="24" spans="14:18" x14ac:dyDescent="0.25">
      <c r="N24" s="168"/>
      <c r="R24"/>
    </row>
    <row r="25" spans="14:18" x14ac:dyDescent="0.25">
      <c r="N25" s="168"/>
      <c r="R25"/>
    </row>
    <row r="26" spans="14:18" x14ac:dyDescent="0.25">
      <c r="N26" s="168"/>
      <c r="R26"/>
    </row>
  </sheetData>
  <sheetProtection formatCells="0" formatColumns="0" formatRows="0"/>
  <mergeCells count="19">
    <mergeCell ref="S4:S6"/>
    <mergeCell ref="M4:M6"/>
    <mergeCell ref="I4:I6"/>
    <mergeCell ref="D4:D6"/>
    <mergeCell ref="E4:E6"/>
    <mergeCell ref="A3:F3"/>
    <mergeCell ref="A9:F9"/>
    <mergeCell ref="G3:M3"/>
    <mergeCell ref="H4:H6"/>
    <mergeCell ref="N3:R3"/>
    <mergeCell ref="O4:O5"/>
    <mergeCell ref="R4:R5"/>
    <mergeCell ref="K4:K6"/>
    <mergeCell ref="L4:L6"/>
    <mergeCell ref="G4:G6"/>
    <mergeCell ref="N4:N5"/>
    <mergeCell ref="J4:J6"/>
    <mergeCell ref="Q4:Q5"/>
    <mergeCell ref="P4:P5"/>
  </mergeCells>
  <conditionalFormatting sqref="P7:R8">
    <cfRule type="cellIs" dxfId="17" priority="3" operator="lessThanOrEqual">
      <formula>0.01</formula>
    </cfRule>
    <cfRule type="cellIs" dxfId="16" priority="4" operator="greaterThan">
      <formula>0.01</formula>
    </cfRule>
  </conditionalFormatting>
  <conditionalFormatting sqref="P10:R11">
    <cfRule type="cellIs" dxfId="15" priority="1" operator="lessThanOrEqual">
      <formula>0.01</formula>
    </cfRule>
    <cfRule type="cellIs" dxfId="14" priority="2" operator="greaterThan">
      <formula>0.01</formula>
    </cfRule>
  </conditionalFormatting>
  <dataValidations count="1">
    <dataValidation allowBlank="1" showErrorMessage="1" sqref="N4 N6" xr:uid="{9398A43C-8E24-42B6-9D9D-8AE0DE17F8F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8EF52-814B-4965-936D-BDFF45BDBA8C}">
  <dimension ref="A2:W39"/>
  <sheetViews>
    <sheetView zoomScale="60" zoomScaleNormal="60" workbookViewId="0">
      <selection activeCell="M5" sqref="M5"/>
    </sheetView>
  </sheetViews>
  <sheetFormatPr defaultRowHeight="15" x14ac:dyDescent="0.25"/>
  <cols>
    <col min="1" max="1" width="10.5703125" customWidth="1"/>
    <col min="2" max="2" width="48.7109375" bestFit="1" customWidth="1"/>
    <col min="3" max="3" width="37.5703125" customWidth="1"/>
    <col min="4" max="4" width="8.7109375" customWidth="1"/>
    <col min="5" max="9" width="11" customWidth="1"/>
    <col min="10" max="12" width="16.42578125" customWidth="1"/>
    <col min="13" max="13" width="14.140625" customWidth="1"/>
    <col min="14" max="14" width="16.140625" customWidth="1"/>
    <col min="15" max="15" width="19.42578125" customWidth="1"/>
    <col min="16" max="16" width="16" customWidth="1"/>
    <col min="17" max="17" width="16.7109375" customWidth="1"/>
    <col min="18" max="18" width="13.140625" customWidth="1"/>
    <col min="19" max="19" width="15.7109375" customWidth="1"/>
    <col min="20" max="20" width="19.42578125" customWidth="1"/>
    <col min="21" max="21" width="17.28515625" customWidth="1"/>
    <col min="22" max="22" width="16.85546875" customWidth="1"/>
    <col min="23" max="23" width="15.140625" customWidth="1"/>
  </cols>
  <sheetData>
    <row r="2" spans="1:23" ht="15.75" thickBot="1" x14ac:dyDescent="0.3"/>
    <row r="3" spans="1:23" x14ac:dyDescent="0.25">
      <c r="M3" s="879" t="s">
        <v>310</v>
      </c>
      <c r="N3" s="880"/>
      <c r="O3" s="880"/>
      <c r="P3" s="880"/>
      <c r="Q3" s="880"/>
      <c r="R3" s="880" t="s">
        <v>311</v>
      </c>
      <c r="S3" s="880"/>
      <c r="T3" s="880"/>
      <c r="U3" s="880"/>
      <c r="V3" s="880"/>
      <c r="W3" s="881" t="s">
        <v>74</v>
      </c>
    </row>
    <row r="4" spans="1:23" ht="53.65" customHeight="1" thickBot="1" x14ac:dyDescent="0.3">
      <c r="F4" s="869" t="s">
        <v>174</v>
      </c>
      <c r="G4" s="861"/>
      <c r="H4" s="869" t="s">
        <v>101</v>
      </c>
      <c r="I4" s="863"/>
      <c r="M4" s="484" t="s">
        <v>86</v>
      </c>
      <c r="N4" s="483" t="s">
        <v>87</v>
      </c>
      <c r="O4" s="483" t="s">
        <v>88</v>
      </c>
      <c r="P4" s="483" t="s">
        <v>89</v>
      </c>
      <c r="Q4" s="483" t="s">
        <v>301</v>
      </c>
      <c r="R4" s="483" t="s">
        <v>229</v>
      </c>
      <c r="S4" s="483" t="s">
        <v>87</v>
      </c>
      <c r="T4" s="483" t="s">
        <v>88</v>
      </c>
      <c r="U4" s="483" t="s">
        <v>89</v>
      </c>
      <c r="V4" s="483" t="s">
        <v>301</v>
      </c>
      <c r="W4" s="882"/>
    </row>
    <row r="5" spans="1:23" ht="60" x14ac:dyDescent="0.25">
      <c r="A5" s="497" t="s">
        <v>312</v>
      </c>
      <c r="B5" s="498" t="s">
        <v>303</v>
      </c>
      <c r="C5" s="499" t="s">
        <v>304</v>
      </c>
      <c r="D5" s="500" t="s">
        <v>305</v>
      </c>
      <c r="E5" s="501" t="s">
        <v>313</v>
      </c>
      <c r="F5" s="501" t="s">
        <v>314</v>
      </c>
      <c r="G5" s="501" t="s">
        <v>315</v>
      </c>
      <c r="H5" s="501" t="s">
        <v>314</v>
      </c>
      <c r="I5" s="501" t="s">
        <v>315</v>
      </c>
      <c r="J5" s="501" t="s">
        <v>316</v>
      </c>
      <c r="K5" s="501" t="s">
        <v>317</v>
      </c>
      <c r="L5" s="510" t="s">
        <v>318</v>
      </c>
      <c r="M5" s="484" t="s">
        <v>306</v>
      </c>
      <c r="N5" s="483" t="s">
        <v>307</v>
      </c>
      <c r="O5" s="483" t="s">
        <v>319</v>
      </c>
      <c r="P5" s="483" t="s">
        <v>308</v>
      </c>
      <c r="Q5" s="483" t="s">
        <v>320</v>
      </c>
      <c r="R5" s="483" t="s">
        <v>306</v>
      </c>
      <c r="S5" s="483" t="s">
        <v>307</v>
      </c>
      <c r="T5" s="483" t="s">
        <v>319</v>
      </c>
      <c r="U5" s="483" t="s">
        <v>308</v>
      </c>
      <c r="V5" s="483" t="s">
        <v>320</v>
      </c>
      <c r="W5" s="882"/>
    </row>
    <row r="6" spans="1:23" ht="44.1" customHeight="1" x14ac:dyDescent="0.25">
      <c r="A6" s="502" t="s">
        <v>166</v>
      </c>
      <c r="B6" s="490" t="s">
        <v>321</v>
      </c>
      <c r="C6" s="186" t="s">
        <v>170</v>
      </c>
      <c r="D6" s="492">
        <v>1</v>
      </c>
      <c r="E6" s="492">
        <v>1</v>
      </c>
      <c r="F6" s="492">
        <v>2.1</v>
      </c>
      <c r="G6" s="493">
        <v>1070</v>
      </c>
      <c r="H6" s="492">
        <v>1.4</v>
      </c>
      <c r="I6" s="492">
        <v>535</v>
      </c>
      <c r="J6" s="494">
        <v>3.0000000000000001E-3</v>
      </c>
      <c r="K6" s="485">
        <v>250</v>
      </c>
      <c r="L6" s="496">
        <v>250</v>
      </c>
      <c r="M6" s="526">
        <f>F6*G6*$E6*$J6</f>
        <v>6.7410000000000005</v>
      </c>
      <c r="N6" s="527">
        <f>M6/BW_default</f>
        <v>8.4262500000000004E-2</v>
      </c>
      <c r="O6" s="527">
        <f t="shared" ref="O6:O22" si="0">IF(K6&gt;=EF_ST,(N6*EF_ST)/(AT_CRD_ST), (N6*K6)/(AT_CRD_ST))</f>
        <v>6.1792500000000007E-2</v>
      </c>
      <c r="P6" s="527">
        <f t="shared" ref="P6:P22" si="1">(N6*K6*WY_HE_default)/(AT_CRD_high)</f>
        <v>5.7714041095890414E-2</v>
      </c>
      <c r="Q6" s="527">
        <f t="shared" ref="Q6:Q22" si="2">(N6*K6*WY_HE_default)/(AT_LCRD)</f>
        <v>2.9596944151738674E-2</v>
      </c>
      <c r="R6" s="527">
        <f>H6*I6*$E6*$J6</f>
        <v>2.2469999999999999</v>
      </c>
      <c r="S6" s="527">
        <f>R6/BW_default</f>
        <v>2.8087499999999998E-2</v>
      </c>
      <c r="T6" s="527">
        <f t="shared" ref="T6:T22" si="3">IF(L6&gt;=EF_ST, (S6*EF_ST)/(AT_CRD_ST), (S6*L6)/(AT_CRD_ST))</f>
        <v>2.0597499999999998E-2</v>
      </c>
      <c r="U6" s="527">
        <f t="shared" ref="U6:U22" si="4">(S6*L6*WY_CT_default)/(AT_CRD_mid)</f>
        <v>1.9238013698630138E-2</v>
      </c>
      <c r="V6" s="527">
        <f t="shared" ref="V6:V22" si="5">(S6*L6*WY_CT_default)/(AT_LCRD)</f>
        <v>7.6458772391991567E-3</v>
      </c>
      <c r="W6" s="481" t="s">
        <v>228</v>
      </c>
    </row>
    <row r="7" spans="1:23" ht="44.1" customHeight="1" x14ac:dyDescent="0.25">
      <c r="A7" s="502" t="s">
        <v>175</v>
      </c>
      <c r="B7" s="490" t="s">
        <v>322</v>
      </c>
      <c r="C7" s="186" t="s">
        <v>170</v>
      </c>
      <c r="D7" s="492">
        <v>1</v>
      </c>
      <c r="E7" s="492">
        <v>1</v>
      </c>
      <c r="F7" s="492">
        <v>2.1</v>
      </c>
      <c r="G7" s="493">
        <v>1070</v>
      </c>
      <c r="H7" s="492">
        <v>1.4</v>
      </c>
      <c r="I7" s="492">
        <v>535</v>
      </c>
      <c r="J7" s="494">
        <v>3.0000000000000001E-3</v>
      </c>
      <c r="K7" s="485">
        <v>250</v>
      </c>
      <c r="L7" s="496">
        <v>250</v>
      </c>
      <c r="M7" s="526">
        <f>F7*G7*$E7*$J7</f>
        <v>6.7410000000000005</v>
      </c>
      <c r="N7" s="527">
        <f>M7/BW_default</f>
        <v>8.4262500000000004E-2</v>
      </c>
      <c r="O7" s="527">
        <f t="shared" si="0"/>
        <v>6.1792500000000007E-2</v>
      </c>
      <c r="P7" s="527">
        <f t="shared" si="1"/>
        <v>5.7714041095890414E-2</v>
      </c>
      <c r="Q7" s="527">
        <f t="shared" si="2"/>
        <v>2.9596944151738674E-2</v>
      </c>
      <c r="R7" s="527">
        <f>H7*I7*$E7*$J7</f>
        <v>2.2469999999999999</v>
      </c>
      <c r="S7" s="527">
        <f>R7/BW_default</f>
        <v>2.8087499999999998E-2</v>
      </c>
      <c r="T7" s="527">
        <f t="shared" si="3"/>
        <v>2.0597499999999998E-2</v>
      </c>
      <c r="U7" s="527">
        <f t="shared" si="4"/>
        <v>1.9238013698630138E-2</v>
      </c>
      <c r="V7" s="527">
        <f t="shared" si="5"/>
        <v>7.6458772391991567E-3</v>
      </c>
      <c r="W7" s="481" t="s">
        <v>228</v>
      </c>
    </row>
    <row r="8" spans="1:23" ht="30" x14ac:dyDescent="0.25">
      <c r="A8" s="502" t="s">
        <v>177</v>
      </c>
      <c r="B8" s="186" t="s">
        <v>323</v>
      </c>
      <c r="C8" s="186" t="s">
        <v>170</v>
      </c>
      <c r="D8" s="492">
        <v>1</v>
      </c>
      <c r="E8" s="492">
        <v>1</v>
      </c>
      <c r="F8" s="492">
        <v>2.1</v>
      </c>
      <c r="G8" s="493">
        <v>1070</v>
      </c>
      <c r="H8" s="492">
        <v>1.4</v>
      </c>
      <c r="I8" s="492">
        <v>535</v>
      </c>
      <c r="J8" s="494">
        <v>3.0000000000000001E-3</v>
      </c>
      <c r="K8" s="485">
        <v>250</v>
      </c>
      <c r="L8" s="496">
        <v>250</v>
      </c>
      <c r="M8" s="526">
        <f t="shared" ref="M8:M10" si="6">F8*G8*$E8*$J8</f>
        <v>6.7410000000000005</v>
      </c>
      <c r="N8" s="527">
        <f t="shared" ref="N8:N10" si="7">M8/BW_default</f>
        <v>8.4262500000000004E-2</v>
      </c>
      <c r="O8" s="527">
        <f t="shared" si="0"/>
        <v>6.1792500000000007E-2</v>
      </c>
      <c r="P8" s="527">
        <f t="shared" si="1"/>
        <v>5.7714041095890414E-2</v>
      </c>
      <c r="Q8" s="527">
        <f t="shared" si="2"/>
        <v>2.9596944151738674E-2</v>
      </c>
      <c r="R8" s="527">
        <f t="shared" ref="R8:R10" si="8">H8*I8*$E8*$J8</f>
        <v>2.2469999999999999</v>
      </c>
      <c r="S8" s="527">
        <f t="shared" ref="S8:S10" si="9">R8/BW_default</f>
        <v>2.8087499999999998E-2</v>
      </c>
      <c r="T8" s="527">
        <f t="shared" si="3"/>
        <v>2.0597499999999998E-2</v>
      </c>
      <c r="U8" s="527">
        <f t="shared" si="4"/>
        <v>1.9238013698630138E-2</v>
      </c>
      <c r="V8" s="527">
        <f t="shared" si="5"/>
        <v>7.6458772391991567E-3</v>
      </c>
      <c r="W8" s="481" t="s">
        <v>228</v>
      </c>
    </row>
    <row r="9" spans="1:23" ht="30" x14ac:dyDescent="0.25">
      <c r="A9" s="502" t="s">
        <v>179</v>
      </c>
      <c r="B9" s="186" t="s">
        <v>324</v>
      </c>
      <c r="C9" s="186" t="s">
        <v>170</v>
      </c>
      <c r="D9" s="492">
        <v>1</v>
      </c>
      <c r="E9" s="492">
        <v>1</v>
      </c>
      <c r="F9" s="492">
        <v>2.1</v>
      </c>
      <c r="G9" s="493">
        <v>1070</v>
      </c>
      <c r="H9" s="492">
        <v>1.4</v>
      </c>
      <c r="I9" s="492">
        <v>535</v>
      </c>
      <c r="J9" s="494">
        <v>3.0000000000000001E-3</v>
      </c>
      <c r="K9" s="485">
        <v>250</v>
      </c>
      <c r="L9" s="496">
        <v>250</v>
      </c>
      <c r="M9" s="526">
        <f t="shared" ref="M9" si="10">F9*G9*$E9*$J9</f>
        <v>6.7410000000000005</v>
      </c>
      <c r="N9" s="527">
        <f t="shared" ref="N9" si="11">M9/BW_default</f>
        <v>8.4262500000000004E-2</v>
      </c>
      <c r="O9" s="527">
        <f t="shared" ref="O9" si="12">IF(K9&gt;=EF_ST,(N9*EF_ST)/(AT_CRD_ST), (N9*K9)/(AT_CRD_ST))</f>
        <v>6.1792500000000007E-2</v>
      </c>
      <c r="P9" s="527">
        <f t="shared" ref="P9" si="13">(N9*K9*WY_HE_default)/(AT_CRD_high)</f>
        <v>5.7714041095890414E-2</v>
      </c>
      <c r="Q9" s="527">
        <f t="shared" ref="Q9" si="14">(N9*K9*WY_HE_default)/(AT_LCRD)</f>
        <v>2.9596944151738674E-2</v>
      </c>
      <c r="R9" s="527">
        <f t="shared" ref="R9" si="15">H9*I9*$E9*$J9</f>
        <v>2.2469999999999999</v>
      </c>
      <c r="S9" s="527">
        <f t="shared" ref="S9" si="16">R9/BW_default</f>
        <v>2.8087499999999998E-2</v>
      </c>
      <c r="T9" s="527">
        <f t="shared" ref="T9" si="17">IF(L9&gt;=EF_ST, (S9*EF_ST)/(AT_CRD_ST), (S9*L9)/(AT_CRD_ST))</f>
        <v>2.0597499999999998E-2</v>
      </c>
      <c r="U9" s="527">
        <f t="shared" ref="U9" si="18">(S9*L9*WY_CT_default)/(AT_CRD_mid)</f>
        <v>1.9238013698630138E-2</v>
      </c>
      <c r="V9" s="527">
        <f t="shared" ref="V9" si="19">(S9*L9*WY_CT_default)/(AT_LCRD)</f>
        <v>7.6458772391991567E-3</v>
      </c>
      <c r="W9" s="481" t="s">
        <v>228</v>
      </c>
    </row>
    <row r="10" spans="1:23" ht="30" x14ac:dyDescent="0.25">
      <c r="A10" s="502" t="s">
        <v>325</v>
      </c>
      <c r="B10" s="186" t="s">
        <v>326</v>
      </c>
      <c r="C10" s="186" t="s">
        <v>170</v>
      </c>
      <c r="D10" s="492">
        <v>1</v>
      </c>
      <c r="E10" s="492">
        <v>1</v>
      </c>
      <c r="F10" s="492">
        <v>2.1</v>
      </c>
      <c r="G10" s="493">
        <v>1070</v>
      </c>
      <c r="H10" s="492">
        <v>1.4</v>
      </c>
      <c r="I10" s="492">
        <v>535</v>
      </c>
      <c r="J10" s="494">
        <v>3.0000000000000001E-3</v>
      </c>
      <c r="K10" s="485">
        <v>250</v>
      </c>
      <c r="L10" s="496">
        <v>250</v>
      </c>
      <c r="M10" s="526">
        <f t="shared" si="6"/>
        <v>6.7410000000000005</v>
      </c>
      <c r="N10" s="527">
        <f t="shared" si="7"/>
        <v>8.4262500000000004E-2</v>
      </c>
      <c r="O10" s="527">
        <f t="shared" si="0"/>
        <v>6.1792500000000007E-2</v>
      </c>
      <c r="P10" s="527">
        <f t="shared" si="1"/>
        <v>5.7714041095890414E-2</v>
      </c>
      <c r="Q10" s="527">
        <f t="shared" si="2"/>
        <v>2.9596944151738674E-2</v>
      </c>
      <c r="R10" s="527">
        <f t="shared" si="8"/>
        <v>2.2469999999999999</v>
      </c>
      <c r="S10" s="527">
        <f t="shared" si="9"/>
        <v>2.8087499999999998E-2</v>
      </c>
      <c r="T10" s="527">
        <f t="shared" si="3"/>
        <v>2.0597499999999998E-2</v>
      </c>
      <c r="U10" s="527">
        <f t="shared" si="4"/>
        <v>1.9238013698630138E-2</v>
      </c>
      <c r="V10" s="527">
        <f t="shared" si="5"/>
        <v>7.6458772391991567E-3</v>
      </c>
      <c r="W10" s="481" t="s">
        <v>228</v>
      </c>
    </row>
    <row r="11" spans="1:23" ht="28.5" customHeight="1" x14ac:dyDescent="0.25">
      <c r="A11" s="502" t="s">
        <v>188</v>
      </c>
      <c r="B11" s="489" t="s">
        <v>327</v>
      </c>
      <c r="C11" s="186" t="s">
        <v>191</v>
      </c>
      <c r="D11" s="492">
        <v>1</v>
      </c>
      <c r="E11" s="492">
        <v>1</v>
      </c>
      <c r="F11" s="492">
        <v>2.1</v>
      </c>
      <c r="G11" s="493">
        <v>1070</v>
      </c>
      <c r="H11" s="492">
        <v>1.4</v>
      </c>
      <c r="I11" s="492">
        <v>535</v>
      </c>
      <c r="J11" s="494">
        <v>3.0000000000000001E-3</v>
      </c>
      <c r="K11" s="485">
        <v>128</v>
      </c>
      <c r="L11" s="496">
        <v>26</v>
      </c>
      <c r="M11" s="526">
        <f t="shared" ref="M11:M19" si="20">F11*G11*$E11*$J11</f>
        <v>6.7410000000000005</v>
      </c>
      <c r="N11" s="527">
        <f t="shared" ref="N11:N19" si="21">M11/BW_default</f>
        <v>8.4262500000000004E-2</v>
      </c>
      <c r="O11" s="527">
        <f t="shared" si="0"/>
        <v>6.1792500000000007E-2</v>
      </c>
      <c r="P11" s="527">
        <f t="shared" si="1"/>
        <v>2.9549589041095892E-2</v>
      </c>
      <c r="Q11" s="527">
        <f t="shared" si="2"/>
        <v>1.5153635405690202E-2</v>
      </c>
      <c r="R11" s="527">
        <f t="shared" ref="R11:R19" si="22">H11*I11*$E11*$J11</f>
        <v>2.2469999999999999</v>
      </c>
      <c r="S11" s="527">
        <f t="shared" ref="S11:S19" si="23">R11/BW_default</f>
        <v>2.8087499999999998E-2</v>
      </c>
      <c r="T11" s="527">
        <f t="shared" si="3"/>
        <v>2.0597499999999998E-2</v>
      </c>
      <c r="U11" s="527">
        <f t="shared" si="4"/>
        <v>2.000753424657534E-3</v>
      </c>
      <c r="V11" s="527">
        <f t="shared" si="5"/>
        <v>7.9517123287671228E-4</v>
      </c>
      <c r="W11" s="481" t="s">
        <v>228</v>
      </c>
    </row>
    <row r="12" spans="1:23" ht="32.1" customHeight="1" x14ac:dyDescent="0.25">
      <c r="A12" s="502" t="s">
        <v>193</v>
      </c>
      <c r="B12" s="490" t="s">
        <v>328</v>
      </c>
      <c r="C12" s="186" t="s">
        <v>191</v>
      </c>
      <c r="D12" s="492">
        <v>1</v>
      </c>
      <c r="E12" s="492">
        <v>1</v>
      </c>
      <c r="F12" s="492">
        <v>2.1</v>
      </c>
      <c r="G12" s="493">
        <v>1070</v>
      </c>
      <c r="H12" s="492">
        <v>1.4</v>
      </c>
      <c r="I12" s="492">
        <v>535</v>
      </c>
      <c r="J12" s="494">
        <v>3.0000000000000001E-3</v>
      </c>
      <c r="K12" s="485">
        <v>128</v>
      </c>
      <c r="L12" s="496">
        <v>26</v>
      </c>
      <c r="M12" s="526">
        <f>F12*G12*$E12*$J12</f>
        <v>6.7410000000000005</v>
      </c>
      <c r="N12" s="527">
        <f>M12/BW_default</f>
        <v>8.4262500000000004E-2</v>
      </c>
      <c r="O12" s="527">
        <f t="shared" si="0"/>
        <v>6.1792500000000007E-2</v>
      </c>
      <c r="P12" s="527">
        <f t="shared" si="1"/>
        <v>2.9549589041095892E-2</v>
      </c>
      <c r="Q12" s="527">
        <f t="shared" si="2"/>
        <v>1.5153635405690202E-2</v>
      </c>
      <c r="R12" s="527">
        <f>H12*I12*$E12*$J12</f>
        <v>2.2469999999999999</v>
      </c>
      <c r="S12" s="527">
        <f>R12/BW_default</f>
        <v>2.8087499999999998E-2</v>
      </c>
      <c r="T12" s="527">
        <f t="shared" si="3"/>
        <v>2.0597499999999998E-2</v>
      </c>
      <c r="U12" s="527">
        <f t="shared" si="4"/>
        <v>2.000753424657534E-3</v>
      </c>
      <c r="V12" s="527">
        <f t="shared" si="5"/>
        <v>7.9517123287671228E-4</v>
      </c>
      <c r="W12" s="481" t="s">
        <v>228</v>
      </c>
    </row>
    <row r="13" spans="1:23" ht="32.1" customHeight="1" x14ac:dyDescent="0.25">
      <c r="A13" s="502" t="s">
        <v>195</v>
      </c>
      <c r="B13" s="489" t="s">
        <v>75</v>
      </c>
      <c r="C13" s="186" t="s">
        <v>191</v>
      </c>
      <c r="D13" s="492">
        <v>1</v>
      </c>
      <c r="E13" s="492">
        <v>1</v>
      </c>
      <c r="F13" s="492">
        <v>2.1</v>
      </c>
      <c r="G13" s="493">
        <v>1070</v>
      </c>
      <c r="H13" s="492">
        <v>1.4</v>
      </c>
      <c r="I13" s="492">
        <v>535</v>
      </c>
      <c r="J13" s="494">
        <v>3.0000000000000001E-3</v>
      </c>
      <c r="K13" s="485">
        <v>128</v>
      </c>
      <c r="L13" s="496">
        <v>26</v>
      </c>
      <c r="M13" s="526">
        <f>F13*G13*$E13*$J13</f>
        <v>6.7410000000000005</v>
      </c>
      <c r="N13" s="527">
        <f>M13/BW_default</f>
        <v>8.4262500000000004E-2</v>
      </c>
      <c r="O13" s="527">
        <f t="shared" si="0"/>
        <v>6.1792500000000007E-2</v>
      </c>
      <c r="P13" s="527">
        <f t="shared" si="1"/>
        <v>2.9549589041095892E-2</v>
      </c>
      <c r="Q13" s="527">
        <f t="shared" si="2"/>
        <v>1.5153635405690202E-2</v>
      </c>
      <c r="R13" s="527">
        <f>H13*I13*$E13*$J13</f>
        <v>2.2469999999999999</v>
      </c>
      <c r="S13" s="527">
        <f>R13/BW_default</f>
        <v>2.8087499999999998E-2</v>
      </c>
      <c r="T13" s="527">
        <f t="shared" si="3"/>
        <v>2.0597499999999998E-2</v>
      </c>
      <c r="U13" s="527">
        <f t="shared" si="4"/>
        <v>2.000753424657534E-3</v>
      </c>
      <c r="V13" s="527">
        <f t="shared" si="5"/>
        <v>7.9517123287671228E-4</v>
      </c>
      <c r="W13" s="481" t="s">
        <v>228</v>
      </c>
    </row>
    <row r="14" spans="1:23" ht="30" x14ac:dyDescent="0.25">
      <c r="A14" s="502" t="s">
        <v>198</v>
      </c>
      <c r="B14" s="490" t="s">
        <v>329</v>
      </c>
      <c r="C14" s="186" t="s">
        <v>201</v>
      </c>
      <c r="D14" s="492">
        <v>1</v>
      </c>
      <c r="E14" s="492">
        <v>1</v>
      </c>
      <c r="F14" s="492">
        <v>2.1</v>
      </c>
      <c r="G14" s="493">
        <v>1070</v>
      </c>
      <c r="H14" s="492">
        <v>1.4</v>
      </c>
      <c r="I14" s="492">
        <v>535</v>
      </c>
      <c r="J14" s="494">
        <v>3.0000000000000001E-3</v>
      </c>
      <c r="K14" s="485">
        <v>250</v>
      </c>
      <c r="L14" s="496">
        <v>250</v>
      </c>
      <c r="M14" s="526">
        <f t="shared" si="20"/>
        <v>6.7410000000000005</v>
      </c>
      <c r="N14" s="527">
        <f t="shared" si="21"/>
        <v>8.4262500000000004E-2</v>
      </c>
      <c r="O14" s="527">
        <f t="shared" si="0"/>
        <v>6.1792500000000007E-2</v>
      </c>
      <c r="P14" s="527">
        <f t="shared" si="1"/>
        <v>5.7714041095890414E-2</v>
      </c>
      <c r="Q14" s="527">
        <f t="shared" si="2"/>
        <v>2.9596944151738674E-2</v>
      </c>
      <c r="R14" s="527">
        <f t="shared" si="22"/>
        <v>2.2469999999999999</v>
      </c>
      <c r="S14" s="527">
        <f t="shared" si="23"/>
        <v>2.8087499999999998E-2</v>
      </c>
      <c r="T14" s="527">
        <f t="shared" si="3"/>
        <v>2.0597499999999998E-2</v>
      </c>
      <c r="U14" s="527">
        <f t="shared" si="4"/>
        <v>1.9238013698630138E-2</v>
      </c>
      <c r="V14" s="527">
        <f t="shared" si="5"/>
        <v>7.6458772391991567E-3</v>
      </c>
      <c r="W14" s="481" t="s">
        <v>228</v>
      </c>
    </row>
    <row r="15" spans="1:23" ht="30" x14ac:dyDescent="0.25">
      <c r="A15" s="502" t="s">
        <v>202</v>
      </c>
      <c r="B15" s="490" t="s">
        <v>330</v>
      </c>
      <c r="C15" s="186" t="s">
        <v>201</v>
      </c>
      <c r="D15" s="492">
        <v>1</v>
      </c>
      <c r="E15" s="492">
        <v>1</v>
      </c>
      <c r="F15" s="492">
        <v>2.1</v>
      </c>
      <c r="G15" s="493">
        <v>1070</v>
      </c>
      <c r="H15" s="492">
        <v>1.4</v>
      </c>
      <c r="I15" s="492">
        <v>535</v>
      </c>
      <c r="J15" s="494">
        <v>3.0000000000000001E-3</v>
      </c>
      <c r="K15" s="485">
        <v>250</v>
      </c>
      <c r="L15" s="496">
        <v>250</v>
      </c>
      <c r="M15" s="526">
        <f>F15*G15*$E15*$J15</f>
        <v>6.7410000000000005</v>
      </c>
      <c r="N15" s="527">
        <f>M15/BW_default</f>
        <v>8.4262500000000004E-2</v>
      </c>
      <c r="O15" s="527">
        <f t="shared" si="0"/>
        <v>6.1792500000000007E-2</v>
      </c>
      <c r="P15" s="527">
        <f t="shared" si="1"/>
        <v>5.7714041095890414E-2</v>
      </c>
      <c r="Q15" s="527">
        <f t="shared" si="2"/>
        <v>2.9596944151738674E-2</v>
      </c>
      <c r="R15" s="527">
        <f>H15*I15*$E15*$J15</f>
        <v>2.2469999999999999</v>
      </c>
      <c r="S15" s="527">
        <f>R15/BW_default</f>
        <v>2.8087499999999998E-2</v>
      </c>
      <c r="T15" s="527">
        <f t="shared" si="3"/>
        <v>2.0597499999999998E-2</v>
      </c>
      <c r="U15" s="527">
        <f t="shared" si="4"/>
        <v>1.9238013698630138E-2</v>
      </c>
      <c r="V15" s="527">
        <f t="shared" si="5"/>
        <v>7.6458772391991567E-3</v>
      </c>
      <c r="W15" s="481" t="s">
        <v>228</v>
      </c>
    </row>
    <row r="16" spans="1:23" ht="30" x14ac:dyDescent="0.25">
      <c r="A16" s="502" t="s">
        <v>203</v>
      </c>
      <c r="B16" s="490" t="s">
        <v>331</v>
      </c>
      <c r="C16" s="186" t="s">
        <v>201</v>
      </c>
      <c r="D16" s="492">
        <v>1</v>
      </c>
      <c r="E16" s="492">
        <v>1</v>
      </c>
      <c r="F16" s="492">
        <v>2.1</v>
      </c>
      <c r="G16" s="493">
        <v>1070</v>
      </c>
      <c r="H16" s="492">
        <v>1.4</v>
      </c>
      <c r="I16" s="492">
        <v>535</v>
      </c>
      <c r="J16" s="494">
        <v>3.0000000000000001E-3</v>
      </c>
      <c r="K16" s="485">
        <v>250</v>
      </c>
      <c r="L16" s="496">
        <v>250</v>
      </c>
      <c r="M16" s="526">
        <f>F16*G16*$E16*$J16</f>
        <v>6.7410000000000005</v>
      </c>
      <c r="N16" s="527">
        <f>M16/BW_default</f>
        <v>8.4262500000000004E-2</v>
      </c>
      <c r="O16" s="527">
        <f>IF(K16&gt;=EF_ST,(N16*EF_ST)/(AT_CRD_ST), (N16*K16)/(AT_CRD_ST))</f>
        <v>6.1792500000000007E-2</v>
      </c>
      <c r="P16" s="527">
        <f>(N16*K16*WY_HE_default)/(AT_CRD_high)</f>
        <v>5.7714041095890414E-2</v>
      </c>
      <c r="Q16" s="527">
        <f>(N16*K16*WY_HE_default)/(AT_LCRD)</f>
        <v>2.9596944151738674E-2</v>
      </c>
      <c r="R16" s="527">
        <f>H16*I16*$E16*$J16</f>
        <v>2.2469999999999999</v>
      </c>
      <c r="S16" s="527">
        <f>R16/BW_default</f>
        <v>2.8087499999999998E-2</v>
      </c>
      <c r="T16" s="527">
        <f>IF(L16&gt;=EF_ST, (S16*EF_ST)/(AT_CRD_ST), (S16*L16)/(AT_CRD_ST))</f>
        <v>2.0597499999999998E-2</v>
      </c>
      <c r="U16" s="527">
        <f>(S16*L16*WY_CT_default)/(AT_CRD_mid)</f>
        <v>1.9238013698630138E-2</v>
      </c>
      <c r="V16" s="527">
        <f>(S16*L16*WY_CT_default)/(AT_LCRD)</f>
        <v>7.6458772391991567E-3</v>
      </c>
      <c r="W16" s="481" t="s">
        <v>228</v>
      </c>
    </row>
    <row r="17" spans="1:23" ht="30" x14ac:dyDescent="0.25">
      <c r="A17" s="502" t="s">
        <v>204</v>
      </c>
      <c r="B17" s="490" t="s">
        <v>332</v>
      </c>
      <c r="C17" s="186" t="s">
        <v>201</v>
      </c>
      <c r="D17" s="492">
        <v>1</v>
      </c>
      <c r="E17" s="492">
        <v>1</v>
      </c>
      <c r="F17" s="492">
        <v>2.1</v>
      </c>
      <c r="G17" s="493">
        <v>1070</v>
      </c>
      <c r="H17" s="492">
        <v>1.4</v>
      </c>
      <c r="I17" s="492">
        <v>535</v>
      </c>
      <c r="J17" s="494">
        <v>3.0000000000000001E-3</v>
      </c>
      <c r="K17" s="485">
        <v>250</v>
      </c>
      <c r="L17" s="496">
        <v>250</v>
      </c>
      <c r="M17" s="526">
        <f>F17*G17*$E17*$J17</f>
        <v>6.7410000000000005</v>
      </c>
      <c r="N17" s="527">
        <f>M17/BW_default</f>
        <v>8.4262500000000004E-2</v>
      </c>
      <c r="O17" s="527">
        <f t="shared" si="0"/>
        <v>6.1792500000000007E-2</v>
      </c>
      <c r="P17" s="527">
        <f t="shared" si="1"/>
        <v>5.7714041095890414E-2</v>
      </c>
      <c r="Q17" s="527">
        <f t="shared" si="2"/>
        <v>2.9596944151738674E-2</v>
      </c>
      <c r="R17" s="527">
        <f>H17*I17*$E17*$J17</f>
        <v>2.2469999999999999</v>
      </c>
      <c r="S17" s="527">
        <f>R17/BW_default</f>
        <v>2.8087499999999998E-2</v>
      </c>
      <c r="T17" s="527">
        <f t="shared" si="3"/>
        <v>2.0597499999999998E-2</v>
      </c>
      <c r="U17" s="527">
        <f t="shared" si="4"/>
        <v>1.9238013698630138E-2</v>
      </c>
      <c r="V17" s="527">
        <f t="shared" si="5"/>
        <v>7.6458772391991567E-3</v>
      </c>
      <c r="W17" s="481" t="s">
        <v>228</v>
      </c>
    </row>
    <row r="18" spans="1:23" ht="35.1" customHeight="1" x14ac:dyDescent="0.25">
      <c r="A18" s="502">
        <v>4</v>
      </c>
      <c r="B18" s="186" t="s">
        <v>208</v>
      </c>
      <c r="C18" s="186" t="s">
        <v>208</v>
      </c>
      <c r="D18" s="492">
        <v>1</v>
      </c>
      <c r="E18" s="492">
        <v>1</v>
      </c>
      <c r="F18" s="492">
        <v>2.1</v>
      </c>
      <c r="G18" s="493">
        <v>1070</v>
      </c>
      <c r="H18" s="492">
        <v>1.4</v>
      </c>
      <c r="I18" s="492">
        <v>535</v>
      </c>
      <c r="J18" s="494">
        <v>3.0000000000000001E-3</v>
      </c>
      <c r="K18" s="485">
        <v>250</v>
      </c>
      <c r="L18" s="496">
        <v>174</v>
      </c>
      <c r="M18" s="526">
        <f t="shared" si="20"/>
        <v>6.7410000000000005</v>
      </c>
      <c r="N18" s="527">
        <f t="shared" si="21"/>
        <v>8.4262500000000004E-2</v>
      </c>
      <c r="O18" s="527">
        <f t="shared" si="0"/>
        <v>6.1792500000000007E-2</v>
      </c>
      <c r="P18" s="527">
        <f t="shared" si="1"/>
        <v>5.7714041095890414E-2</v>
      </c>
      <c r="Q18" s="527">
        <f t="shared" si="2"/>
        <v>2.9596944151738674E-2</v>
      </c>
      <c r="R18" s="527">
        <f t="shared" si="22"/>
        <v>2.2469999999999999</v>
      </c>
      <c r="S18" s="527">
        <f t="shared" si="23"/>
        <v>2.8087499999999998E-2</v>
      </c>
      <c r="T18" s="527">
        <f t="shared" si="3"/>
        <v>2.0597499999999998E-2</v>
      </c>
      <c r="U18" s="527">
        <f t="shared" si="4"/>
        <v>1.3389657534246575E-2</v>
      </c>
      <c r="V18" s="527">
        <f t="shared" si="5"/>
        <v>5.3215305584826131E-3</v>
      </c>
      <c r="W18" s="481" t="s">
        <v>228</v>
      </c>
    </row>
    <row r="19" spans="1:23" ht="35.1" customHeight="1" x14ac:dyDescent="0.25">
      <c r="A19" s="502" t="s">
        <v>210</v>
      </c>
      <c r="B19" s="186" t="s">
        <v>227</v>
      </c>
      <c r="C19" s="186" t="s">
        <v>333</v>
      </c>
      <c r="D19" s="492">
        <v>1</v>
      </c>
      <c r="E19" s="492">
        <v>1</v>
      </c>
      <c r="F19" s="492">
        <v>2.1</v>
      </c>
      <c r="G19" s="493">
        <v>1070</v>
      </c>
      <c r="H19" s="492">
        <v>1.4</v>
      </c>
      <c r="I19" s="492">
        <v>535</v>
      </c>
      <c r="J19" s="494">
        <v>3.0000000000000001E-3</v>
      </c>
      <c r="K19" s="485">
        <v>250</v>
      </c>
      <c r="L19" s="496">
        <v>250</v>
      </c>
      <c r="M19" s="526">
        <f t="shared" si="20"/>
        <v>6.7410000000000005</v>
      </c>
      <c r="N19" s="527">
        <f t="shared" si="21"/>
        <v>8.4262500000000004E-2</v>
      </c>
      <c r="O19" s="527">
        <f t="shared" si="0"/>
        <v>6.1792500000000007E-2</v>
      </c>
      <c r="P19" s="527">
        <f t="shared" si="1"/>
        <v>5.7714041095890414E-2</v>
      </c>
      <c r="Q19" s="527">
        <f t="shared" si="2"/>
        <v>2.9596944151738674E-2</v>
      </c>
      <c r="R19" s="527">
        <f t="shared" si="22"/>
        <v>2.2469999999999999</v>
      </c>
      <c r="S19" s="527">
        <f t="shared" si="23"/>
        <v>2.8087499999999998E-2</v>
      </c>
      <c r="T19" s="527">
        <f t="shared" si="3"/>
        <v>2.0597499999999998E-2</v>
      </c>
      <c r="U19" s="527">
        <f t="shared" si="4"/>
        <v>1.9238013698630138E-2</v>
      </c>
      <c r="V19" s="527">
        <f t="shared" si="5"/>
        <v>7.6458772391991567E-3</v>
      </c>
      <c r="W19" s="481" t="s">
        <v>228</v>
      </c>
    </row>
    <row r="20" spans="1:23" ht="35.1" customHeight="1" x14ac:dyDescent="0.25">
      <c r="A20" s="517" t="s">
        <v>214</v>
      </c>
      <c r="B20" s="490" t="s">
        <v>334</v>
      </c>
      <c r="C20" s="186" t="s">
        <v>333</v>
      </c>
      <c r="D20" s="492">
        <v>1</v>
      </c>
      <c r="E20" s="492">
        <v>0.1</v>
      </c>
      <c r="F20" s="492">
        <v>2.1</v>
      </c>
      <c r="G20" s="493">
        <v>1070</v>
      </c>
      <c r="H20" s="492">
        <v>1.4</v>
      </c>
      <c r="I20" s="492">
        <v>535</v>
      </c>
      <c r="J20" s="524">
        <v>5.9999999999999995E-4</v>
      </c>
      <c r="K20" s="485">
        <v>250</v>
      </c>
      <c r="L20" s="496">
        <v>250</v>
      </c>
      <c r="M20" s="526">
        <f>F20*G20*$E20*$J20</f>
        <v>0.13482</v>
      </c>
      <c r="N20" s="527">
        <f>M20/BW_default</f>
        <v>1.6852499999999999E-3</v>
      </c>
      <c r="O20" s="527">
        <f t="shared" si="0"/>
        <v>1.2358499999999999E-3</v>
      </c>
      <c r="P20" s="527">
        <f t="shared" si="1"/>
        <v>1.1542808219178083E-3</v>
      </c>
      <c r="Q20" s="527">
        <f t="shared" si="2"/>
        <v>5.9193888303477342E-4</v>
      </c>
      <c r="R20" s="527">
        <f>H20*I20*$E20*$J20</f>
        <v>4.4940000000000001E-2</v>
      </c>
      <c r="S20" s="527">
        <f>R20/BW_default</f>
        <v>5.6174999999999997E-4</v>
      </c>
      <c r="T20" s="527">
        <f t="shared" si="3"/>
        <v>4.1195000000000001E-4</v>
      </c>
      <c r="U20" s="527">
        <f t="shared" si="4"/>
        <v>3.8476027397260274E-4</v>
      </c>
      <c r="V20" s="527">
        <f t="shared" si="5"/>
        <v>1.5291754478398314E-4</v>
      </c>
      <c r="W20" s="481" t="s">
        <v>228</v>
      </c>
    </row>
    <row r="21" spans="1:23" ht="35.1" customHeight="1" x14ac:dyDescent="0.25">
      <c r="A21" s="502" t="s">
        <v>219</v>
      </c>
      <c r="B21" s="314" t="s">
        <v>220</v>
      </c>
      <c r="C21" s="186" t="s">
        <v>333</v>
      </c>
      <c r="D21" s="492">
        <v>1</v>
      </c>
      <c r="E21" s="492">
        <v>1</v>
      </c>
      <c r="F21" s="492">
        <v>2.1</v>
      </c>
      <c r="G21" s="493">
        <v>1070</v>
      </c>
      <c r="H21" s="492">
        <v>1.4</v>
      </c>
      <c r="I21" s="492">
        <v>535</v>
      </c>
      <c r="J21" s="494">
        <v>3.0000000000000001E-3</v>
      </c>
      <c r="K21" s="485">
        <v>250</v>
      </c>
      <c r="L21" s="496">
        <v>250</v>
      </c>
      <c r="M21" s="526">
        <f>F21*G21*$E21*$J21</f>
        <v>6.7410000000000005</v>
      </c>
      <c r="N21" s="527">
        <f>M21/BW_default</f>
        <v>8.4262500000000004E-2</v>
      </c>
      <c r="O21" s="527">
        <f t="shared" si="0"/>
        <v>6.1792500000000007E-2</v>
      </c>
      <c r="P21" s="527">
        <f t="shared" si="1"/>
        <v>5.7714041095890414E-2</v>
      </c>
      <c r="Q21" s="527">
        <f t="shared" si="2"/>
        <v>2.9596944151738674E-2</v>
      </c>
      <c r="R21" s="527">
        <f>H21*I21*$E21*$J21</f>
        <v>2.2469999999999999</v>
      </c>
      <c r="S21" s="527">
        <f>R21/BW_default</f>
        <v>2.8087499999999998E-2</v>
      </c>
      <c r="T21" s="527">
        <f t="shared" si="3"/>
        <v>2.0597499999999998E-2</v>
      </c>
      <c r="U21" s="527">
        <f t="shared" si="4"/>
        <v>1.9238013698630138E-2</v>
      </c>
      <c r="V21" s="527">
        <f t="shared" si="5"/>
        <v>7.6458772391991567E-3</v>
      </c>
      <c r="W21" s="481" t="s">
        <v>228</v>
      </c>
    </row>
    <row r="22" spans="1:23" ht="35.1" customHeight="1" thickBot="1" x14ac:dyDescent="0.3">
      <c r="A22" s="503" t="s">
        <v>221</v>
      </c>
      <c r="B22" s="504" t="s">
        <v>335</v>
      </c>
      <c r="C22" s="518" t="s">
        <v>333</v>
      </c>
      <c r="D22" s="519">
        <v>1</v>
      </c>
      <c r="E22" s="519">
        <v>0.1</v>
      </c>
      <c r="F22" s="519">
        <v>2.1</v>
      </c>
      <c r="G22" s="520">
        <v>1070</v>
      </c>
      <c r="H22" s="519">
        <v>1.4</v>
      </c>
      <c r="I22" s="519">
        <v>535</v>
      </c>
      <c r="J22" s="525">
        <v>5.9999999999999995E-4</v>
      </c>
      <c r="K22" s="521">
        <v>250</v>
      </c>
      <c r="L22" s="522">
        <v>250</v>
      </c>
      <c r="M22" s="528">
        <f>F22*G22*$E22*$J22</f>
        <v>0.13482</v>
      </c>
      <c r="N22" s="529">
        <f>M22/BW_default</f>
        <v>1.6852499999999999E-3</v>
      </c>
      <c r="O22" s="529">
        <f t="shared" si="0"/>
        <v>1.2358499999999999E-3</v>
      </c>
      <c r="P22" s="529">
        <f t="shared" si="1"/>
        <v>1.1542808219178083E-3</v>
      </c>
      <c r="Q22" s="529">
        <f t="shared" si="2"/>
        <v>5.9193888303477342E-4</v>
      </c>
      <c r="R22" s="529">
        <f>H22*I22*$E22*$J22</f>
        <v>4.4940000000000001E-2</v>
      </c>
      <c r="S22" s="529">
        <f>R22/BW_default</f>
        <v>5.6174999999999997E-4</v>
      </c>
      <c r="T22" s="529">
        <f t="shared" si="3"/>
        <v>4.1195000000000001E-4</v>
      </c>
      <c r="U22" s="529">
        <f t="shared" si="4"/>
        <v>3.8476027397260274E-4</v>
      </c>
      <c r="V22" s="529">
        <f t="shared" si="5"/>
        <v>1.5291754478398314E-4</v>
      </c>
      <c r="W22" s="482" t="s">
        <v>228</v>
      </c>
    </row>
    <row r="23" spans="1:23" ht="42.6" customHeight="1" x14ac:dyDescent="0.25">
      <c r="A23" s="511" t="s">
        <v>185</v>
      </c>
      <c r="B23" s="495" t="s">
        <v>321</v>
      </c>
      <c r="C23" s="321" t="s">
        <v>170</v>
      </c>
      <c r="D23" s="512">
        <v>1</v>
      </c>
      <c r="E23" s="512">
        <v>1</v>
      </c>
      <c r="F23" s="512">
        <v>2.1</v>
      </c>
      <c r="G23" s="513">
        <v>1070</v>
      </c>
      <c r="H23" s="512">
        <v>1.4</v>
      </c>
      <c r="I23" s="512">
        <v>535</v>
      </c>
      <c r="J23" s="514">
        <v>3.0000000000000001E-3</v>
      </c>
      <c r="K23" s="515">
        <v>250</v>
      </c>
      <c r="L23" s="516">
        <v>250</v>
      </c>
      <c r="M23" s="530">
        <v>5.5337858506615154</v>
      </c>
      <c r="N23" s="531">
        <v>6.9172323133268945E-2</v>
      </c>
      <c r="O23" s="531">
        <v>5.0726370297730555E-2</v>
      </c>
      <c r="P23" s="531">
        <v>4.7378303515937636E-2</v>
      </c>
      <c r="Q23" s="531">
        <v>2.0193970029622942E-2</v>
      </c>
      <c r="R23" s="531">
        <v>3.2375968502879879</v>
      </c>
      <c r="S23" s="531">
        <v>4.0469960628599852E-2</v>
      </c>
      <c r="T23" s="531">
        <v>2.9677971127639889E-2</v>
      </c>
      <c r="U23" s="531">
        <v>2.7719151115479353E-2</v>
      </c>
      <c r="V23" s="531">
        <v>1.0366726250236182E-2</v>
      </c>
      <c r="W23" s="509" t="s">
        <v>76</v>
      </c>
    </row>
    <row r="24" spans="1:23" ht="47.1" customHeight="1" x14ac:dyDescent="0.25">
      <c r="A24" s="502" t="s">
        <v>336</v>
      </c>
      <c r="B24" s="490" t="s">
        <v>322</v>
      </c>
      <c r="C24" s="186" t="s">
        <v>170</v>
      </c>
      <c r="D24" s="492">
        <v>1</v>
      </c>
      <c r="E24" s="492">
        <v>1</v>
      </c>
      <c r="F24" s="492">
        <v>2.1</v>
      </c>
      <c r="G24" s="493">
        <v>1070</v>
      </c>
      <c r="H24" s="492">
        <v>1.4</v>
      </c>
      <c r="I24" s="492">
        <v>535</v>
      </c>
      <c r="J24" s="494">
        <v>3.0000000000000001E-3</v>
      </c>
      <c r="K24" s="485">
        <v>250</v>
      </c>
      <c r="L24" s="486">
        <v>250</v>
      </c>
      <c r="M24" s="532">
        <v>5.5337858506615154</v>
      </c>
      <c r="N24" s="527">
        <v>6.9172323133268945E-2</v>
      </c>
      <c r="O24" s="527">
        <v>5.0726370297730555E-2</v>
      </c>
      <c r="P24" s="527">
        <v>4.7378303515937636E-2</v>
      </c>
      <c r="Q24" s="527">
        <v>2.0193970029622942E-2</v>
      </c>
      <c r="R24" s="527">
        <v>3.2375968502879879</v>
      </c>
      <c r="S24" s="527">
        <v>4.0469960628599852E-2</v>
      </c>
      <c r="T24" s="527">
        <v>2.9677971127639889E-2</v>
      </c>
      <c r="U24" s="527">
        <v>2.7719151115479353E-2</v>
      </c>
      <c r="V24" s="527">
        <v>1.0366726250236182E-2</v>
      </c>
      <c r="W24" s="481" t="s">
        <v>76</v>
      </c>
    </row>
    <row r="25" spans="1:23" ht="30" x14ac:dyDescent="0.25">
      <c r="A25" s="502" t="s">
        <v>337</v>
      </c>
      <c r="B25" s="490" t="s">
        <v>323</v>
      </c>
      <c r="C25" s="186" t="s">
        <v>170</v>
      </c>
      <c r="D25" s="492">
        <v>1</v>
      </c>
      <c r="E25" s="492">
        <v>1</v>
      </c>
      <c r="F25" s="492">
        <v>2.1</v>
      </c>
      <c r="G25" s="493">
        <v>1070</v>
      </c>
      <c r="H25" s="492">
        <v>1.4</v>
      </c>
      <c r="I25" s="492">
        <v>535</v>
      </c>
      <c r="J25" s="494">
        <v>3.0000000000000001E-3</v>
      </c>
      <c r="K25" s="485">
        <v>250</v>
      </c>
      <c r="L25" s="486">
        <v>250</v>
      </c>
      <c r="M25" s="532">
        <v>5.5337858506615154</v>
      </c>
      <c r="N25" s="527">
        <v>6.9172323133268945E-2</v>
      </c>
      <c r="O25" s="527">
        <v>5.0726370297730555E-2</v>
      </c>
      <c r="P25" s="527">
        <v>4.7378303515937636E-2</v>
      </c>
      <c r="Q25" s="527">
        <v>2.0193970029622942E-2</v>
      </c>
      <c r="R25" s="527">
        <v>3.2375968502879879</v>
      </c>
      <c r="S25" s="527">
        <v>4.0469960628599852E-2</v>
      </c>
      <c r="T25" s="527">
        <v>2.9677971127639889E-2</v>
      </c>
      <c r="U25" s="527">
        <v>2.7719151115479353E-2</v>
      </c>
      <c r="V25" s="527">
        <v>1.0366726250236182E-2</v>
      </c>
      <c r="W25" s="481" t="s">
        <v>76</v>
      </c>
    </row>
    <row r="26" spans="1:23" ht="47.1" customHeight="1" x14ac:dyDescent="0.25">
      <c r="A26" s="502" t="s">
        <v>338</v>
      </c>
      <c r="B26" s="186" t="s">
        <v>324</v>
      </c>
      <c r="C26" s="186" t="s">
        <v>170</v>
      </c>
      <c r="D26" s="492">
        <v>1</v>
      </c>
      <c r="E26" s="492">
        <v>1</v>
      </c>
      <c r="F26" s="492">
        <v>2.1</v>
      </c>
      <c r="G26" s="493">
        <v>1070</v>
      </c>
      <c r="H26" s="492">
        <v>1.4</v>
      </c>
      <c r="I26" s="492">
        <v>535</v>
      </c>
      <c r="J26" s="494">
        <v>3.0000000000000001E-3</v>
      </c>
      <c r="K26" s="485">
        <v>250</v>
      </c>
      <c r="L26" s="486">
        <v>250</v>
      </c>
      <c r="M26" s="532">
        <v>5.5337858506615154</v>
      </c>
      <c r="N26" s="527">
        <v>6.9172323133268945E-2</v>
      </c>
      <c r="O26" s="527">
        <v>5.0726370297730555E-2</v>
      </c>
      <c r="P26" s="527">
        <v>4.7378303515937636E-2</v>
      </c>
      <c r="Q26" s="527">
        <v>2.0193970029622942E-2</v>
      </c>
      <c r="R26" s="527">
        <v>3.2375968502879879</v>
      </c>
      <c r="S26" s="527">
        <v>4.0469960628599852E-2</v>
      </c>
      <c r="T26" s="527">
        <v>2.9677971127639889E-2</v>
      </c>
      <c r="U26" s="527">
        <v>2.7719151115479353E-2</v>
      </c>
      <c r="V26" s="527">
        <v>1.0366726250236182E-2</v>
      </c>
      <c r="W26" s="481" t="s">
        <v>76</v>
      </c>
    </row>
    <row r="27" spans="1:23" ht="41.1" customHeight="1" x14ac:dyDescent="0.25">
      <c r="A27" s="502" t="s">
        <v>325</v>
      </c>
      <c r="B27" s="490" t="s">
        <v>326</v>
      </c>
      <c r="C27" s="186" t="s">
        <v>170</v>
      </c>
      <c r="D27" s="492">
        <v>1</v>
      </c>
      <c r="E27" s="492">
        <v>1</v>
      </c>
      <c r="F27" s="492">
        <v>2.1</v>
      </c>
      <c r="G27" s="493">
        <v>1070</v>
      </c>
      <c r="H27" s="492">
        <v>1.4</v>
      </c>
      <c r="I27" s="492">
        <v>535</v>
      </c>
      <c r="J27" s="494">
        <v>3.0000000000000001E-3</v>
      </c>
      <c r="K27" s="485">
        <v>250</v>
      </c>
      <c r="L27" s="486">
        <v>250</v>
      </c>
      <c r="M27" s="532">
        <v>5.5337858506615154</v>
      </c>
      <c r="N27" s="527">
        <v>6.9172323133268945E-2</v>
      </c>
      <c r="O27" s="527">
        <v>5.0726370297730555E-2</v>
      </c>
      <c r="P27" s="527">
        <v>4.7378303515937636E-2</v>
      </c>
      <c r="Q27" s="527">
        <v>2.0193970029622942E-2</v>
      </c>
      <c r="R27" s="527">
        <v>3.2375968502879879</v>
      </c>
      <c r="S27" s="527">
        <v>4.0469960628599852E-2</v>
      </c>
      <c r="T27" s="527">
        <v>2.9677971127639889E-2</v>
      </c>
      <c r="U27" s="527">
        <v>2.7719151115479353E-2</v>
      </c>
      <c r="V27" s="527">
        <v>1.0366726250236182E-2</v>
      </c>
      <c r="W27" s="481" t="s">
        <v>76</v>
      </c>
    </row>
    <row r="28" spans="1:23" ht="30.6" customHeight="1" x14ac:dyDescent="0.25">
      <c r="A28" s="502" t="s">
        <v>197</v>
      </c>
      <c r="B28" s="490" t="s">
        <v>327</v>
      </c>
      <c r="C28" s="186" t="s">
        <v>191</v>
      </c>
      <c r="D28" s="492">
        <v>1</v>
      </c>
      <c r="E28" s="492">
        <v>1</v>
      </c>
      <c r="F28" s="492">
        <v>2.1</v>
      </c>
      <c r="G28" s="493">
        <v>1070</v>
      </c>
      <c r="H28" s="492">
        <v>1.4</v>
      </c>
      <c r="I28" s="492">
        <v>535</v>
      </c>
      <c r="J28" s="494">
        <v>3.0000000000000001E-3</v>
      </c>
      <c r="K28" s="485">
        <v>128</v>
      </c>
      <c r="L28" s="486">
        <v>26</v>
      </c>
      <c r="M28" s="532">
        <v>5.5424405346835997</v>
      </c>
      <c r="N28" s="527">
        <v>6.928050668354499E-2</v>
      </c>
      <c r="O28" s="527">
        <v>5.0805704901266326E-2</v>
      </c>
      <c r="P28" s="527">
        <v>1.840429198003965E-2</v>
      </c>
      <c r="Q28" s="527">
        <v>7.6031008859579127E-3</v>
      </c>
      <c r="R28" s="527">
        <v>3.2429359153521489</v>
      </c>
      <c r="S28" s="527">
        <v>4.0536698941901858E-2</v>
      </c>
      <c r="T28" s="527">
        <v>2.9726912557394694E-2</v>
      </c>
      <c r="U28" s="527">
        <v>7.9798999063804311E-3</v>
      </c>
      <c r="V28" s="527">
        <v>2.9776006086887747E-3</v>
      </c>
      <c r="W28" s="481" t="s">
        <v>76</v>
      </c>
    </row>
    <row r="29" spans="1:23" ht="38.450000000000003" customHeight="1" x14ac:dyDescent="0.25">
      <c r="A29" s="502" t="s">
        <v>339</v>
      </c>
      <c r="B29" s="490" t="s">
        <v>328</v>
      </c>
      <c r="C29" s="186" t="s">
        <v>191</v>
      </c>
      <c r="D29" s="492">
        <v>1</v>
      </c>
      <c r="E29" s="492">
        <v>1</v>
      </c>
      <c r="F29" s="492">
        <v>2.1</v>
      </c>
      <c r="G29" s="493">
        <v>1070</v>
      </c>
      <c r="H29" s="492">
        <v>1.4</v>
      </c>
      <c r="I29" s="492">
        <v>535</v>
      </c>
      <c r="J29" s="494">
        <v>3.0000000000000001E-3</v>
      </c>
      <c r="K29" s="485">
        <v>128</v>
      </c>
      <c r="L29" s="486">
        <v>26</v>
      </c>
      <c r="M29" s="532">
        <v>5.5424405346835997</v>
      </c>
      <c r="N29" s="527">
        <v>6.928050668354499E-2</v>
      </c>
      <c r="O29" s="527">
        <v>5.0805704901266326E-2</v>
      </c>
      <c r="P29" s="527">
        <v>1.840429198003965E-2</v>
      </c>
      <c r="Q29" s="527">
        <v>7.6031008859579127E-3</v>
      </c>
      <c r="R29" s="527">
        <v>3.2429359153521489</v>
      </c>
      <c r="S29" s="527">
        <v>4.0536698941901858E-2</v>
      </c>
      <c r="T29" s="527">
        <v>2.9726912557394694E-2</v>
      </c>
      <c r="U29" s="527">
        <v>7.9798999063804311E-3</v>
      </c>
      <c r="V29" s="527">
        <v>2.9776006086887747E-3</v>
      </c>
      <c r="W29" s="481" t="s">
        <v>76</v>
      </c>
    </row>
    <row r="30" spans="1:23" x14ac:dyDescent="0.25">
      <c r="A30" s="502" t="s">
        <v>340</v>
      </c>
      <c r="B30" s="489" t="s">
        <v>75</v>
      </c>
      <c r="C30" s="186" t="s">
        <v>191</v>
      </c>
      <c r="D30" s="492">
        <v>1</v>
      </c>
      <c r="E30" s="492">
        <v>1</v>
      </c>
      <c r="F30" s="492">
        <v>2.1</v>
      </c>
      <c r="G30" s="493">
        <v>1070</v>
      </c>
      <c r="H30" s="492">
        <v>1.4</v>
      </c>
      <c r="I30" s="492">
        <v>535</v>
      </c>
      <c r="J30" s="494">
        <v>3.0000000000000001E-3</v>
      </c>
      <c r="K30" s="485">
        <v>128</v>
      </c>
      <c r="L30" s="486">
        <v>26</v>
      </c>
      <c r="M30" s="532">
        <v>5.5424405346835997</v>
      </c>
      <c r="N30" s="527">
        <v>6.928050668354499E-2</v>
      </c>
      <c r="O30" s="527">
        <v>5.0805704901266326E-2</v>
      </c>
      <c r="P30" s="527">
        <v>1.840429198003965E-2</v>
      </c>
      <c r="Q30" s="527">
        <v>7.6031008859579127E-3</v>
      </c>
      <c r="R30" s="527">
        <v>3.2429359153521489</v>
      </c>
      <c r="S30" s="527">
        <v>4.0536698941901858E-2</v>
      </c>
      <c r="T30" s="527">
        <v>2.9726912557394694E-2</v>
      </c>
      <c r="U30" s="527">
        <v>7.9798999063804311E-3</v>
      </c>
      <c r="V30" s="527">
        <v>2.9776006086887747E-3</v>
      </c>
      <c r="W30" s="481" t="s">
        <v>76</v>
      </c>
    </row>
    <row r="31" spans="1:23" ht="30" x14ac:dyDescent="0.25">
      <c r="A31" s="502" t="s">
        <v>205</v>
      </c>
      <c r="B31" s="490" t="s">
        <v>329</v>
      </c>
      <c r="C31" s="186" t="s">
        <v>201</v>
      </c>
      <c r="D31" s="492">
        <v>1</v>
      </c>
      <c r="E31" s="492">
        <v>1</v>
      </c>
      <c r="F31" s="492">
        <v>2.1</v>
      </c>
      <c r="G31" s="493">
        <v>1070</v>
      </c>
      <c r="H31" s="492">
        <v>1.4</v>
      </c>
      <c r="I31" s="492">
        <v>535</v>
      </c>
      <c r="J31" s="494">
        <v>3.0000000000000001E-3</v>
      </c>
      <c r="K31" s="485">
        <v>250</v>
      </c>
      <c r="L31" s="486">
        <v>250</v>
      </c>
      <c r="M31" s="532">
        <v>5.5334461708584666</v>
      </c>
      <c r="N31" s="527">
        <v>6.9168077135730838E-2</v>
      </c>
      <c r="O31" s="527">
        <v>5.0723256566202614E-2</v>
      </c>
      <c r="P31" s="527">
        <v>4.7375395298445776E-2</v>
      </c>
      <c r="Q31" s="527">
        <v>2.0194149227000888E-2</v>
      </c>
      <c r="R31" s="527">
        <v>3.237988658100222</v>
      </c>
      <c r="S31" s="527">
        <v>4.0474858226252776E-2</v>
      </c>
      <c r="T31" s="527">
        <v>2.9681562699252036E-2</v>
      </c>
      <c r="U31" s="527">
        <v>2.7722505634419713E-2</v>
      </c>
      <c r="V31" s="527">
        <v>1.0366458204314024E-2</v>
      </c>
      <c r="W31" s="481" t="s">
        <v>76</v>
      </c>
    </row>
    <row r="32" spans="1:23" ht="30" x14ac:dyDescent="0.25">
      <c r="A32" s="502" t="s">
        <v>341</v>
      </c>
      <c r="B32" s="490" t="s">
        <v>330</v>
      </c>
      <c r="C32" s="186" t="s">
        <v>201</v>
      </c>
      <c r="D32" s="492">
        <v>1</v>
      </c>
      <c r="E32" s="492">
        <v>1</v>
      </c>
      <c r="F32" s="492">
        <v>2.1</v>
      </c>
      <c r="G32" s="493">
        <v>1070</v>
      </c>
      <c r="H32" s="492">
        <v>1.4</v>
      </c>
      <c r="I32" s="492">
        <v>535</v>
      </c>
      <c r="J32" s="494">
        <v>3.0000000000000001E-3</v>
      </c>
      <c r="K32" s="485">
        <v>250</v>
      </c>
      <c r="L32" s="486">
        <v>250</v>
      </c>
      <c r="M32" s="532">
        <v>5.5334461708584666</v>
      </c>
      <c r="N32" s="527">
        <v>6.9168077135730838E-2</v>
      </c>
      <c r="O32" s="527">
        <v>5.0723256566202614E-2</v>
      </c>
      <c r="P32" s="527">
        <v>4.7375395298445776E-2</v>
      </c>
      <c r="Q32" s="527">
        <v>2.0194149227000888E-2</v>
      </c>
      <c r="R32" s="527">
        <v>3.237988658100222</v>
      </c>
      <c r="S32" s="527">
        <v>4.0474858226252776E-2</v>
      </c>
      <c r="T32" s="527">
        <v>2.9681562699252036E-2</v>
      </c>
      <c r="U32" s="527">
        <v>2.7722505634419713E-2</v>
      </c>
      <c r="V32" s="527">
        <v>1.0366458204314024E-2</v>
      </c>
      <c r="W32" s="481" t="s">
        <v>76</v>
      </c>
    </row>
    <row r="33" spans="1:23" ht="30" x14ac:dyDescent="0.25">
      <c r="A33" s="502" t="s">
        <v>342</v>
      </c>
      <c r="B33" s="490" t="s">
        <v>331</v>
      </c>
      <c r="C33" s="186" t="s">
        <v>201</v>
      </c>
      <c r="D33" s="492">
        <v>1</v>
      </c>
      <c r="E33" s="492">
        <v>1</v>
      </c>
      <c r="F33" s="492">
        <v>2.1</v>
      </c>
      <c r="G33" s="493">
        <v>1070</v>
      </c>
      <c r="H33" s="492">
        <v>1.4</v>
      </c>
      <c r="I33" s="492">
        <v>535</v>
      </c>
      <c r="J33" s="494">
        <v>3.0000000000000001E-3</v>
      </c>
      <c r="K33" s="485">
        <v>250</v>
      </c>
      <c r="L33" s="486">
        <v>250</v>
      </c>
      <c r="M33" s="532">
        <v>5.5334461708584666</v>
      </c>
      <c r="N33" s="527">
        <v>6.9168077135730838E-2</v>
      </c>
      <c r="O33" s="527">
        <v>5.0723256566202614E-2</v>
      </c>
      <c r="P33" s="527">
        <v>4.7375395298445776E-2</v>
      </c>
      <c r="Q33" s="527">
        <v>2.0194149227000888E-2</v>
      </c>
      <c r="R33" s="527">
        <v>3.237988658100222</v>
      </c>
      <c r="S33" s="527">
        <v>4.0474858226252776E-2</v>
      </c>
      <c r="T33" s="527">
        <v>2.9681562699252036E-2</v>
      </c>
      <c r="U33" s="527">
        <v>2.7722505634419713E-2</v>
      </c>
      <c r="V33" s="527">
        <v>1.0366458204314024E-2</v>
      </c>
      <c r="W33" s="481" t="s">
        <v>76</v>
      </c>
    </row>
    <row r="34" spans="1:23" ht="30" x14ac:dyDescent="0.25">
      <c r="A34" s="502" t="s">
        <v>343</v>
      </c>
      <c r="B34" s="490" t="s">
        <v>332</v>
      </c>
      <c r="C34" s="186" t="s">
        <v>201</v>
      </c>
      <c r="D34" s="492">
        <v>1</v>
      </c>
      <c r="E34" s="492">
        <v>1</v>
      </c>
      <c r="F34" s="492">
        <v>2.1</v>
      </c>
      <c r="G34" s="493">
        <v>1070</v>
      </c>
      <c r="H34" s="492">
        <v>1.4</v>
      </c>
      <c r="I34" s="492">
        <v>535</v>
      </c>
      <c r="J34" s="494">
        <v>3.0000000000000001E-3</v>
      </c>
      <c r="K34" s="485">
        <v>250</v>
      </c>
      <c r="L34" s="486">
        <v>250</v>
      </c>
      <c r="M34" s="532">
        <v>5.5334461708584666</v>
      </c>
      <c r="N34" s="527">
        <v>6.9168077135730838E-2</v>
      </c>
      <c r="O34" s="527">
        <v>5.0723256566202614E-2</v>
      </c>
      <c r="P34" s="527">
        <v>4.7375395298445776E-2</v>
      </c>
      <c r="Q34" s="527">
        <v>2.0194149227000888E-2</v>
      </c>
      <c r="R34" s="527">
        <v>3.237988658100222</v>
      </c>
      <c r="S34" s="527">
        <v>4.0474858226252776E-2</v>
      </c>
      <c r="T34" s="527">
        <v>2.9681562699252036E-2</v>
      </c>
      <c r="U34" s="527">
        <v>2.7722505634419713E-2</v>
      </c>
      <c r="V34" s="527">
        <v>1.0366458204314024E-2</v>
      </c>
      <c r="W34" s="481" t="s">
        <v>76</v>
      </c>
    </row>
    <row r="35" spans="1:23" ht="33" customHeight="1" x14ac:dyDescent="0.25">
      <c r="A35" s="502" t="s">
        <v>209</v>
      </c>
      <c r="B35" s="489" t="s">
        <v>208</v>
      </c>
      <c r="C35" s="186" t="s">
        <v>208</v>
      </c>
      <c r="D35" s="492">
        <v>1</v>
      </c>
      <c r="E35" s="492">
        <v>1</v>
      </c>
      <c r="F35" s="492">
        <v>2.1</v>
      </c>
      <c r="G35" s="493">
        <v>1070</v>
      </c>
      <c r="H35" s="492">
        <v>1.4</v>
      </c>
      <c r="I35" s="492">
        <v>535</v>
      </c>
      <c r="J35" s="494">
        <v>3.0000000000000001E-3</v>
      </c>
      <c r="K35" s="485">
        <v>250</v>
      </c>
      <c r="L35" s="486">
        <v>174</v>
      </c>
      <c r="M35" s="532">
        <v>5.4503690748370142</v>
      </c>
      <c r="N35" s="527">
        <v>6.8129613435462671E-2</v>
      </c>
      <c r="O35" s="527">
        <v>4.9961716519339297E-2</v>
      </c>
      <c r="P35" s="527">
        <v>4.2527714572123232E-2</v>
      </c>
      <c r="Q35" s="527">
        <v>1.8050857953528381E-2</v>
      </c>
      <c r="R35" s="527">
        <v>3.1895655400157659</v>
      </c>
      <c r="S35" s="527">
        <v>3.9869569250197072E-2</v>
      </c>
      <c r="T35" s="527">
        <v>2.9237684116811189E-2</v>
      </c>
      <c r="U35" s="527">
        <v>2.4426202048535711E-2</v>
      </c>
      <c r="V35" s="527">
        <v>9.142542785240822E-3</v>
      </c>
      <c r="W35" s="481" t="s">
        <v>76</v>
      </c>
    </row>
    <row r="36" spans="1:23" ht="33.950000000000003" customHeight="1" x14ac:dyDescent="0.25">
      <c r="A36" s="502" t="s">
        <v>216</v>
      </c>
      <c r="B36" s="489" t="s">
        <v>227</v>
      </c>
      <c r="C36" s="186" t="s">
        <v>333</v>
      </c>
      <c r="D36" s="492">
        <v>1</v>
      </c>
      <c r="E36" s="492">
        <v>1</v>
      </c>
      <c r="F36" s="492">
        <v>2.1</v>
      </c>
      <c r="G36" s="493">
        <v>1070</v>
      </c>
      <c r="H36" s="492">
        <v>1.4</v>
      </c>
      <c r="I36" s="492">
        <v>535</v>
      </c>
      <c r="J36" s="494">
        <v>3.0000000000000001E-3</v>
      </c>
      <c r="K36" s="485">
        <v>250</v>
      </c>
      <c r="L36" s="486">
        <v>250</v>
      </c>
      <c r="M36" s="532">
        <v>5.5346320075839319</v>
      </c>
      <c r="N36" s="527">
        <v>6.9182900094799146E-2</v>
      </c>
      <c r="O36" s="527">
        <v>5.073412673618604E-2</v>
      </c>
      <c r="P36" s="527">
        <v>4.7385548010136405E-2</v>
      </c>
      <c r="Q36" s="533">
        <v>2.0200853702345426E-2</v>
      </c>
      <c r="R36" s="527">
        <v>3.2378114525098622</v>
      </c>
      <c r="S36" s="527">
        <v>4.0472643156373278E-2</v>
      </c>
      <c r="T36" s="527">
        <v>2.9679938314673738E-2</v>
      </c>
      <c r="U36" s="527">
        <v>2.7720988463269369E-2</v>
      </c>
      <c r="V36" s="527">
        <v>1.0365089272804179E-2</v>
      </c>
      <c r="W36" s="481" t="s">
        <v>76</v>
      </c>
    </row>
    <row r="37" spans="1:23" ht="33.950000000000003" customHeight="1" x14ac:dyDescent="0.25">
      <c r="A37" s="502" t="s">
        <v>217</v>
      </c>
      <c r="B37" s="490" t="s">
        <v>334</v>
      </c>
      <c r="C37" s="186" t="s">
        <v>333</v>
      </c>
      <c r="D37" s="492">
        <v>1</v>
      </c>
      <c r="E37" s="492">
        <v>0.1</v>
      </c>
      <c r="F37" s="492">
        <v>2.1</v>
      </c>
      <c r="G37" s="493">
        <v>1070</v>
      </c>
      <c r="H37" s="492">
        <v>1.4</v>
      </c>
      <c r="I37" s="492">
        <v>535</v>
      </c>
      <c r="J37" s="524">
        <v>5.9999999999999995E-4</v>
      </c>
      <c r="K37" s="485">
        <v>250</v>
      </c>
      <c r="L37" s="486">
        <v>250</v>
      </c>
      <c r="M37" s="535">
        <v>0.11088760082614187</v>
      </c>
      <c r="N37" s="536">
        <v>1.3860950103267732E-3</v>
      </c>
      <c r="O37" s="536">
        <v>1.0164696742396338E-3</v>
      </c>
      <c r="P37" s="537">
        <v>9.4938014405943376E-4</v>
      </c>
      <c r="Q37" s="536">
        <v>4.0465299871005121E-4</v>
      </c>
      <c r="R37" s="532">
        <v>6.4911477740139584E-2</v>
      </c>
      <c r="S37" s="527">
        <v>8.1139347175174475E-4</v>
      </c>
      <c r="T37" s="527">
        <v>5.9502187928461283E-4</v>
      </c>
      <c r="U37" s="527">
        <v>5.5574895325461967E-4</v>
      </c>
      <c r="V37" s="527">
        <v>2.0810532642921172E-4</v>
      </c>
      <c r="W37" s="481" t="s">
        <v>76</v>
      </c>
    </row>
    <row r="38" spans="1:23" ht="31.5" customHeight="1" x14ac:dyDescent="0.25">
      <c r="A38" s="502" t="s">
        <v>222</v>
      </c>
      <c r="B38" s="489" t="s">
        <v>220</v>
      </c>
      <c r="C38" s="186" t="s">
        <v>333</v>
      </c>
      <c r="D38" s="492">
        <v>1</v>
      </c>
      <c r="E38" s="492">
        <v>1</v>
      </c>
      <c r="F38" s="492">
        <v>2.1</v>
      </c>
      <c r="G38" s="493">
        <v>1070</v>
      </c>
      <c r="H38" s="492">
        <v>1.4</v>
      </c>
      <c r="I38" s="492">
        <v>535</v>
      </c>
      <c r="J38" s="494">
        <v>3.0000000000000001E-3</v>
      </c>
      <c r="K38" s="485">
        <v>250</v>
      </c>
      <c r="L38" s="486">
        <v>250</v>
      </c>
      <c r="M38" s="532">
        <v>5.5338700599145039</v>
      </c>
      <c r="N38" s="527">
        <v>6.9173375748931301E-2</v>
      </c>
      <c r="O38" s="527">
        <v>5.0727142215882953E-2</v>
      </c>
      <c r="P38" s="527">
        <v>4.7379024485569389E-2</v>
      </c>
      <c r="Q38" s="527">
        <v>2.0199566451978509E-2</v>
      </c>
      <c r="R38" s="527">
        <v>3.2381148188257591</v>
      </c>
      <c r="S38" s="527">
        <v>4.0476435235321989E-2</v>
      </c>
      <c r="T38" s="527">
        <v>2.9682719172569462E-2</v>
      </c>
      <c r="U38" s="527">
        <v>2.7723585777617799E-2</v>
      </c>
      <c r="V38" s="527">
        <v>1.0365674975191861E-2</v>
      </c>
      <c r="W38" s="481" t="s">
        <v>76</v>
      </c>
    </row>
    <row r="39" spans="1:23" ht="30.75" thickBot="1" x14ac:dyDescent="0.3">
      <c r="A39" s="503" t="s">
        <v>223</v>
      </c>
      <c r="B39" s="504" t="s">
        <v>335</v>
      </c>
      <c r="C39" s="505" t="s">
        <v>333</v>
      </c>
      <c r="D39" s="506">
        <v>1</v>
      </c>
      <c r="E39" s="506">
        <v>0.1</v>
      </c>
      <c r="F39" s="506">
        <v>2.1</v>
      </c>
      <c r="G39" s="507">
        <v>1070</v>
      </c>
      <c r="H39" s="506">
        <v>1.4</v>
      </c>
      <c r="I39" s="506">
        <v>535</v>
      </c>
      <c r="J39" s="523">
        <v>5.9999999999999995E-4</v>
      </c>
      <c r="K39" s="508">
        <v>250</v>
      </c>
      <c r="L39" s="487">
        <v>250</v>
      </c>
      <c r="M39" s="554">
        <v>0.11088760082614187</v>
      </c>
      <c r="N39" s="555">
        <v>1.3860950103267732E-3</v>
      </c>
      <c r="O39" s="555">
        <v>1.0164696742396338E-3</v>
      </c>
      <c r="P39" s="556">
        <v>9.4938014405943376E-4</v>
      </c>
      <c r="Q39" s="555">
        <v>4.0465299871005121E-4</v>
      </c>
      <c r="R39" s="534">
        <v>6.4911477740139584E-2</v>
      </c>
      <c r="S39" s="529">
        <v>8.1139347175174475E-4</v>
      </c>
      <c r="T39" s="529">
        <v>5.9502187928461283E-4</v>
      </c>
      <c r="U39" s="529">
        <v>5.5574895325461967E-4</v>
      </c>
      <c r="V39" s="529">
        <v>2.0810532642921172E-4</v>
      </c>
      <c r="W39" s="482" t="s">
        <v>76</v>
      </c>
    </row>
  </sheetData>
  <sheetProtection sheet="1" objects="1" scenarios="1" formatCells="0" formatColumns="0" formatRows="0"/>
  <mergeCells count="5">
    <mergeCell ref="F4:G4"/>
    <mergeCell ref="H4:I4"/>
    <mergeCell ref="M3:Q3"/>
    <mergeCell ref="R3:V3"/>
    <mergeCell ref="W3:W5"/>
  </mergeCells>
  <conditionalFormatting sqref="M6:V39">
    <cfRule type="cellIs" dxfId="13" priority="1" operator="greaterThanOrEqual">
      <formula>10000</formula>
    </cfRule>
    <cfRule type="cellIs" dxfId="12" priority="2" operator="greaterThanOrEqual">
      <formula>10</formula>
    </cfRule>
    <cfRule type="cellIs" dxfId="11" priority="3" operator="between">
      <formula>1</formula>
      <formula>9.999</formula>
    </cfRule>
    <cfRule type="cellIs" dxfId="10" priority="4" operator="between">
      <formula>0.1</formula>
      <formula>0.999</formula>
    </cfRule>
    <cfRule type="cellIs" dxfId="9" priority="5" operator="lessThanOrEqual">
      <formula>0.1</formula>
    </cfRule>
    <cfRule type="containsBlanks" dxfId="8" priority="6" stopIfTrue="1">
      <formula>LEN(TRIM(M6))=0</formula>
    </cfRule>
  </conditionalFormatting>
  <dataValidations count="1">
    <dataValidation allowBlank="1" showErrorMessage="1" sqref="R3:R5 M3:M39" xr:uid="{6AF3334F-E071-4101-99EC-7B2CE3F4732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ad8da0f-3542-4e50-96c8-f1f698624e86">
      <Terms xmlns="http://schemas.microsoft.com/office/infopath/2007/PartnerControls"/>
    </lcf76f155ced4ddcb4097134ff3c332f>
    <TaxCatchAll xmlns="4ffa91fb-a0ff-4ac5-b2db-65c790d184a4">
      <Value>137</Value>
      <Value>1647</Value>
      <Value>1198</Value>
      <Value>1645</Value>
    </TaxCatchAll>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Human Health</TermName>
          <TermId xmlns="http://schemas.microsoft.com/office/infopath/2007/PartnerControls">24c777ae-77a4-4cf0-abb4-2137f04323a1</TermId>
        </TermInfo>
        <TermInfo xmlns="http://schemas.microsoft.com/office/infopath/2007/PartnerControls">
          <TermName xmlns="http://schemas.microsoft.com/office/infopath/2007/PartnerControls">CASRN 75-34-3</TermName>
          <TermId xmlns="http://schemas.microsoft.com/office/infopath/2007/PartnerControls">68eb818b-f6c9-42ec-97d1-d101eff5e078</TermId>
        </TermInfo>
        <TermInfo xmlns="http://schemas.microsoft.com/office/infopath/2007/PartnerControls">
          <TermName xmlns="http://schemas.microsoft.com/office/infopath/2007/PartnerControls">risk calculator</TermName>
          <TermId xmlns="http://schemas.microsoft.com/office/infopath/2007/PartnerControls">8af20125-90c4-4af3-92eb-7f5682895c4d</TermId>
        </TermInfo>
        <TermInfo xmlns="http://schemas.microsoft.com/office/infopath/2007/PartnerControls">
          <TermName xmlns="http://schemas.microsoft.com/office/infopath/2007/PartnerControls">11Dichloroethane</TermName>
          <TermId xmlns="http://schemas.microsoft.com/office/infopath/2007/PartnerControls">f0553ca5-25fa-4f60-8a15-ba2924ee9f47</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2024-04-11T22:59:06+00:00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AC66848A-9249-4628-AC04-A78FD2A2EA9F}">
  <ds:schemaRefs>
    <ds:schemaRef ds:uri="http://schemas.microsoft.com/sharepoint/v3/contenttype/forms"/>
  </ds:schemaRefs>
</ds:datastoreItem>
</file>

<file path=customXml/itemProps2.xml><?xml version="1.0" encoding="utf-8"?>
<ds:datastoreItem xmlns:ds="http://schemas.openxmlformats.org/officeDocument/2006/customXml" ds:itemID="{EC7BF8FE-9108-4329-9EFA-4D918065FA66}">
  <ds:schemaRefs>
    <ds:schemaRef ds:uri="Microsoft.SharePoint.Taxonomy.ContentTypeSync"/>
  </ds:schemaRefs>
</ds:datastoreItem>
</file>

<file path=customXml/itemProps3.xml><?xml version="1.0" encoding="utf-8"?>
<ds:datastoreItem xmlns:ds="http://schemas.openxmlformats.org/officeDocument/2006/customXml" ds:itemID="{4DA42337-E72D-46AA-9631-B61D8DD2F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D51179-5093-4E0D-97E0-1254349066E5}">
  <ds:schemaRefs>
    <ds:schemaRef ds:uri="http://schemas.openxmlformats.org/package/2006/metadata/core-properties"/>
    <ds:schemaRef ds:uri="http://purl.org/dc/dcmitype/"/>
    <ds:schemaRef ds:uri="http://purl.org/dc/elements/1.1/"/>
    <ds:schemaRef ds:uri="4ffa91fb-a0ff-4ac5-b2db-65c790d184a4"/>
    <ds:schemaRef ds:uri="http://schemas.microsoft.com/office/infopath/2007/PartnerControls"/>
    <ds:schemaRef ds:uri="http://schemas.microsoft.com/office/2006/metadata/properties"/>
    <ds:schemaRef ds:uri="http://www.w3.org/XML/1998/namespace"/>
    <ds:schemaRef ds:uri="ead8da0f-3542-4e50-96c8-f1f698624e86"/>
    <ds:schemaRef ds:uri="http://schemas.microsoft.com/sharepoint.v3"/>
    <ds:schemaRef ds:uri="fecc2597-e8fd-4279-ac06-bd7c891938be"/>
    <ds:schemaRef ds:uri="http://schemas.microsoft.com/office/2006/documentManagement/types"/>
    <ds:schemaRef ds:uri="http://schemas.microsoft.com/sharepoint/v3/field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26</vt:i4>
      </vt:variant>
    </vt:vector>
  </HeadingPairs>
  <TitlesOfParts>
    <vt:vector size="38" baseType="lpstr">
      <vt:lpstr>Cover Page</vt:lpstr>
      <vt:lpstr>README</vt:lpstr>
      <vt:lpstr>Calculation Summary</vt:lpstr>
      <vt:lpstr>Dashboard</vt:lpstr>
      <vt:lpstr>Bridge Table</vt:lpstr>
      <vt:lpstr>Risk Reduction</vt:lpstr>
      <vt:lpstr>Health Data</vt:lpstr>
      <vt:lpstr>Dermal Exposure</vt:lpstr>
      <vt:lpstr>Dermal Crosswalk</vt:lpstr>
      <vt:lpstr>Inhalation Exposure</vt:lpstr>
      <vt:lpstr>List Values</vt:lpstr>
      <vt:lpstr>Exposure Factors</vt:lpstr>
      <vt:lpstr>AT_AC</vt:lpstr>
      <vt:lpstr>AT_ADC_high</vt:lpstr>
      <vt:lpstr>AT_ADC_mid</vt:lpstr>
      <vt:lpstr>AT_ADC_ST</vt:lpstr>
      <vt:lpstr>AT_CRD_high</vt:lpstr>
      <vt:lpstr>AT_CRD_mid</vt:lpstr>
      <vt:lpstr>AT_CRD_ST</vt:lpstr>
      <vt:lpstr>AT_LADC</vt:lpstr>
      <vt:lpstr>AT_LCRD</vt:lpstr>
      <vt:lpstr>Breathing_Ratio</vt:lpstr>
      <vt:lpstr>BW_default</vt:lpstr>
      <vt:lpstr>BW_women</vt:lpstr>
      <vt:lpstr>ED_24</vt:lpstr>
      <vt:lpstr>ED_8</vt:lpstr>
      <vt:lpstr>EF</vt:lpstr>
      <vt:lpstr>EF_C</vt:lpstr>
      <vt:lpstr>EF_ST</vt:lpstr>
      <vt:lpstr>LT</vt:lpstr>
      <vt:lpstr>MW</vt:lpstr>
      <vt:lpstr>ug_per_mg</vt:lpstr>
      <vt:lpstr>WY_CT_default</vt:lpstr>
      <vt:lpstr>WY_CT_women</vt:lpstr>
      <vt:lpstr>WY_HE_default</vt:lpstr>
      <vt:lpstr>WY_HE_women</vt:lpstr>
      <vt:lpstr>WY_high</vt:lpstr>
      <vt:lpstr>WY_mid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Risk Evaluation for 1,1-Dichloroethane – Supplemental Information File: Occupational Exposure Scenario Mapping Results</dc:title>
  <dc:subject>Risk Calculator</dc:subject>
  <dc:creator>US EPA</dc:creator>
  <cp:keywords>11Dichloroethane ; CASRN 75-34-3 ; risk calculator ; Human Health</cp:keywords>
  <dc:description/>
  <cp:lastModifiedBy>Stanfield, Kelley</cp:lastModifiedBy>
  <cp:revision/>
  <dcterms:created xsi:type="dcterms:W3CDTF">2014-03-17T14:32:48Z</dcterms:created>
  <dcterms:modified xsi:type="dcterms:W3CDTF">2025-06-02T19:57:56Z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MediaServiceImageTags">
    <vt:lpwstr/>
  </property>
  <property fmtid="{D5CDD505-2E9C-101B-9397-08002B2CF9AE}" pid="4" name="TaxKeyword">
    <vt:lpwstr>137;#Human Health|24c777ae-77a4-4cf0-abb4-2137f04323a1;#1647;#CASRN 75-34-3|68eb818b-f6c9-42ec-97d1-d101eff5e078;#1198;#risk calculator|8af20125-90c4-4af3-92eb-7f5682895c4d;#1645;#11Dichloroethane|f0553ca5-25fa-4f60-8a15-ba2924ee9f47</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